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3B4181E5-B1E2-43C3-A050-2BFE82A86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6" i="2" l="1"/>
  <c r="M206" i="2"/>
  <c r="K205" i="2"/>
  <c r="M205" i="2"/>
  <c r="G205" i="2"/>
  <c r="K204" i="2"/>
  <c r="M204" i="2"/>
  <c r="G204" i="2"/>
  <c r="K203" i="2"/>
  <c r="M203" i="2"/>
  <c r="K202" i="2"/>
  <c r="M202" i="2"/>
  <c r="L207" i="2" s="1"/>
  <c r="G202" i="2"/>
  <c r="B197" i="2"/>
  <c r="B199" i="2"/>
  <c r="K196" i="2"/>
  <c r="K195" i="2"/>
  <c r="M195" i="2"/>
  <c r="K194" i="2"/>
  <c r="M194" i="2"/>
  <c r="K193" i="2"/>
  <c r="M193" i="2"/>
  <c r="K192" i="2"/>
  <c r="M192" i="2"/>
  <c r="G192" i="2"/>
  <c r="K191" i="2"/>
  <c r="M191" i="2"/>
  <c r="K190" i="2"/>
  <c r="M190" i="2"/>
  <c r="K189" i="2"/>
  <c r="M189" i="2"/>
  <c r="K188" i="2"/>
  <c r="M188" i="2"/>
  <c r="K187" i="2"/>
  <c r="M187" i="2"/>
  <c r="K186" i="2"/>
  <c r="M186" i="2"/>
  <c r="G186" i="2"/>
  <c r="E184" i="2"/>
  <c r="K185" i="2"/>
  <c r="E183" i="2"/>
  <c r="E199" i="2"/>
  <c r="E182" i="2"/>
  <c r="K182" i="2"/>
  <c r="M182" i="2"/>
  <c r="E178" i="2"/>
  <c r="K181" i="2"/>
  <c r="M181" i="2"/>
  <c r="K177" i="2"/>
  <c r="M177" i="2"/>
  <c r="K175" i="2"/>
  <c r="M175" i="2"/>
  <c r="K174" i="2"/>
  <c r="J174" i="2"/>
  <c r="K173" i="2"/>
  <c r="J173" i="2"/>
  <c r="G173" i="2"/>
  <c r="E171" i="2"/>
  <c r="G171" i="2"/>
  <c r="E169" i="2"/>
  <c r="B164" i="2"/>
  <c r="B166" i="2"/>
  <c r="K163" i="2"/>
  <c r="K162" i="2"/>
  <c r="M162" i="2"/>
  <c r="K161" i="2"/>
  <c r="M161" i="2"/>
  <c r="K160" i="2"/>
  <c r="M160" i="2"/>
  <c r="K159" i="2"/>
  <c r="M159" i="2"/>
  <c r="G159" i="2"/>
  <c r="K158" i="2"/>
  <c r="M158" i="2"/>
  <c r="K157" i="2"/>
  <c r="M157" i="2"/>
  <c r="K156" i="2"/>
  <c r="M156" i="2"/>
  <c r="K155" i="2"/>
  <c r="M155" i="2"/>
  <c r="K154" i="2"/>
  <c r="J154" i="2"/>
  <c r="K153" i="2"/>
  <c r="G153" i="2"/>
  <c r="E151" i="2"/>
  <c r="G151" i="2"/>
  <c r="E150" i="2"/>
  <c r="E166" i="2"/>
  <c r="K166" i="2"/>
  <c r="M166" i="2"/>
  <c r="E149" i="2"/>
  <c r="G149" i="2"/>
  <c r="E145" i="2"/>
  <c r="K148" i="2"/>
  <c r="M148" i="2"/>
  <c r="K144" i="2"/>
  <c r="M144" i="2"/>
  <c r="K142" i="2"/>
  <c r="M142" i="2"/>
  <c r="K141" i="2"/>
  <c r="K140" i="2"/>
  <c r="J140" i="2"/>
  <c r="G140" i="2"/>
  <c r="E138" i="2"/>
  <c r="K138" i="2"/>
  <c r="E136" i="2"/>
  <c r="K136" i="2"/>
  <c r="B131" i="2"/>
  <c r="B133" i="2"/>
  <c r="K130" i="2"/>
  <c r="K129" i="2"/>
  <c r="M129" i="2"/>
  <c r="K128" i="2"/>
  <c r="M128" i="2"/>
  <c r="K127" i="2"/>
  <c r="M127" i="2"/>
  <c r="K126" i="2"/>
  <c r="M126" i="2"/>
  <c r="G126" i="2"/>
  <c r="K125" i="2"/>
  <c r="M125" i="2"/>
  <c r="K124" i="2"/>
  <c r="M124" i="2"/>
  <c r="K123" i="2"/>
  <c r="M123" i="2"/>
  <c r="K122" i="2"/>
  <c r="M122" i="2"/>
  <c r="K121" i="2"/>
  <c r="J121" i="2"/>
  <c r="K120" i="2"/>
  <c r="J120" i="2"/>
  <c r="G120" i="2"/>
  <c r="E118" i="2"/>
  <c r="K118" i="2"/>
  <c r="J118" i="2"/>
  <c r="E117" i="2"/>
  <c r="E116" i="2"/>
  <c r="E112" i="2"/>
  <c r="K115" i="2"/>
  <c r="M115" i="2"/>
  <c r="K111" i="2"/>
  <c r="M111" i="2"/>
  <c r="K109" i="2"/>
  <c r="M109" i="2"/>
  <c r="K108" i="2"/>
  <c r="K107" i="2"/>
  <c r="G107" i="2"/>
  <c r="E105" i="2"/>
  <c r="G105" i="2"/>
  <c r="E103" i="2"/>
  <c r="K103" i="2"/>
  <c r="G103" i="2"/>
  <c r="K104" i="2"/>
  <c r="M104" i="2"/>
  <c r="E95" i="2"/>
  <c r="K100" i="2"/>
  <c r="J100" i="2"/>
  <c r="K91" i="2"/>
  <c r="M91" i="2"/>
  <c r="M90" i="2"/>
  <c r="K89" i="2"/>
  <c r="M89" i="2"/>
  <c r="G89" i="2"/>
  <c r="K88" i="2"/>
  <c r="K87" i="2"/>
  <c r="M87" i="2"/>
  <c r="G87" i="2"/>
  <c r="J80" i="2"/>
  <c r="E77" i="2"/>
  <c r="G77" i="2"/>
  <c r="M76" i="2"/>
  <c r="M75" i="2"/>
  <c r="E68" i="2"/>
  <c r="E73" i="2"/>
  <c r="K67" i="2"/>
  <c r="M67" i="2"/>
  <c r="G67" i="2"/>
  <c r="B65" i="2"/>
  <c r="B68" i="2"/>
  <c r="B73" i="2"/>
  <c r="B77" i="2"/>
  <c r="B78" i="2"/>
  <c r="B79" i="2"/>
  <c r="B84" i="2"/>
  <c r="B87" i="2"/>
  <c r="B89" i="2"/>
  <c r="B92" i="2"/>
  <c r="B95" i="2"/>
  <c r="M64" i="2"/>
  <c r="G60" i="2"/>
  <c r="K59" i="2"/>
  <c r="M59" i="2"/>
  <c r="K57" i="2"/>
  <c r="K58" i="2"/>
  <c r="M58" i="2"/>
  <c r="K56" i="2"/>
  <c r="G56" i="2"/>
  <c r="E54" i="2"/>
  <c r="G54" i="2"/>
  <c r="K53" i="2"/>
  <c r="M53" i="2"/>
  <c r="G53" i="2"/>
  <c r="B53" i="2"/>
  <c r="M48" i="2"/>
  <c r="E48" i="2"/>
  <c r="K47" i="2"/>
  <c r="M47" i="2"/>
  <c r="K46" i="2"/>
  <c r="M46" i="2"/>
  <c r="G46" i="2"/>
  <c r="M43" i="2"/>
  <c r="E42" i="2"/>
  <c r="K45" i="2"/>
  <c r="M45" i="2"/>
  <c r="E40" i="2"/>
  <c r="K40" i="2"/>
  <c r="E38" i="2"/>
  <c r="K38" i="2"/>
  <c r="E36" i="2"/>
  <c r="K34" i="2"/>
  <c r="M34" i="2"/>
  <c r="K33" i="2"/>
  <c r="M33" i="2"/>
  <c r="K32" i="2"/>
  <c r="M32" i="2"/>
  <c r="G32" i="2"/>
  <c r="K31" i="2"/>
  <c r="M31" i="2"/>
  <c r="G31" i="2"/>
  <c r="B31" i="2"/>
  <c r="B32" i="2"/>
  <c r="B35" i="2"/>
  <c r="B36" i="2"/>
  <c r="B38" i="2"/>
  <c r="B40" i="2"/>
  <c r="B42" i="2"/>
  <c r="B46" i="2"/>
  <c r="B48" i="2"/>
  <c r="B51" i="2"/>
  <c r="B54" i="2"/>
  <c r="B55" i="2"/>
  <c r="B56" i="2"/>
  <c r="B60" i="2"/>
  <c r="E22" i="2"/>
  <c r="K24" i="2"/>
  <c r="M24" i="2"/>
  <c r="K21" i="2"/>
  <c r="M21" i="2"/>
  <c r="K20" i="2"/>
  <c r="M20" i="2"/>
  <c r="G20" i="2"/>
  <c r="E18" i="2"/>
  <c r="K19" i="2"/>
  <c r="M19" i="2"/>
  <c r="K77" i="2"/>
  <c r="M40" i="2"/>
  <c r="M56" i="2"/>
  <c r="K105" i="2"/>
  <c r="M105" i="2"/>
  <c r="K106" i="2"/>
  <c r="J106" i="2"/>
  <c r="J187" i="2"/>
  <c r="G22" i="2"/>
  <c r="M121" i="2"/>
  <c r="K151" i="2"/>
  <c r="M151" i="2"/>
  <c r="M163" i="2"/>
  <c r="M196" i="2"/>
  <c r="E27" i="2"/>
  <c r="K27" i="2"/>
  <c r="K29" i="2"/>
  <c r="M120" i="2"/>
  <c r="M130" i="2"/>
  <c r="G183" i="2"/>
  <c r="K199" i="2"/>
  <c r="M199" i="2"/>
  <c r="G199" i="2"/>
  <c r="M138" i="2"/>
  <c r="J138" i="2"/>
  <c r="K96" i="2"/>
  <c r="M96" i="2"/>
  <c r="J20" i="2"/>
  <c r="K23" i="2"/>
  <c r="J23" i="2"/>
  <c r="K28" i="2"/>
  <c r="M28" i="2"/>
  <c r="J67" i="2"/>
  <c r="M77" i="2"/>
  <c r="K95" i="2"/>
  <c r="K99" i="2"/>
  <c r="M99" i="2"/>
  <c r="K113" i="2"/>
  <c r="J113" i="2"/>
  <c r="G138" i="2"/>
  <c r="K139" i="2"/>
  <c r="G145" i="2"/>
  <c r="K146" i="2"/>
  <c r="J146" i="2"/>
  <c r="K149" i="2"/>
  <c r="M149" i="2"/>
  <c r="K176" i="2"/>
  <c r="G184" i="2"/>
  <c r="E197" i="2"/>
  <c r="M100" i="2"/>
  <c r="K18" i="2"/>
  <c r="M18" i="2"/>
  <c r="G40" i="2"/>
  <c r="E84" i="2"/>
  <c r="E78" i="2"/>
  <c r="G78" i="2"/>
  <c r="G95" i="2"/>
  <c r="K112" i="2"/>
  <c r="K114" i="2"/>
  <c r="M114" i="2"/>
  <c r="K137" i="2"/>
  <c r="M137" i="2"/>
  <c r="K145" i="2"/>
  <c r="K150" i="2"/>
  <c r="M150" i="2"/>
  <c r="K152" i="2"/>
  <c r="J152" i="2"/>
  <c r="G166" i="2"/>
  <c r="G182" i="2"/>
  <c r="K183" i="2"/>
  <c r="M183" i="2"/>
  <c r="K184" i="2"/>
  <c r="K22" i="2"/>
  <c r="K41" i="2"/>
  <c r="M41" i="2"/>
  <c r="K98" i="2"/>
  <c r="J105" i="2"/>
  <c r="G73" i="2"/>
  <c r="K74" i="2"/>
  <c r="K76" i="2"/>
  <c r="K73" i="2"/>
  <c r="G27" i="2"/>
  <c r="K30" i="2"/>
  <c r="M30" i="2"/>
  <c r="K50" i="2"/>
  <c r="M50" i="2"/>
  <c r="G48" i="2"/>
  <c r="G68" i="2"/>
  <c r="E65" i="2"/>
  <c r="K69" i="2"/>
  <c r="E63" i="2"/>
  <c r="K68" i="2"/>
  <c r="K70" i="2"/>
  <c r="M70" i="2"/>
  <c r="K72" i="2"/>
  <c r="M72" i="2"/>
  <c r="E79" i="2"/>
  <c r="M118" i="2"/>
  <c r="M38" i="2"/>
  <c r="J38" i="2"/>
  <c r="E55" i="2"/>
  <c r="K54" i="2"/>
  <c r="M27" i="2"/>
  <c r="J27" i="2"/>
  <c r="K37" i="2"/>
  <c r="K36" i="2"/>
  <c r="E35" i="2"/>
  <c r="J40" i="2"/>
  <c r="K44" i="2"/>
  <c r="M44" i="2"/>
  <c r="G42" i="2"/>
  <c r="K42" i="2"/>
  <c r="M42" i="2"/>
  <c r="E51" i="2"/>
  <c r="E92" i="2"/>
  <c r="K85" i="2"/>
  <c r="K84" i="2"/>
  <c r="G84" i="2"/>
  <c r="K25" i="2"/>
  <c r="G36" i="2"/>
  <c r="G38" i="2"/>
  <c r="K39" i="2"/>
  <c r="M39" i="2"/>
  <c r="K49" i="2"/>
  <c r="M49" i="2"/>
  <c r="J56" i="2"/>
  <c r="M57" i="2"/>
  <c r="K78" i="2"/>
  <c r="M78" i="2"/>
  <c r="K86" i="2"/>
  <c r="M86" i="2"/>
  <c r="J88" i="2"/>
  <c r="M88" i="2"/>
  <c r="E133" i="2"/>
  <c r="E131" i="2"/>
  <c r="G117" i="2"/>
  <c r="K117" i="2"/>
  <c r="M117" i="2"/>
  <c r="M185" i="2"/>
  <c r="J185" i="2"/>
  <c r="G18" i="2"/>
  <c r="K26" i="2"/>
  <c r="M26" i="2"/>
  <c r="J108" i="2"/>
  <c r="M153" i="2"/>
  <c r="J153" i="2"/>
  <c r="K170" i="2"/>
  <c r="M170" i="2"/>
  <c r="G169" i="2"/>
  <c r="K169" i="2"/>
  <c r="K110" i="2"/>
  <c r="J107" i="2"/>
  <c r="K143" i="2"/>
  <c r="K179" i="2"/>
  <c r="K178" i="2"/>
  <c r="G116" i="2"/>
  <c r="K116" i="2"/>
  <c r="M116" i="2"/>
  <c r="G118" i="2"/>
  <c r="K119" i="2"/>
  <c r="G136" i="2"/>
  <c r="J141" i="2"/>
  <c r="M154" i="2"/>
  <c r="K172" i="2"/>
  <c r="K171" i="2"/>
  <c r="G178" i="2"/>
  <c r="J186" i="2"/>
  <c r="K198" i="2"/>
  <c r="K97" i="2"/>
  <c r="G112" i="2"/>
  <c r="G150" i="2"/>
  <c r="F167" i="2" s="1"/>
  <c r="E164" i="2"/>
  <c r="M108" i="2"/>
  <c r="J151" i="2"/>
  <c r="J28" i="2"/>
  <c r="M23" i="2"/>
  <c r="M106" i="2"/>
  <c r="K197" i="2"/>
  <c r="M197" i="2"/>
  <c r="G197" i="2"/>
  <c r="F200" i="2" s="1"/>
  <c r="J112" i="2"/>
  <c r="J114" i="2"/>
  <c r="M22" i="2"/>
  <c r="J22" i="2"/>
  <c r="M184" i="2"/>
  <c r="J184" i="2"/>
  <c r="M152" i="2"/>
  <c r="K147" i="2"/>
  <c r="J145" i="2"/>
  <c r="J176" i="2"/>
  <c r="M176" i="2"/>
  <c r="M139" i="2"/>
  <c r="J139" i="2"/>
  <c r="M95" i="2"/>
  <c r="J95" i="2"/>
  <c r="M98" i="2"/>
  <c r="J98" i="2"/>
  <c r="J143" i="2"/>
  <c r="M143" i="2"/>
  <c r="J84" i="2"/>
  <c r="M84" i="2"/>
  <c r="M37" i="2"/>
  <c r="J37" i="2"/>
  <c r="J171" i="2"/>
  <c r="M171" i="2"/>
  <c r="J178" i="2"/>
  <c r="K180" i="2"/>
  <c r="K132" i="2"/>
  <c r="G131" i="2"/>
  <c r="K131" i="2"/>
  <c r="M131" i="2"/>
  <c r="G51" i="2"/>
  <c r="K51" i="2"/>
  <c r="M51" i="2"/>
  <c r="K52" i="2"/>
  <c r="M52" i="2"/>
  <c r="G55" i="2"/>
  <c r="K55" i="2"/>
  <c r="M55" i="2"/>
  <c r="M172" i="2"/>
  <c r="J172" i="2"/>
  <c r="J119" i="2"/>
  <c r="M119" i="2"/>
  <c r="M110" i="2"/>
  <c r="J110" i="2"/>
  <c r="J36" i="2"/>
  <c r="M36" i="2"/>
  <c r="K80" i="2"/>
  <c r="M80" i="2"/>
  <c r="K79" i="2"/>
  <c r="M79" i="2"/>
  <c r="K82" i="2"/>
  <c r="M82" i="2"/>
  <c r="G79" i="2"/>
  <c r="K83" i="2"/>
  <c r="K81" i="2"/>
  <c r="M81" i="2"/>
  <c r="K71" i="2"/>
  <c r="M68" i="2"/>
  <c r="J68" i="2"/>
  <c r="M74" i="2"/>
  <c r="J74" i="2"/>
  <c r="J54" i="2"/>
  <c r="M54" i="2"/>
  <c r="K64" i="2"/>
  <c r="G63" i="2"/>
  <c r="K63" i="2"/>
  <c r="M63" i="2"/>
  <c r="J97" i="2"/>
  <c r="M97" i="2"/>
  <c r="M85" i="2"/>
  <c r="J85" i="2"/>
  <c r="M29" i="2"/>
  <c r="J29" i="2"/>
  <c r="M69" i="2"/>
  <c r="J69" i="2"/>
  <c r="M73" i="2"/>
  <c r="J73" i="2"/>
  <c r="K75" i="2"/>
  <c r="K165" i="2"/>
  <c r="K164" i="2"/>
  <c r="M164" i="2"/>
  <c r="G164" i="2"/>
  <c r="M198" i="2"/>
  <c r="J198" i="2"/>
  <c r="J179" i="2"/>
  <c r="G133" i="2"/>
  <c r="K133" i="2"/>
  <c r="M133" i="2"/>
  <c r="M25" i="2"/>
  <c r="J25" i="2"/>
  <c r="K93" i="2"/>
  <c r="M93" i="2"/>
  <c r="G92" i="2"/>
  <c r="K92" i="2"/>
  <c r="M92" i="2"/>
  <c r="K94" i="2"/>
  <c r="M94" i="2"/>
  <c r="G35" i="2"/>
  <c r="K35" i="2"/>
  <c r="M35" i="2"/>
  <c r="G65" i="2"/>
  <c r="K65" i="2"/>
  <c r="K66" i="2"/>
  <c r="M147" i="2"/>
  <c r="J147" i="2"/>
  <c r="F134" i="2"/>
  <c r="F61" i="2"/>
  <c r="J180" i="2"/>
  <c r="M180" i="2"/>
  <c r="M65" i="2"/>
  <c r="J65" i="2"/>
  <c r="J165" i="2"/>
  <c r="M165" i="2"/>
  <c r="L61" i="2"/>
  <c r="J132" i="2"/>
  <c r="M132" i="2"/>
  <c r="J75" i="2"/>
  <c r="J71" i="2"/>
  <c r="M66" i="2"/>
  <c r="M83" i="2"/>
  <c r="J66" i="2"/>
  <c r="J83" i="2"/>
  <c r="F209" i="2" l="1"/>
  <c r="M103" i="2"/>
  <c r="M141" i="2"/>
  <c r="M146" i="2"/>
  <c r="M107" i="2"/>
  <c r="M112" i="2"/>
  <c r="M71" i="2"/>
  <c r="L101" i="2" s="1"/>
  <c r="M113" i="2"/>
  <c r="M145" i="2" l="1"/>
  <c r="M140" i="2"/>
  <c r="M136" i="2"/>
  <c r="M169" i="2"/>
  <c r="M179" i="2"/>
  <c r="M174" i="2"/>
  <c r="L134" i="2"/>
  <c r="M178" i="2" l="1"/>
  <c r="M173" i="2"/>
  <c r="M208" i="2"/>
  <c r="L209" i="2" s="1"/>
  <c r="F210" i="2" s="1"/>
  <c r="F211" i="2" s="1"/>
  <c r="L200" i="2"/>
</calcChain>
</file>

<file path=xl/sharedStrings.xml><?xml version="1.0" encoding="utf-8"?>
<sst xmlns="http://schemas.openxmlformats.org/spreadsheetml/2006/main" count="555" uniqueCount="167">
  <si>
    <t>Комерційна пропозиція</t>
  </si>
  <si>
    <r>
      <t xml:space="preserve">на влаштування гідроізоляційного покриття плоских покрівель з </t>
    </r>
    <r>
      <rPr>
        <b/>
        <u/>
        <sz val="14"/>
        <rFont val="Times New Roman"/>
        <family val="1"/>
        <charset val="204"/>
      </rPr>
      <t>Євроруберойду</t>
    </r>
  </si>
  <si>
    <t>дах Будинку №4</t>
  </si>
  <si>
    <t xml:space="preserve">Найменування об'єкту та його адреса: "Будівництво ТзОВ “Резерв плюс” багатоквартирних житлових будинків №№ 3, 6, 7 (на генплані), громадських будівель (з торгово-офісними площами, апарт-готелем, готелем) №№ 1, 2, 4, 5 (на генплані) з паркінгом, вбудованим приміщенням  групи тимчасового перебування  дітей № 6.1 (на генплані) та об’єктами інженерної інфраструктури (дахові котельні, трансформаторна підстанція) на вул. Лемківській,  9 у м. Львові зі знесенням існуючих будівель (у 7-ми чергах будівництва)".
</t>
  </si>
  <si>
    <t>м. Львів</t>
  </si>
  <si>
    <t>перший розрахунок - 29 вересня 2023 р.</t>
  </si>
  <si>
    <t>№ п/п</t>
  </si>
  <si>
    <t>Найменування робіт</t>
  </si>
  <si>
    <t>Од. вим.</t>
  </si>
  <si>
    <t>Кількість</t>
  </si>
  <si>
    <t xml:space="preserve">Вартість робіт, грн </t>
  </si>
  <si>
    <t>Найменування матеріалів</t>
  </si>
  <si>
    <t>Норма  витрат</t>
  </si>
  <si>
    <t>Вартість матеріалів, грн</t>
  </si>
  <si>
    <t>Вартість одиниці,                               грн</t>
  </si>
  <si>
    <t>вартість всього робіт, грн.</t>
  </si>
  <si>
    <t>вартість всього матеріалів, грн.</t>
  </si>
  <si>
    <t>Розділ 1. Влаштування гідроізоляційного покриття основної покрівлі паркінгу</t>
  </si>
  <si>
    <t>Влаштування пароізоляційного шару  на горизонт та примикання на висоту 0,15 м.</t>
  </si>
  <si>
    <t>м.кв.</t>
  </si>
  <si>
    <t>Плівка пароізоляційна "masterfol foil"</t>
  </si>
  <si>
    <t>м2</t>
  </si>
  <si>
    <t>Стрічка К2</t>
  </si>
  <si>
    <t>м.п.</t>
  </si>
  <si>
    <t>Вкладання теплоізоляційних плит 10 см в кілька шарів  (100мм. Пінопласт ПСБ (ЕPS))</t>
  </si>
  <si>
    <t>Плити пінополістирольні ESP-100 35 Lux</t>
  </si>
  <si>
    <t>м3</t>
  </si>
  <si>
    <t>Піна-клей SOUDABOND EASY GUN 750 мл піст</t>
  </si>
  <si>
    <t>шт</t>
  </si>
  <si>
    <t>Влаштування ухильної армованої ц/п стяжки М100 по утеплювачі з приготуванням розчину 8 см</t>
  </si>
  <si>
    <t>Цемент ПЦ ІІ/А-К (Ш-В)-500 Р тара 25кг</t>
  </si>
  <si>
    <t>т</t>
  </si>
  <si>
    <r>
      <t>Пісок білий митий</t>
    </r>
    <r>
      <rPr>
        <sz val="12"/>
        <color rgb="FFFF0000"/>
        <rFont val="Times New Roman"/>
        <family val="1"/>
        <charset val="204"/>
      </rPr>
      <t xml:space="preserve"> </t>
    </r>
  </si>
  <si>
    <t>Сітка "Армопояс"50х50х3</t>
  </si>
  <si>
    <t>Пластифікатор протиморозна добавка до бетону 1,5%</t>
  </si>
  <si>
    <t>кг</t>
  </si>
  <si>
    <t xml:space="preserve">Дизельне паливо </t>
  </si>
  <si>
    <t>л</t>
  </si>
  <si>
    <t xml:space="preserve"> 3.1</t>
  </si>
  <si>
    <t>Додавання до влаштування ухильної стяжки зі збільшенням товщини на 5 см</t>
  </si>
  <si>
    <t>Влаштування галтелі в примиканні до вертикальних площин плити паркінгу</t>
  </si>
  <si>
    <t>м/п</t>
  </si>
  <si>
    <t>Розчин цементний М150 на галтель</t>
  </si>
  <si>
    <t>Влаштування коменсаторів з оцинкованої сталі по деформаційних швах в примиканнях до будинку №2</t>
  </si>
  <si>
    <t>Компенсатор з оцинкованої сталі 0,45 (деформ шви)</t>
  </si>
  <si>
    <t>Дюбель забивний 6х60 мм</t>
  </si>
  <si>
    <t>Герметик п/урет. SOUDAFLEX 40</t>
  </si>
  <si>
    <t>шт.</t>
  </si>
  <si>
    <t xml:space="preserve">Нанесення грунтовки праймеру на горизонт та по примиканнях </t>
  </si>
  <si>
    <t>Бітумна грунтовка - праймер</t>
  </si>
  <si>
    <t>Влаштування двох шарів євроруберойду на горизонт</t>
  </si>
  <si>
    <t>Єврорубероїд Уніфлекс ЕПП 4,1</t>
  </si>
  <si>
    <t>Газ пропан</t>
  </si>
  <si>
    <t>Влаштування примикань руберойдом з заведенням на стіну  будинку шириною плаща рубероїду 1,4 м. в 2 шари</t>
  </si>
  <si>
    <t xml:space="preserve">Єврорубероїд Уніфлекс ЕПП 4,1 </t>
  </si>
  <si>
    <t>Влаштування звісів руберойдом в 2 шари (розрахункова ширина плаща 0,5 м)</t>
  </si>
  <si>
    <t>Виготовлення та монтаж притискної планки, обробка герметиком 60 мл/м</t>
  </si>
  <si>
    <t>Лист з оцинкованої сталі 0,45</t>
  </si>
  <si>
    <t>Притискна планка алюмінієва гладенька з отворами 20 мм (в примиканнях до дверей)</t>
  </si>
  <si>
    <t>Дюбель 6х40 мм</t>
  </si>
  <si>
    <t>Герметик п/урет soudaflex 40 600мл</t>
  </si>
  <si>
    <t>Влаштування воронок водостічних</t>
  </si>
  <si>
    <t>HL62H/1 Покрівельна лійка DN 110 з бітумним полотном</t>
  </si>
  <si>
    <t>Піна монтажна soudafoam maxi 70 870 мл</t>
  </si>
  <si>
    <t>Влаштування інспекційного колодязя</t>
  </si>
  <si>
    <t>Інспекційний колодязь на трап HL635N</t>
  </si>
  <si>
    <t>Надставка під інспекційни Колодязь HL636N (уточнити кількість в заленості на яку висоту монтувати розрахунково 70 см)</t>
  </si>
  <si>
    <t>Гравій 20-40 фасований в мішки 0,03 м3</t>
  </si>
  <si>
    <t xml:space="preserve">шт </t>
  </si>
  <si>
    <t xml:space="preserve">Влаштування дренажної мембрани і геотекстилю з заведенням на примикання на 30 см. </t>
  </si>
  <si>
    <t>Мембрана профільована Dr.Drain EKL 400</t>
  </si>
  <si>
    <t>Геотекстиль 150 ТФ 2х50м (100 кв.м) Пульсар</t>
  </si>
  <si>
    <t>Влаштування дренажної мембрани по примиканнях до стін на висоту до 1 м.</t>
  </si>
  <si>
    <t>м.пог.</t>
  </si>
  <si>
    <t>Влаштування щебеневої засипки h=5 см.</t>
  </si>
  <si>
    <t>Щебінь 2-5 мм,  фасований в бігбеги 1 м3</t>
  </si>
  <si>
    <t xml:space="preserve">Влаштування плівки пе  на горизонт </t>
  </si>
  <si>
    <t>Плівка пе 100 мкм</t>
  </si>
  <si>
    <t>Укладання бетону товщиною 100 мм. по горизонтальній площинні з ухилами та армуванням плити вічко 20х20 см.</t>
  </si>
  <si>
    <t>Бетон важкий С20/С25 (літній)</t>
  </si>
  <si>
    <t>Аматура 8 мм. А500</t>
  </si>
  <si>
    <t>Дрiт сталевий низьковуглецевий</t>
  </si>
  <si>
    <t>Фіксатор Піраміда 50х60 мм</t>
  </si>
  <si>
    <t xml:space="preserve">Оренда бетононасосу </t>
  </si>
  <si>
    <t>зміна</t>
  </si>
  <si>
    <t>Всього Робота по Розділу 1</t>
  </si>
  <si>
    <t>грн</t>
  </si>
  <si>
    <t>Всього Матеріали по Розділу 1</t>
  </si>
  <si>
    <t xml:space="preserve">Розділ 2. Влаштування гідроізоляційного покриття даху і даху котельної з Євроруберойду </t>
  </si>
  <si>
    <t>Влаштування пароізоляційного шару  на горизонт та примикання на висоту 0,25 м.</t>
  </si>
  <si>
    <t>Вкладання теплоізоляційних плит 20 см в кілька шарів  (200 мм. Пінопласт ПСБ (ЕPS))</t>
  </si>
  <si>
    <t>Вкладання теплоізоляційних плит по ухилах Пінопласт ПСБ (ЕPS) середньою т75мм</t>
  </si>
  <si>
    <t xml:space="preserve">Плити пінополістирольні ESP-90 ПС-М-35 </t>
  </si>
  <si>
    <t xml:space="preserve">Влаштування ухильної армованої ц/п стяжки М100 по утеплювачі з приготуванням розчину середньою т80мм </t>
  </si>
  <si>
    <t>Пісок білий митий</t>
  </si>
  <si>
    <t>Армосітка 120х120х3</t>
  </si>
  <si>
    <t>Влаштування галтелі</t>
  </si>
  <si>
    <t>Розчин на галтель</t>
  </si>
  <si>
    <t>Нанесення грунтовки праймеру по примиканнях до парапетів стін і в/к на 0,5 м</t>
  </si>
  <si>
    <t>Влаштування двох шарів євроруберойду на горизонт з механічним кріпленням першого шару</t>
  </si>
  <si>
    <t xml:space="preserve">Єврорубероїд Уніфлекс ЕПП </t>
  </si>
  <si>
    <t xml:space="preserve">Єврорубероїд Уніфлекс ЕКП </t>
  </si>
  <si>
    <t>Підкладка алюмінієво-цинкова "Шайба покрівельна" D50 "тарілка"</t>
  </si>
  <si>
    <t>Самонаріз по бетону 6,3х50 WBSW</t>
  </si>
  <si>
    <t>Влаштування примикань руберойдом h=0,3м (ширина плаща 0,4 м.) до парапетів вент. каналів та стін в 2 шари</t>
  </si>
  <si>
    <t>Єврорубероїд Уніфлекс ЕКП</t>
  </si>
  <si>
    <t>Монтаж аераторів</t>
  </si>
  <si>
    <t xml:space="preserve">Вентилятор покрівельний (флюгарка) </t>
  </si>
  <si>
    <t>Влаштування водостічних воронок</t>
  </si>
  <si>
    <t>Воронка Покрівельна, SANPOL 110/600 з нержавіючим фланцем,з термокабелем</t>
  </si>
  <si>
    <t>Труба каналізаційна ПВХ d110 L=500</t>
  </si>
  <si>
    <r>
      <t>Влаштування накривок парапетів з покрівельної сталі (</t>
    </r>
    <r>
      <rPr>
        <sz val="12"/>
        <color rgb="FFFF0000"/>
        <rFont val="Times New Roman"/>
        <family val="1"/>
        <charset val="204"/>
      </rPr>
      <t>без врахування накривок рустів)</t>
    </r>
  </si>
  <si>
    <t>Плита ОСБ 10 мм</t>
  </si>
  <si>
    <t>Самонаріз до блях з прокладкою 5.5х32 Ral7024</t>
  </si>
  <si>
    <t>Фартух з покрівельної сталі 0,45 на парапети будинку Ral7024 U.S.Steel Košice,s.r.o</t>
  </si>
  <si>
    <t>м</t>
  </si>
  <si>
    <t>Підкладка алюмінієво-цинкова д50</t>
  </si>
  <si>
    <t xml:space="preserve">Дюбель рамний 8х80 мм </t>
  </si>
  <si>
    <t>Всього Робота по Розділу 2</t>
  </si>
  <si>
    <t>Всього Матеріали по Розділу 2</t>
  </si>
  <si>
    <t>Розділ 3. Влаштування гідроізоляційного покриття терасси 1 з ПВХ мембрани</t>
  </si>
  <si>
    <t>Прокладання геотекстилю по горизонту</t>
  </si>
  <si>
    <t>Геотекстиль термоскріплений 150 г/м2</t>
  </si>
  <si>
    <t>Ввлаштування ПВХ-мембрани  по горизонту</t>
  </si>
  <si>
    <t xml:space="preserve">ПВХ-мембрана  армована 1,5 мм </t>
  </si>
  <si>
    <t xml:space="preserve">Вкладання утеплювача екстр. пінопласту 10 см у вертикальних примиканнях  h=25-30 см. </t>
  </si>
  <si>
    <t>Екструдований пінопласт XPS  50 мм</t>
  </si>
  <si>
    <t>Засоби кріплення для теплоізоляційних плит</t>
  </si>
  <si>
    <t>Влаштування примикань ПВХ мембраною до стін на висоту до h=0,3 м. та до дверних конструкцій</t>
  </si>
  <si>
    <t>Планка з пвх сталі</t>
  </si>
  <si>
    <t>Прижимна планка з оцинкованої сталі</t>
  </si>
  <si>
    <t xml:space="preserve">Засоби кріплення </t>
  </si>
  <si>
    <t>Влаштування воронок водостічних *без пробурювання отвору</t>
  </si>
  <si>
    <t>Воронка водостічна ПВХ 110 мм. з прийомною чашею та обігрівом</t>
  </si>
  <si>
    <t>Листяуловлювач для вертикальної воронки 110 мм.</t>
  </si>
  <si>
    <t xml:space="preserve">Влаштування дренажної мембрани і геотекстилю </t>
  </si>
  <si>
    <t>Дренажна мембрана 0,4</t>
  </si>
  <si>
    <t>Влаштування щебеневої засипки h=6 см.</t>
  </si>
  <si>
    <t>Щебінь 2 - 5 мм,  фасований в бігбеги 1 м3</t>
  </si>
  <si>
    <t>Всього Робота по Розділу 3</t>
  </si>
  <si>
    <t>Всього Матеріали по Розділу 3</t>
  </si>
  <si>
    <t>Розділ 4. Влаштування гідроізоляційного покриття терасси 3 з ПВХ мембрани</t>
  </si>
  <si>
    <t>Пластифікатор добавка до бетону 0,5%</t>
  </si>
  <si>
    <t xml:space="preserve">Вкладання утеплювача екстр. пінопласту 10 см у вертикальних примиканнях h=25-30 см. </t>
  </si>
  <si>
    <t>Всього Робота по Розділу 4</t>
  </si>
  <si>
    <t>Всього Матеріали по Розділу 4</t>
  </si>
  <si>
    <t>Розділ 5. Влаштування гідроізоляційного покриття терасси на покрівлі з ПВХ мембрани</t>
  </si>
  <si>
    <t xml:space="preserve">Вкладання утеплювача екстр. пінопласту 10 см у вертикальних примиканнях  h=25-30 см.  </t>
  </si>
  <si>
    <t xml:space="preserve">Влаштування примикань ПВХ мембраною на висоту до h=0,3 м. </t>
  </si>
  <si>
    <t>Всього Робота по Розділу 5</t>
  </si>
  <si>
    <t>Всього Матеріали по Розділу 5</t>
  </si>
  <si>
    <t xml:space="preserve">Розділ 6. Влаштування гідроізоляційного покриття з євроруберойду по бетонних кришках вентиляційних каналів </t>
  </si>
  <si>
    <t>Монтаж відливу по краю бетонних накривок вент. Каналів (Роботи з помостів або драбин)</t>
  </si>
  <si>
    <t>Відлив (скрапник) з покрівельного металу 0,45 на комини U.S.Steel Košice,s.r.o</t>
  </si>
  <si>
    <t>Грунтування праймером поверхні бетонних накривок вент. Каналів (Роботи з помостів або драбин)</t>
  </si>
  <si>
    <t>Влаштування 1 шару руберойду по верху бетонних накривок вент. Каналів (Роботи з помостів або драбин)</t>
  </si>
  <si>
    <t>Всього Робота по Розділу 6</t>
  </si>
  <si>
    <t>Всього Матеріали по Розділу 6</t>
  </si>
  <si>
    <t>Всього вартість робіт, грн з ПДВ</t>
  </si>
  <si>
    <t>Всього вартість матеріалів, грн з ПДВ</t>
  </si>
  <si>
    <t>ВСЬОГО вартість робіт та матеріалів, грн з ПДВ</t>
  </si>
  <si>
    <t>у т.ч ПДВ, 20%</t>
  </si>
  <si>
    <t>* Дана пропозиція складена станом на 29 вересня 2023 р.</t>
  </si>
  <si>
    <r>
      <t xml:space="preserve">** Вартість оренди вантажно-підіймальної техніки необхідної для виконання робіт в даній пропозицї </t>
    </r>
    <r>
      <rPr>
        <b/>
        <i/>
        <u/>
        <sz val="12"/>
        <rFont val="Times New Roman"/>
        <family val="1"/>
        <charset val="204"/>
      </rPr>
      <t>не врахована</t>
    </r>
    <r>
      <rPr>
        <i/>
        <sz val="12"/>
        <rFont val="Times New Roman"/>
        <family val="1"/>
        <charset val="204"/>
      </rPr>
      <t xml:space="preserve"> </t>
    </r>
  </si>
  <si>
    <t>*** Сипучі матеріали такі як пісок привозяться на будівельний майданчик кратно машинам 25 м3 і включаються в акт в повному об'ємі</t>
  </si>
  <si>
    <r>
      <t xml:space="preserve">****В даній пропозиції </t>
    </r>
    <r>
      <rPr>
        <b/>
        <i/>
        <sz val="12"/>
        <rFont val="Times New Roman"/>
        <family val="1"/>
        <charset val="204"/>
      </rPr>
      <t xml:space="preserve">не врахована </t>
    </r>
    <r>
      <rPr>
        <i/>
        <sz val="12"/>
        <rFont val="Times New Roman"/>
        <family val="1"/>
        <charset val="204"/>
      </rPr>
      <t>герметизація комунікаційних проходжень та різного роду опор, що проходять крізь гідроізоляційний шар</t>
    </r>
  </si>
  <si>
    <t>***** Вартість піску , цементу, бетону  в Акті виконаних робіт буде врахована як поточна, яка діятиме  на момент виконання робіт (фактичної закупівлі).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</si>
</sst>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#,##0.000"/>
    <numFmt numFmtId="166" formatCode="0.0"/>
    <numFmt numFmtId="167" formatCode="#,##0.0"/>
    <numFmt numFmtId="168" formatCode="0.000"/>
    <numFmt numFmtId="169" formatCode="_-* #,##0.00_р_._-;\-* #,##0.0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</cellStyleXfs>
  <cellXfs count="412">
    <xf numFmtId="0" fontId="0" fillId="0" borderId="0" xfId="0"/>
    <xf numFmtId="0" fontId="5" fillId="0" borderId="0" xfId="1" applyFont="1"/>
    <xf numFmtId="0" fontId="2" fillId="0" borderId="0" xfId="1"/>
    <xf numFmtId="0" fontId="1" fillId="0" borderId="0" xfId="3"/>
    <xf numFmtId="1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" fontId="8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4" applyFont="1" applyAlignment="1">
      <alignment horizontal="left" vertical="center"/>
    </xf>
    <xf numFmtId="0" fontId="16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horizontal="right" vertical="center" wrapText="1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13" fillId="2" borderId="5" xfId="4" applyFont="1" applyFill="1" applyBorder="1" applyAlignment="1">
      <alignment horizontal="center" vertical="center" wrapText="1" shrinkToFit="1"/>
    </xf>
    <xf numFmtId="0" fontId="13" fillId="2" borderId="6" xfId="4" applyFont="1" applyFill="1" applyBorder="1" applyAlignment="1">
      <alignment horizontal="center" vertical="center" wrapText="1" shrinkToFit="1"/>
    </xf>
    <xf numFmtId="1" fontId="13" fillId="2" borderId="7" xfId="4" applyNumberFormat="1" applyFont="1" applyFill="1" applyBorder="1" applyAlignment="1">
      <alignment horizontal="center" vertical="center"/>
    </xf>
    <xf numFmtId="1" fontId="13" fillId="2" borderId="7" xfId="4" applyNumberFormat="1" applyFont="1" applyFill="1" applyBorder="1" applyAlignment="1">
      <alignment horizontal="center" vertical="center" wrapText="1" shrinkToFit="1"/>
    </xf>
    <xf numFmtId="1" fontId="13" fillId="2" borderId="8" xfId="4" applyNumberFormat="1" applyFont="1" applyFill="1" applyBorder="1" applyAlignment="1">
      <alignment horizontal="center" vertical="center" wrapText="1"/>
    </xf>
    <xf numFmtId="1" fontId="13" fillId="3" borderId="9" xfId="4" applyNumberFormat="1" applyFont="1" applyFill="1" applyBorder="1" applyAlignment="1">
      <alignment horizontal="center" vertical="center" wrapText="1"/>
    </xf>
    <xf numFmtId="1" fontId="16" fillId="3" borderId="10" xfId="1" applyNumberFormat="1" applyFont="1" applyFill="1" applyBorder="1" applyAlignment="1">
      <alignment vertical="center"/>
    </xf>
    <xf numFmtId="1" fontId="13" fillId="3" borderId="7" xfId="4" applyNumberFormat="1" applyFont="1" applyFill="1" applyBorder="1" applyAlignment="1">
      <alignment horizontal="center" vertical="center" wrapText="1" shrinkToFit="1"/>
    </xf>
    <xf numFmtId="1" fontId="13" fillId="3" borderId="7" xfId="4" applyNumberFormat="1" applyFont="1" applyFill="1" applyBorder="1" applyAlignment="1">
      <alignment horizontal="center" vertical="center" wrapText="1"/>
    </xf>
    <xf numFmtId="1" fontId="13" fillId="3" borderId="5" xfId="4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center" vertical="center"/>
    </xf>
    <xf numFmtId="2" fontId="17" fillId="2" borderId="5" xfId="3" applyNumberFormat="1" applyFont="1" applyFill="1" applyBorder="1" applyAlignment="1">
      <alignment horizontal="center" vertical="center"/>
    </xf>
    <xf numFmtId="4" fontId="13" fillId="2" borderId="5" xfId="4" applyNumberFormat="1" applyFont="1" applyFill="1" applyBorder="1" applyAlignment="1">
      <alignment horizontal="center" vertical="center"/>
    </xf>
    <xf numFmtId="4" fontId="17" fillId="2" borderId="5" xfId="3" applyNumberFormat="1" applyFont="1" applyFill="1" applyBorder="1" applyAlignment="1">
      <alignment horizontal="center" vertical="center"/>
    </xf>
    <xf numFmtId="4" fontId="13" fillId="2" borderId="11" xfId="4" applyNumberFormat="1" applyFont="1" applyFill="1" applyBorder="1" applyAlignment="1">
      <alignment horizontal="center" vertical="center" wrapText="1"/>
    </xf>
    <xf numFmtId="4" fontId="17" fillId="2" borderId="13" xfId="3" applyNumberFormat="1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vertical="center" wrapText="1"/>
    </xf>
    <xf numFmtId="0" fontId="13" fillId="2" borderId="5" xfId="4" applyFont="1" applyFill="1" applyBorder="1" applyAlignment="1">
      <alignment horizontal="center" vertical="center" wrapText="1"/>
    </xf>
    <xf numFmtId="165" fontId="13" fillId="2" borderId="5" xfId="4" applyNumberFormat="1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left" vertical="center" wrapText="1"/>
    </xf>
    <xf numFmtId="0" fontId="17" fillId="2" borderId="5" xfId="3" applyFont="1" applyFill="1" applyBorder="1" applyAlignment="1">
      <alignment horizontal="center" vertical="center"/>
    </xf>
    <xf numFmtId="165" fontId="17" fillId="2" borderId="5" xfId="3" applyNumberFormat="1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vertical="center" wrapText="1"/>
    </xf>
    <xf numFmtId="0" fontId="13" fillId="2" borderId="5" xfId="3" applyFont="1" applyFill="1" applyBorder="1" applyAlignment="1">
      <alignment horizontal="center" vertical="center"/>
    </xf>
    <xf numFmtId="165" fontId="13" fillId="2" borderId="13" xfId="4" applyNumberFormat="1" applyFont="1" applyFill="1" applyBorder="1" applyAlignment="1">
      <alignment horizontal="center" vertical="center" wrapText="1"/>
    </xf>
    <xf numFmtId="4" fontId="13" fillId="2" borderId="13" xfId="4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2" borderId="5" xfId="3" applyFont="1" applyFill="1" applyBorder="1" applyAlignment="1">
      <alignment wrapText="1"/>
    </xf>
    <xf numFmtId="4" fontId="13" fillId="2" borderId="13" xfId="1" applyNumberFormat="1" applyFont="1" applyFill="1" applyBorder="1" applyAlignment="1">
      <alignment horizontal="center" vertical="center"/>
    </xf>
    <xf numFmtId="1" fontId="13" fillId="2" borderId="4" xfId="4" applyNumberFormat="1" applyFont="1" applyFill="1" applyBorder="1" applyAlignment="1">
      <alignment horizontal="center" vertical="center"/>
    </xf>
    <xf numFmtId="0" fontId="13" fillId="2" borderId="5" xfId="4" applyFont="1" applyFill="1" applyBorder="1" applyAlignment="1">
      <alignment horizontal="left" vertical="center" wrapText="1"/>
    </xf>
    <xf numFmtId="0" fontId="13" fillId="2" borderId="5" xfId="4" applyFont="1" applyFill="1" applyBorder="1" applyAlignment="1">
      <alignment horizontal="center" vertical="center"/>
    </xf>
    <xf numFmtId="2" fontId="13" fillId="2" borderId="5" xfId="4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4" fontId="18" fillId="2" borderId="5" xfId="4" applyNumberFormat="1" applyFont="1" applyFill="1" applyBorder="1" applyAlignment="1" applyProtection="1">
      <alignment horizontal="center" vertical="center"/>
      <protection locked="0"/>
    </xf>
    <xf numFmtId="4" fontId="18" fillId="2" borderId="5" xfId="4" applyNumberFormat="1" applyFont="1" applyFill="1" applyBorder="1" applyAlignment="1">
      <alignment horizontal="center" vertical="center"/>
    </xf>
    <xf numFmtId="0" fontId="13" fillId="2" borderId="5" xfId="5" applyFont="1" applyFill="1" applyBorder="1" applyAlignment="1">
      <alignment horizontal="left" vertical="center" wrapText="1"/>
    </xf>
    <xf numFmtId="0" fontId="18" fillId="2" borderId="5" xfId="5" applyFont="1" applyFill="1" applyBorder="1" applyAlignment="1" applyProtection="1">
      <alignment horizontal="center" vertical="center"/>
      <protection locked="0"/>
    </xf>
    <xf numFmtId="3" fontId="18" fillId="2" borderId="5" xfId="5" applyNumberFormat="1" applyFont="1" applyFill="1" applyBorder="1" applyAlignment="1" applyProtection="1">
      <alignment horizontal="center" vertical="center"/>
      <protection locked="0"/>
    </xf>
    <xf numFmtId="2" fontId="13" fillId="2" borderId="5" xfId="5" applyNumberFormat="1" applyFont="1" applyFill="1" applyBorder="1" applyAlignment="1">
      <alignment horizontal="center" vertical="center"/>
    </xf>
    <xf numFmtId="4" fontId="18" fillId="2" borderId="5" xfId="5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left" vertical="center" wrapText="1"/>
    </xf>
    <xf numFmtId="166" fontId="13" fillId="2" borderId="5" xfId="1" applyNumberFormat="1" applyFont="1" applyFill="1" applyBorder="1" applyAlignment="1">
      <alignment horizontal="center" vertical="center"/>
    </xf>
    <xf numFmtId="4" fontId="18" fillId="2" borderId="13" xfId="5" applyNumberFormat="1" applyFont="1" applyFill="1" applyBorder="1" applyAlignment="1">
      <alignment horizontal="center" vertical="center"/>
    </xf>
    <xf numFmtId="0" fontId="13" fillId="2" borderId="5" xfId="6" applyFont="1" applyFill="1" applyBorder="1" applyAlignment="1">
      <alignment wrapText="1"/>
    </xf>
    <xf numFmtId="0" fontId="13" fillId="2" borderId="5" xfId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4" fontId="13" fillId="2" borderId="11" xfId="6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wrapText="1"/>
    </xf>
    <xf numFmtId="0" fontId="4" fillId="0" borderId="0" xfId="4" applyFont="1" applyAlignment="1">
      <alignment vertical="center"/>
    </xf>
    <xf numFmtId="0" fontId="13" fillId="0" borderId="5" xfId="4" applyFont="1" applyBorder="1" applyAlignment="1">
      <alignment vertical="center" wrapText="1"/>
    </xf>
    <xf numFmtId="167" fontId="13" fillId="0" borderId="5" xfId="4" applyNumberFormat="1" applyFont="1" applyBorder="1" applyAlignment="1">
      <alignment horizontal="center" vertical="center" wrapText="1"/>
    </xf>
    <xf numFmtId="4" fontId="13" fillId="0" borderId="5" xfId="4" applyNumberFormat="1" applyFont="1" applyBorder="1" applyAlignment="1">
      <alignment horizontal="center" vertical="center"/>
    </xf>
    <xf numFmtId="4" fontId="13" fillId="0" borderId="6" xfId="4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left" vertical="center" wrapText="1"/>
    </xf>
    <xf numFmtId="0" fontId="17" fillId="0" borderId="5" xfId="3" applyFont="1" applyBorder="1" applyAlignment="1">
      <alignment horizontal="center" vertical="center"/>
    </xf>
    <xf numFmtId="4" fontId="17" fillId="0" borderId="5" xfId="3" applyNumberFormat="1" applyFont="1" applyBorder="1" applyAlignment="1">
      <alignment horizontal="center" vertical="center"/>
    </xf>
    <xf numFmtId="168" fontId="13" fillId="0" borderId="5" xfId="1" applyNumberFormat="1" applyFont="1" applyBorder="1" applyAlignment="1">
      <alignment horizontal="center" vertical="center"/>
    </xf>
    <xf numFmtId="166" fontId="13" fillId="0" borderId="5" xfId="1" applyNumberFormat="1" applyFont="1" applyBorder="1" applyAlignment="1">
      <alignment horizontal="center" vertical="center"/>
    </xf>
    <xf numFmtId="2" fontId="18" fillId="0" borderId="5" xfId="5" applyNumberFormat="1" applyFont="1" applyBorder="1" applyAlignment="1">
      <alignment horizontal="center" vertical="center"/>
    </xf>
    <xf numFmtId="4" fontId="13" fillId="2" borderId="11" xfId="1" applyNumberFormat="1" applyFont="1" applyFill="1" applyBorder="1" applyAlignment="1">
      <alignment horizontal="center" vertical="center" wrapText="1"/>
    </xf>
    <xf numFmtId="0" fontId="18" fillId="2" borderId="5" xfId="7" applyFont="1" applyFill="1" applyBorder="1" applyAlignment="1" applyProtection="1">
      <alignment horizontal="center" vertical="center"/>
      <protection locked="0"/>
    </xf>
    <xf numFmtId="4" fontId="18" fillId="2" borderId="5" xfId="7" applyNumberFormat="1" applyFont="1" applyFill="1" applyBorder="1" applyAlignment="1" applyProtection="1">
      <alignment horizontal="center" vertical="center"/>
      <protection locked="0"/>
    </xf>
    <xf numFmtId="2" fontId="13" fillId="0" borderId="5" xfId="3" applyNumberFormat="1" applyFont="1" applyBorder="1" applyAlignment="1">
      <alignment horizontal="center" vertical="center"/>
    </xf>
    <xf numFmtId="0" fontId="13" fillId="0" borderId="5" xfId="6" applyFont="1" applyBorder="1" applyAlignment="1">
      <alignment vertical="center" wrapText="1"/>
    </xf>
    <xf numFmtId="4" fontId="13" fillId="0" borderId="13" xfId="6" applyNumberFormat="1" applyFont="1" applyBorder="1" applyAlignment="1">
      <alignment horizontal="center" vertical="center" wrapText="1"/>
    </xf>
    <xf numFmtId="4" fontId="13" fillId="0" borderId="11" xfId="6" applyNumberFormat="1" applyFont="1" applyBorder="1" applyAlignment="1">
      <alignment horizontal="center" vertical="center" wrapText="1"/>
    </xf>
    <xf numFmtId="0" fontId="13" fillId="0" borderId="0" xfId="6" applyFont="1" applyAlignment="1">
      <alignment vertical="center"/>
    </xf>
    <xf numFmtId="0" fontId="13" fillId="0" borderId="5" xfId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4" fontId="13" fillId="0" borderId="11" xfId="4" applyNumberFormat="1" applyFont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/>
    </xf>
    <xf numFmtId="4" fontId="13" fillId="2" borderId="6" xfId="1" applyNumberFormat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vertical="center" wrapText="1"/>
    </xf>
    <xf numFmtId="0" fontId="17" fillId="2" borderId="13" xfId="3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vertical="center" wrapText="1"/>
    </xf>
    <xf numFmtId="0" fontId="13" fillId="2" borderId="15" xfId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wrapText="1"/>
    </xf>
    <xf numFmtId="168" fontId="13" fillId="2" borderId="5" xfId="7" applyNumberFormat="1" applyFont="1" applyFill="1" applyBorder="1" applyAlignment="1">
      <alignment horizontal="center" vertical="center"/>
    </xf>
    <xf numFmtId="2" fontId="13" fillId="2" borderId="10" xfId="7" applyNumberFormat="1" applyFont="1" applyFill="1" applyBorder="1" applyAlignment="1">
      <alignment horizontal="center" vertical="center"/>
    </xf>
    <xf numFmtId="4" fontId="18" fillId="2" borderId="5" xfId="7" applyNumberFormat="1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13" fillId="0" borderId="0" xfId="8" applyFont="1" applyAlignment="1">
      <alignment vertical="center"/>
    </xf>
    <xf numFmtId="168" fontId="13" fillId="2" borderId="5" xfId="3" applyNumberFormat="1" applyFont="1" applyFill="1" applyBorder="1" applyAlignment="1">
      <alignment horizontal="center" vertical="center"/>
    </xf>
    <xf numFmtId="4" fontId="13" fillId="2" borderId="10" xfId="4" applyNumberFormat="1" applyFont="1" applyFill="1" applyBorder="1" applyAlignment="1">
      <alignment horizontal="center" vertical="center"/>
    </xf>
    <xf numFmtId="4" fontId="13" fillId="2" borderId="5" xfId="3" applyNumberFormat="1" applyFont="1" applyFill="1" applyBorder="1" applyAlignment="1">
      <alignment horizontal="center" vertical="center"/>
    </xf>
    <xf numFmtId="2" fontId="13" fillId="2" borderId="5" xfId="3" applyNumberFormat="1" applyFont="1" applyFill="1" applyBorder="1" applyAlignment="1">
      <alignment horizontal="center" vertical="center"/>
    </xf>
    <xf numFmtId="165" fontId="13" fillId="2" borderId="10" xfId="4" applyNumberFormat="1" applyFont="1" applyFill="1" applyBorder="1" applyAlignment="1">
      <alignment horizontal="center" vertical="center"/>
    </xf>
    <xf numFmtId="166" fontId="13" fillId="2" borderId="5" xfId="3" applyNumberFormat="1" applyFont="1" applyFill="1" applyBorder="1" applyAlignment="1">
      <alignment horizontal="center" vertical="center"/>
    </xf>
    <xf numFmtId="4" fontId="13" fillId="2" borderId="6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2" fontId="13" fillId="4" borderId="17" xfId="4" applyNumberFormat="1" applyFont="1" applyFill="1" applyBorder="1" applyAlignment="1">
      <alignment horizontal="center" vertical="center"/>
    </xf>
    <xf numFmtId="169" fontId="13" fillId="4" borderId="17" xfId="9" applyNumberFormat="1" applyFont="1" applyFill="1" applyBorder="1" applyAlignment="1">
      <alignment horizontal="center" vertical="center"/>
    </xf>
    <xf numFmtId="2" fontId="13" fillId="4" borderId="17" xfId="5" applyNumberFormat="1" applyFont="1" applyFill="1" applyBorder="1" applyAlignment="1">
      <alignment horizontal="center" vertical="center"/>
    </xf>
    <xf numFmtId="4" fontId="13" fillId="4" borderId="17" xfId="1" applyNumberFormat="1" applyFont="1" applyFill="1" applyBorder="1" applyAlignment="1">
      <alignment horizontal="center" vertical="center" wrapText="1"/>
    </xf>
    <xf numFmtId="4" fontId="13" fillId="4" borderId="18" xfId="1" applyNumberFormat="1" applyFont="1" applyFill="1" applyBorder="1" applyAlignment="1">
      <alignment horizontal="center" vertical="center" wrapText="1"/>
    </xf>
    <xf numFmtId="1" fontId="16" fillId="3" borderId="19" xfId="4" applyNumberFormat="1" applyFont="1" applyFill="1" applyBorder="1" applyAlignment="1">
      <alignment vertical="center" wrapText="1"/>
    </xf>
    <xf numFmtId="1" fontId="16" fillId="3" borderId="20" xfId="4" applyNumberFormat="1" applyFont="1" applyFill="1" applyBorder="1" applyAlignment="1">
      <alignment vertical="center"/>
    </xf>
    <xf numFmtId="1" fontId="16" fillId="3" borderId="21" xfId="4" applyNumberFormat="1" applyFont="1" applyFill="1" applyBorder="1" applyAlignment="1">
      <alignment vertical="center" wrapText="1"/>
    </xf>
    <xf numFmtId="1" fontId="16" fillId="3" borderId="22" xfId="4" applyNumberFormat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2" fontId="17" fillId="0" borderId="2" xfId="3" applyNumberFormat="1" applyFont="1" applyBorder="1" applyAlignment="1">
      <alignment horizontal="center" vertical="center"/>
    </xf>
    <xf numFmtId="4" fontId="13" fillId="0" borderId="2" xfId="4" applyNumberFormat="1" applyFont="1" applyBorder="1" applyAlignment="1">
      <alignment horizontal="center" vertical="center"/>
    </xf>
    <xf numFmtId="4" fontId="13" fillId="0" borderId="3" xfId="4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 wrapText="1"/>
    </xf>
    <xf numFmtId="2" fontId="17" fillId="0" borderId="5" xfId="3" applyNumberFormat="1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65" fontId="13" fillId="0" borderId="5" xfId="4" applyNumberFormat="1" applyFont="1" applyBorder="1" applyAlignment="1">
      <alignment horizontal="center" vertical="center" wrapText="1"/>
    </xf>
    <xf numFmtId="165" fontId="17" fillId="0" borderId="5" xfId="3" applyNumberFormat="1" applyFont="1" applyBorder="1" applyAlignment="1">
      <alignment horizontal="center" vertical="center"/>
    </xf>
    <xf numFmtId="0" fontId="13" fillId="0" borderId="0" xfId="7" applyFont="1"/>
    <xf numFmtId="0" fontId="4" fillId="0" borderId="0" xfId="1" applyFont="1" applyAlignment="1">
      <alignment vertical="center"/>
    </xf>
    <xf numFmtId="0" fontId="13" fillId="0" borderId="5" xfId="3" applyFont="1" applyBorder="1" applyAlignment="1">
      <alignment horizontal="center" vertical="center"/>
    </xf>
    <xf numFmtId="4" fontId="13" fillId="0" borderId="5" xfId="4" applyNumberFormat="1" applyFont="1" applyBorder="1" applyAlignment="1">
      <alignment horizontal="center" vertical="center" wrapText="1"/>
    </xf>
    <xf numFmtId="0" fontId="13" fillId="0" borderId="5" xfId="3" applyFont="1" applyBorder="1" applyAlignment="1">
      <alignment vertical="center" wrapText="1"/>
    </xf>
    <xf numFmtId="0" fontId="13" fillId="0" borderId="5" xfId="3" applyFont="1" applyBorder="1" applyAlignment="1">
      <alignment wrapText="1"/>
    </xf>
    <xf numFmtId="0" fontId="13" fillId="0" borderId="5" xfId="3" applyFont="1" applyBorder="1" applyAlignment="1">
      <alignment horizontal="center"/>
    </xf>
    <xf numFmtId="1" fontId="13" fillId="2" borderId="4" xfId="4" applyNumberFormat="1" applyFont="1" applyFill="1" applyBorder="1" applyAlignment="1">
      <alignment horizontal="center"/>
    </xf>
    <xf numFmtId="0" fontId="13" fillId="0" borderId="5" xfId="4" applyFont="1" applyBorder="1" applyAlignment="1">
      <alignment horizontal="center" vertical="center"/>
    </xf>
    <xf numFmtId="2" fontId="13" fillId="0" borderId="5" xfId="4" applyNumberFormat="1" applyFont="1" applyBorder="1" applyAlignment="1">
      <alignment horizontal="center" vertical="center"/>
    </xf>
    <xf numFmtId="0" fontId="13" fillId="0" borderId="5" xfId="1" applyFont="1" applyBorder="1" applyAlignment="1">
      <alignment wrapText="1"/>
    </xf>
    <xf numFmtId="168" fontId="13" fillId="0" borderId="5" xfId="1" applyNumberFormat="1" applyFont="1" applyBorder="1" applyAlignment="1">
      <alignment horizontal="center"/>
    </xf>
    <xf numFmtId="0" fontId="13" fillId="0" borderId="5" xfId="0" applyFont="1" applyBorder="1" applyAlignment="1">
      <alignment wrapText="1"/>
    </xf>
    <xf numFmtId="4" fontId="13" fillId="0" borderId="5" xfId="6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3" fillId="0" borderId="5" xfId="4" applyFont="1" applyBorder="1" applyAlignment="1">
      <alignment horizontal="left" vertical="center" wrapText="1"/>
    </xf>
    <xf numFmtId="1" fontId="13" fillId="0" borderId="5" xfId="1" applyNumberFormat="1" applyFont="1" applyBorder="1" applyAlignment="1">
      <alignment horizontal="center" vertical="center"/>
    </xf>
    <xf numFmtId="0" fontId="13" fillId="0" borderId="5" xfId="10" applyFont="1" applyBorder="1" applyAlignment="1">
      <alignment vertical="center" wrapText="1"/>
    </xf>
    <xf numFmtId="1" fontId="13" fillId="0" borderId="5" xfId="1" applyNumberFormat="1" applyFont="1" applyBorder="1" applyAlignment="1">
      <alignment horizontal="center"/>
    </xf>
    <xf numFmtId="0" fontId="13" fillId="0" borderId="5" xfId="4" applyFont="1" applyBorder="1" applyAlignment="1">
      <alignment wrapText="1"/>
    </xf>
    <xf numFmtId="0" fontId="18" fillId="0" borderId="5" xfId="1" applyFont="1" applyBorder="1" applyAlignment="1" applyProtection="1">
      <alignment horizontal="center" vertical="center"/>
      <protection locked="0"/>
    </xf>
    <xf numFmtId="4" fontId="18" fillId="0" borderId="5" xfId="1" applyNumberFormat="1" applyFont="1" applyBorder="1" applyAlignment="1" applyProtection="1">
      <alignment horizontal="center" vertical="center"/>
      <protection locked="0"/>
    </xf>
    <xf numFmtId="2" fontId="13" fillId="0" borderId="5" xfId="0" applyNumberFormat="1" applyFont="1" applyBorder="1" applyAlignment="1">
      <alignment horizontal="center" vertical="center"/>
    </xf>
    <xf numFmtId="3" fontId="18" fillId="0" borderId="5" xfId="1" applyNumberFormat="1" applyFont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2" fontId="18" fillId="3" borderId="5" xfId="1" applyNumberFormat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 applyProtection="1">
      <alignment horizontal="center" vertical="center"/>
      <protection locked="0"/>
    </xf>
    <xf numFmtId="166" fontId="13" fillId="3" borderId="5" xfId="0" applyNumberFormat="1" applyFont="1" applyFill="1" applyBorder="1" applyAlignment="1">
      <alignment horizontal="center" vertical="center"/>
    </xf>
    <xf numFmtId="4" fontId="18" fillId="3" borderId="5" xfId="1" applyNumberFormat="1" applyFont="1" applyFill="1" applyBorder="1" applyAlignment="1" applyProtection="1">
      <alignment horizontal="center" vertical="center"/>
      <protection locked="0"/>
    </xf>
    <xf numFmtId="2" fontId="13" fillId="3" borderId="5" xfId="1" applyNumberFormat="1" applyFont="1" applyFill="1" applyBorder="1" applyAlignment="1">
      <alignment horizontal="center"/>
    </xf>
    <xf numFmtId="4" fontId="13" fillId="3" borderId="5" xfId="4" applyNumberFormat="1" applyFont="1" applyFill="1" applyBorder="1" applyAlignment="1">
      <alignment horizontal="center" vertical="center" wrapText="1"/>
    </xf>
    <xf numFmtId="0" fontId="17" fillId="0" borderId="5" xfId="4" applyFont="1" applyBorder="1" applyAlignment="1">
      <alignment vertical="center" wrapText="1"/>
    </xf>
    <xf numFmtId="0" fontId="17" fillId="0" borderId="13" xfId="3" applyFont="1" applyBorder="1" applyAlignment="1">
      <alignment horizontal="center" vertical="center"/>
    </xf>
    <xf numFmtId="0" fontId="13" fillId="0" borderId="5" xfId="3" applyFont="1" applyBorder="1" applyAlignment="1">
      <alignment horizontal="left" vertical="center" wrapText="1"/>
    </xf>
    <xf numFmtId="4" fontId="13" fillId="5" borderId="6" xfId="4" applyNumberFormat="1" applyFont="1" applyFill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/>
    </xf>
    <xf numFmtId="166" fontId="13" fillId="0" borderId="5" xfId="5" applyNumberFormat="1" applyFont="1" applyBorder="1" applyAlignment="1">
      <alignment horizontal="center" vertical="center"/>
    </xf>
    <xf numFmtId="2" fontId="13" fillId="0" borderId="5" xfId="5" applyNumberFormat="1" applyFont="1" applyBorder="1" applyAlignment="1">
      <alignment horizontal="center" vertical="center"/>
    </xf>
    <xf numFmtId="166" fontId="17" fillId="0" borderId="5" xfId="3" applyNumberFormat="1" applyFont="1" applyBorder="1" applyAlignment="1">
      <alignment horizontal="center" vertical="center"/>
    </xf>
    <xf numFmtId="0" fontId="13" fillId="0" borderId="5" xfId="5" applyFont="1" applyBorder="1" applyAlignment="1">
      <alignment horizontal="left" vertical="center" wrapText="1"/>
    </xf>
    <xf numFmtId="0" fontId="18" fillId="0" borderId="5" xfId="5" applyFont="1" applyBorder="1" applyAlignment="1" applyProtection="1">
      <alignment horizontal="center" vertical="center"/>
      <protection locked="0"/>
    </xf>
    <xf numFmtId="3" fontId="18" fillId="0" borderId="5" xfId="5" applyNumberFormat="1" applyFont="1" applyBorder="1" applyAlignment="1" applyProtection="1">
      <alignment horizontal="center" vertical="center"/>
      <protection locked="0"/>
    </xf>
    <xf numFmtId="2" fontId="18" fillId="0" borderId="13" xfId="5" applyNumberFormat="1" applyFont="1" applyBorder="1" applyAlignment="1">
      <alignment horizontal="center" vertical="center"/>
    </xf>
    <xf numFmtId="167" fontId="18" fillId="0" borderId="5" xfId="5" applyNumberFormat="1" applyFont="1" applyBorder="1" applyAlignment="1" applyProtection="1">
      <alignment horizontal="center" vertical="center"/>
      <protection locked="0"/>
    </xf>
    <xf numFmtId="1" fontId="13" fillId="0" borderId="5" xfId="5" applyNumberFormat="1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166" fontId="13" fillId="0" borderId="5" xfId="10" applyNumberFormat="1" applyFont="1" applyBorder="1" applyAlignment="1">
      <alignment horizontal="center" vertical="center"/>
    </xf>
    <xf numFmtId="4" fontId="13" fillId="5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 applyProtection="1">
      <alignment horizontal="center" vertical="center"/>
      <protection locked="0"/>
    </xf>
    <xf numFmtId="4" fontId="13" fillId="0" borderId="5" xfId="1" applyNumberFormat="1" applyFont="1" applyBorder="1" applyAlignment="1" applyProtection="1">
      <alignment horizontal="center" vertical="center"/>
      <protection locked="0"/>
    </xf>
    <xf numFmtId="4" fontId="13" fillId="0" borderId="5" xfId="10" applyNumberFormat="1" applyFont="1" applyBorder="1" applyAlignment="1">
      <alignment horizontal="center" vertical="center" wrapText="1"/>
    </xf>
    <xf numFmtId="2" fontId="13" fillId="0" borderId="10" xfId="1" applyNumberFormat="1" applyFont="1" applyBorder="1" applyAlignment="1">
      <alignment horizontal="center" vertical="center"/>
    </xf>
    <xf numFmtId="2" fontId="18" fillId="0" borderId="5" xfId="1" applyNumberFormat="1" applyFont="1" applyBorder="1" applyAlignment="1">
      <alignment horizontal="center" vertical="center"/>
    </xf>
    <xf numFmtId="1" fontId="22" fillId="3" borderId="23" xfId="4" applyNumberFormat="1" applyFont="1" applyFill="1" applyBorder="1" applyAlignment="1">
      <alignment vertical="center" wrapText="1"/>
    </xf>
    <xf numFmtId="1" fontId="22" fillId="3" borderId="24" xfId="4" applyNumberFormat="1" applyFont="1" applyFill="1" applyBorder="1" applyAlignment="1">
      <alignment vertical="center"/>
    </xf>
    <xf numFmtId="1" fontId="22" fillId="3" borderId="25" xfId="4" applyNumberFormat="1" applyFont="1" applyFill="1" applyBorder="1" applyAlignment="1">
      <alignment vertical="center" wrapText="1"/>
    </xf>
    <xf numFmtId="1" fontId="22" fillId="3" borderId="26" xfId="4" applyNumberFormat="1" applyFont="1" applyFill="1" applyBorder="1" applyAlignment="1">
      <alignment vertical="center" wrapText="1"/>
    </xf>
    <xf numFmtId="0" fontId="13" fillId="0" borderId="5" xfId="11" applyFont="1" applyBorder="1" applyAlignment="1">
      <alignment horizontal="left" vertical="center" wrapText="1"/>
    </xf>
    <xf numFmtId="0" fontId="18" fillId="0" borderId="5" xfId="11" applyFont="1" applyBorder="1" applyAlignment="1" applyProtection="1">
      <alignment horizontal="center" vertical="center"/>
      <protection locked="0"/>
    </xf>
    <xf numFmtId="0" fontId="13" fillId="0" borderId="27" xfId="1" applyFont="1" applyBorder="1" applyAlignment="1">
      <alignment vertical="center" wrapText="1"/>
    </xf>
    <xf numFmtId="0" fontId="13" fillId="0" borderId="27" xfId="1" applyFont="1" applyBorder="1" applyAlignment="1">
      <alignment horizontal="center" vertical="center"/>
    </xf>
    <xf numFmtId="2" fontId="13" fillId="0" borderId="27" xfId="1" applyNumberFormat="1" applyFont="1" applyBorder="1" applyAlignment="1">
      <alignment horizontal="center" vertical="center"/>
    </xf>
    <xf numFmtId="4" fontId="13" fillId="0" borderId="17" xfId="4" applyNumberFormat="1" applyFont="1" applyBorder="1" applyAlignment="1">
      <alignment horizontal="center" vertical="center" wrapText="1"/>
    </xf>
    <xf numFmtId="4" fontId="13" fillId="0" borderId="18" xfId="4" applyNumberFormat="1" applyFont="1" applyBorder="1" applyAlignment="1">
      <alignment horizontal="center" vertical="center" wrapText="1"/>
    </xf>
    <xf numFmtId="0" fontId="13" fillId="4" borderId="31" xfId="4" applyFont="1" applyFill="1" applyBorder="1" applyAlignment="1">
      <alignment horizontal="center" vertical="center" wrapText="1"/>
    </xf>
    <xf numFmtId="2" fontId="13" fillId="4" borderId="31" xfId="4" applyNumberFormat="1" applyFont="1" applyFill="1" applyBorder="1" applyAlignment="1">
      <alignment horizontal="center" vertical="center"/>
    </xf>
    <xf numFmtId="169" fontId="13" fillId="4" borderId="31" xfId="9" applyNumberFormat="1" applyFont="1" applyFill="1" applyBorder="1" applyAlignment="1">
      <alignment horizontal="center" vertical="center"/>
    </xf>
    <xf numFmtId="2" fontId="13" fillId="4" borderId="31" xfId="5" applyNumberFormat="1" applyFont="1" applyFill="1" applyBorder="1" applyAlignment="1">
      <alignment horizontal="center" vertical="center"/>
    </xf>
    <xf numFmtId="4" fontId="13" fillId="4" borderId="31" xfId="1" applyNumberFormat="1" applyFont="1" applyFill="1" applyBorder="1" applyAlignment="1">
      <alignment horizontal="center" vertical="center" wrapText="1"/>
    </xf>
    <xf numFmtId="4" fontId="13" fillId="4" borderId="33" xfId="1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3" fillId="0" borderId="0" xfId="12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right" vertical="center"/>
    </xf>
    <xf numFmtId="14" fontId="13" fillId="0" borderId="0" xfId="7" applyNumberFormat="1" applyFont="1" applyAlignment="1">
      <alignment horizontal="center"/>
    </xf>
    <xf numFmtId="0" fontId="13" fillId="0" borderId="0" xfId="1" applyFont="1"/>
    <xf numFmtId="4" fontId="19" fillId="2" borderId="5" xfId="3" applyNumberFormat="1" applyFont="1" applyFill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 wrapText="1"/>
    </xf>
    <xf numFmtId="1" fontId="13" fillId="2" borderId="9" xfId="4" applyNumberFormat="1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left" vertical="center" wrapText="1"/>
    </xf>
    <xf numFmtId="0" fontId="13" fillId="2" borderId="7" xfId="4" applyFont="1" applyFill="1" applyBorder="1" applyAlignment="1">
      <alignment horizontal="center" vertical="center" wrapText="1"/>
    </xf>
    <xf numFmtId="4" fontId="13" fillId="2" borderId="7" xfId="4" applyNumberFormat="1" applyFont="1" applyFill="1" applyBorder="1" applyAlignment="1">
      <alignment horizontal="center" vertical="center" wrapText="1"/>
    </xf>
    <xf numFmtId="0" fontId="13" fillId="4" borderId="17" xfId="4" applyFont="1" applyFill="1" applyBorder="1" applyAlignment="1">
      <alignment horizontal="center" vertical="center" wrapText="1"/>
    </xf>
    <xf numFmtId="1" fontId="13" fillId="2" borderId="12" xfId="4" applyNumberFormat="1" applyFont="1" applyFill="1" applyBorder="1" applyAlignment="1">
      <alignment horizontal="center" vertical="center" wrapText="1"/>
    </xf>
    <xf numFmtId="1" fontId="13" fillId="2" borderId="4" xfId="4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/>
    </xf>
    <xf numFmtId="2" fontId="13" fillId="0" borderId="5" xfId="1" applyNumberFormat="1" applyFont="1" applyBorder="1" applyAlignment="1">
      <alignment horizontal="center" vertical="center"/>
    </xf>
    <xf numFmtId="4" fontId="13" fillId="2" borderId="5" xfId="4" applyNumberFormat="1" applyFont="1" applyFill="1" applyBorder="1" applyAlignment="1">
      <alignment horizontal="center" vertical="center" wrapText="1"/>
    </xf>
    <xf numFmtId="1" fontId="13" fillId="2" borderId="7" xfId="4" applyNumberFormat="1" applyFont="1" applyFill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4" fontId="13" fillId="0" borderId="13" xfId="4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" fontId="13" fillId="2" borderId="14" xfId="1" applyNumberFormat="1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left" vertical="center" wrapText="1"/>
    </xf>
    <xf numFmtId="0" fontId="13" fillId="2" borderId="13" xfId="4" applyFont="1" applyFill="1" applyBorder="1" applyAlignment="1">
      <alignment horizontal="center" vertical="center" wrapText="1"/>
    </xf>
    <xf numFmtId="4" fontId="13" fillId="2" borderId="13" xfId="4" applyNumberFormat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vertical="center" wrapText="1"/>
    </xf>
    <xf numFmtId="0" fontId="13" fillId="2" borderId="7" xfId="1" applyFont="1" applyFill="1" applyBorder="1" applyAlignment="1">
      <alignment horizontal="center" vertical="center" wrapText="1"/>
    </xf>
    <xf numFmtId="4" fontId="13" fillId="2" borderId="7" xfId="1" applyNumberFormat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center" vertical="center" wrapText="1"/>
    </xf>
    <xf numFmtId="1" fontId="13" fillId="2" borderId="4" xfId="1" applyNumberFormat="1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/>
    </xf>
    <xf numFmtId="2" fontId="13" fillId="2" borderId="5" xfId="7" applyNumberFormat="1" applyFont="1" applyFill="1" applyBorder="1" applyAlignment="1">
      <alignment horizontal="center" vertical="center"/>
    </xf>
    <xf numFmtId="4" fontId="13" fillId="2" borderId="13" xfId="6" applyNumberFormat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left" vertical="center" wrapText="1"/>
    </xf>
    <xf numFmtId="1" fontId="13" fillId="2" borderId="5" xfId="4" applyNumberFormat="1" applyFont="1" applyFill="1" applyBorder="1" applyAlignment="1">
      <alignment horizontal="center" vertical="center" wrapText="1"/>
    </xf>
    <xf numFmtId="2" fontId="13" fillId="2" borderId="5" xfId="4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horizontal="left" vertical="center" wrapText="1"/>
    </xf>
    <xf numFmtId="4" fontId="25" fillId="2" borderId="38" xfId="4" applyNumberFormat="1" applyFont="1" applyFill="1" applyBorder="1" applyAlignment="1">
      <alignment horizontal="center" vertical="center"/>
    </xf>
    <xf numFmtId="4" fontId="25" fillId="2" borderId="41" xfId="4" applyNumberFormat="1" applyFont="1" applyFill="1" applyBorder="1" applyAlignment="1">
      <alignment horizontal="center" vertical="center"/>
    </xf>
    <xf numFmtId="0" fontId="25" fillId="2" borderId="35" xfId="4" applyFont="1" applyFill="1" applyBorder="1" applyAlignment="1">
      <alignment horizontal="left" vertical="center" wrapText="1"/>
    </xf>
    <xf numFmtId="0" fontId="25" fillId="2" borderId="36" xfId="4" applyFont="1" applyFill="1" applyBorder="1" applyAlignment="1">
      <alignment horizontal="left" vertical="center" wrapText="1"/>
    </xf>
    <xf numFmtId="0" fontId="25" fillId="2" borderId="37" xfId="4" applyFont="1" applyFill="1" applyBorder="1" applyAlignment="1">
      <alignment horizontal="left" vertical="center" wrapText="1"/>
    </xf>
    <xf numFmtId="4" fontId="25" fillId="2" borderId="10" xfId="4" applyNumberFormat="1" applyFont="1" applyFill="1" applyBorder="1" applyAlignment="1">
      <alignment horizontal="center" vertical="center" wrapText="1"/>
    </xf>
    <xf numFmtId="4" fontId="25" fillId="2" borderId="42" xfId="4" applyNumberFormat="1" applyFont="1" applyFill="1" applyBorder="1" applyAlignment="1">
      <alignment horizontal="center" vertical="center" wrapText="1"/>
    </xf>
    <xf numFmtId="0" fontId="26" fillId="2" borderId="43" xfId="4" applyFont="1" applyFill="1" applyBorder="1" applyAlignment="1">
      <alignment horizontal="left" vertical="center" wrapText="1"/>
    </xf>
    <xf numFmtId="0" fontId="26" fillId="2" borderId="27" xfId="4" applyFont="1" applyFill="1" applyBorder="1" applyAlignment="1">
      <alignment horizontal="left" vertical="center" wrapText="1"/>
    </xf>
    <xf numFmtId="4" fontId="26" fillId="2" borderId="27" xfId="4" applyNumberFormat="1" applyFont="1" applyFill="1" applyBorder="1" applyAlignment="1">
      <alignment horizontal="center" vertical="center" wrapText="1"/>
    </xf>
    <xf numFmtId="4" fontId="26" fillId="2" borderId="44" xfId="4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4" borderId="28" xfId="4" applyFont="1" applyFill="1" applyBorder="1" applyAlignment="1">
      <alignment horizontal="center" vertical="center" wrapText="1"/>
    </xf>
    <xf numFmtId="0" fontId="13" fillId="4" borderId="29" xfId="4" applyFont="1" applyFill="1" applyBorder="1" applyAlignment="1">
      <alignment horizontal="center" vertical="center" wrapText="1"/>
    </xf>
    <xf numFmtId="0" fontId="13" fillId="4" borderId="30" xfId="4" applyFont="1" applyFill="1" applyBorder="1" applyAlignment="1">
      <alignment horizontal="center" vertical="center" wrapText="1"/>
    </xf>
    <xf numFmtId="0" fontId="13" fillId="4" borderId="32" xfId="3" applyFont="1" applyFill="1" applyBorder="1" applyAlignment="1">
      <alignment horizontal="center" vertical="center" wrapText="1"/>
    </xf>
    <xf numFmtId="0" fontId="13" fillId="4" borderId="29" xfId="3" applyFont="1" applyFill="1" applyBorder="1" applyAlignment="1">
      <alignment horizontal="center" vertical="center" wrapText="1"/>
    </xf>
    <xf numFmtId="0" fontId="13" fillId="4" borderId="30" xfId="3" applyFont="1" applyFill="1" applyBorder="1" applyAlignment="1">
      <alignment horizontal="center" vertical="center" wrapText="1"/>
    </xf>
    <xf numFmtId="1" fontId="23" fillId="2" borderId="23" xfId="4" applyNumberFormat="1" applyFont="1" applyFill="1" applyBorder="1" applyAlignment="1">
      <alignment horizontal="left" vertical="center" wrapText="1"/>
    </xf>
    <xf numFmtId="1" fontId="23" fillId="2" borderId="25" xfId="4" applyNumberFormat="1" applyFont="1" applyFill="1" applyBorder="1" applyAlignment="1">
      <alignment horizontal="left" vertical="center" wrapText="1"/>
    </xf>
    <xf numFmtId="1" fontId="23" fillId="2" borderId="34" xfId="4" applyNumberFormat="1" applyFont="1" applyFill="1" applyBorder="1" applyAlignment="1">
      <alignment horizontal="left" vertical="center" wrapText="1"/>
    </xf>
    <xf numFmtId="2" fontId="24" fillId="0" borderId="24" xfId="3" applyNumberFormat="1" applyFont="1" applyBorder="1" applyAlignment="1">
      <alignment horizontal="left" vertical="center" wrapText="1"/>
    </xf>
    <xf numFmtId="2" fontId="24" fillId="0" borderId="25" xfId="3" applyNumberFormat="1" applyFont="1" applyBorder="1" applyAlignment="1">
      <alignment horizontal="left" vertical="center" wrapText="1"/>
    </xf>
    <xf numFmtId="2" fontId="24" fillId="0" borderId="34" xfId="3" applyNumberFormat="1" applyFont="1" applyBorder="1" applyAlignment="1">
      <alignment horizontal="left" vertical="center" wrapText="1"/>
    </xf>
    <xf numFmtId="4" fontId="25" fillId="2" borderId="37" xfId="4" applyNumberFormat="1" applyFont="1" applyFill="1" applyBorder="1" applyAlignment="1">
      <alignment horizontal="center" vertical="center" wrapText="1"/>
    </xf>
    <xf numFmtId="0" fontId="25" fillId="2" borderId="38" xfId="4" applyFont="1" applyFill="1" applyBorder="1" applyAlignment="1">
      <alignment horizontal="left" vertical="center" wrapText="1"/>
    </xf>
    <xf numFmtId="0" fontId="25" fillId="2" borderId="39" xfId="4" applyFont="1" applyFill="1" applyBorder="1" applyAlignment="1">
      <alignment horizontal="left" vertical="center" wrapText="1"/>
    </xf>
    <xf numFmtId="0" fontId="25" fillId="2" borderId="40" xfId="4" applyFont="1" applyFill="1" applyBorder="1" applyAlignment="1">
      <alignment horizontal="left" vertical="center" wrapText="1"/>
    </xf>
    <xf numFmtId="1" fontId="13" fillId="2" borderId="9" xfId="4" applyNumberFormat="1" applyFont="1" applyFill="1" applyBorder="1" applyAlignment="1">
      <alignment horizontal="center" vertical="center" wrapText="1"/>
    </xf>
    <xf numFmtId="1" fontId="13" fillId="2" borderId="16" xfId="4" applyNumberFormat="1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left" vertical="center" wrapText="1"/>
    </xf>
    <xf numFmtId="0" fontId="13" fillId="2" borderId="17" xfId="4" applyFont="1" applyFill="1" applyBorder="1" applyAlignment="1">
      <alignment horizontal="left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4" fontId="13" fillId="2" borderId="7" xfId="4" applyNumberFormat="1" applyFont="1" applyFill="1" applyBorder="1" applyAlignment="1">
      <alignment horizontal="center" vertical="center" wrapText="1"/>
    </xf>
    <xf numFmtId="4" fontId="13" fillId="2" borderId="17" xfId="4" applyNumberFormat="1" applyFont="1" applyFill="1" applyBorder="1" applyAlignment="1">
      <alignment horizontal="center" vertical="center" wrapText="1"/>
    </xf>
    <xf numFmtId="0" fontId="13" fillId="4" borderId="16" xfId="4" applyFont="1" applyFill="1" applyBorder="1" applyAlignment="1">
      <alignment horizontal="center" vertical="center" wrapText="1"/>
    </xf>
    <xf numFmtId="0" fontId="13" fillId="4" borderId="17" xfId="4" applyFont="1" applyFill="1" applyBorder="1" applyAlignment="1">
      <alignment horizontal="center" vertical="center" wrapText="1"/>
    </xf>
    <xf numFmtId="0" fontId="13" fillId="4" borderId="17" xfId="3" applyFont="1" applyFill="1" applyBorder="1" applyAlignment="1">
      <alignment horizontal="center" vertical="center" wrapText="1"/>
    </xf>
    <xf numFmtId="1" fontId="13" fillId="2" borderId="12" xfId="4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2" fontId="13" fillId="0" borderId="7" xfId="1" applyNumberFormat="1" applyFont="1" applyBorder="1" applyAlignment="1">
      <alignment horizontal="center" vertical="center"/>
    </xf>
    <xf numFmtId="2" fontId="13" fillId="0" borderId="13" xfId="1" applyNumberFormat="1" applyFont="1" applyBorder="1" applyAlignment="1">
      <alignment horizontal="center" vertical="center"/>
    </xf>
    <xf numFmtId="2" fontId="18" fillId="0" borderId="7" xfId="1" applyNumberFormat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0" fontId="13" fillId="2" borderId="7" xfId="4" applyFont="1" applyFill="1" applyBorder="1" applyAlignment="1">
      <alignment vertical="center" wrapText="1"/>
    </xf>
    <xf numFmtId="0" fontId="13" fillId="2" borderId="15" xfId="4" applyFont="1" applyFill="1" applyBorder="1" applyAlignment="1">
      <alignment vertical="center" wrapText="1"/>
    </xf>
    <xf numFmtId="0" fontId="13" fillId="2" borderId="15" xfId="4" applyFont="1" applyFill="1" applyBorder="1" applyAlignment="1">
      <alignment horizontal="center" vertical="center" wrapText="1"/>
    </xf>
    <xf numFmtId="4" fontId="13" fillId="2" borderId="15" xfId="4" applyNumberFormat="1" applyFont="1" applyFill="1" applyBorder="1" applyAlignment="1">
      <alignment horizontal="center" vertical="center" wrapText="1"/>
    </xf>
    <xf numFmtId="1" fontId="13" fillId="2" borderId="4" xfId="4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/>
    </xf>
    <xf numFmtId="2" fontId="13" fillId="0" borderId="5" xfId="1" applyNumberFormat="1" applyFont="1" applyBorder="1" applyAlignment="1">
      <alignment horizontal="center" vertical="center"/>
    </xf>
    <xf numFmtId="4" fontId="13" fillId="2" borderId="5" xfId="4" applyNumberFormat="1" applyFont="1" applyFill="1" applyBorder="1" applyAlignment="1">
      <alignment horizontal="center" vertical="center" wrapText="1"/>
    </xf>
    <xf numFmtId="1" fontId="13" fillId="2" borderId="14" xfId="4" applyNumberFormat="1" applyFont="1" applyFill="1" applyBorder="1" applyAlignment="1">
      <alignment horizontal="center" vertical="center" wrapText="1"/>
    </xf>
    <xf numFmtId="0" fontId="13" fillId="2" borderId="15" xfId="4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vertical="center"/>
    </xf>
    <xf numFmtId="2" fontId="13" fillId="0" borderId="15" xfId="1" applyNumberFormat="1" applyFont="1" applyBorder="1" applyAlignment="1">
      <alignment horizontal="center" vertical="center"/>
    </xf>
    <xf numFmtId="2" fontId="18" fillId="0" borderId="15" xfId="1" applyNumberFormat="1" applyFont="1" applyBorder="1" applyAlignment="1">
      <alignment horizontal="center" vertical="center"/>
    </xf>
    <xf numFmtId="1" fontId="13" fillId="2" borderId="7" xfId="4" applyNumberFormat="1" applyFont="1" applyFill="1" applyBorder="1" applyAlignment="1">
      <alignment horizontal="left" vertical="center" wrapText="1"/>
    </xf>
    <xf numFmtId="1" fontId="13" fillId="2" borderId="15" xfId="4" applyNumberFormat="1" applyFont="1" applyFill="1" applyBorder="1" applyAlignment="1">
      <alignment horizontal="left" vertical="center" wrapText="1"/>
    </xf>
    <xf numFmtId="1" fontId="13" fillId="2" borderId="13" xfId="4" applyNumberFormat="1" applyFont="1" applyFill="1" applyBorder="1" applyAlignment="1">
      <alignment horizontal="left" vertical="center" wrapText="1"/>
    </xf>
    <xf numFmtId="1" fontId="13" fillId="2" borderId="7" xfId="4" applyNumberFormat="1" applyFont="1" applyFill="1" applyBorder="1" applyAlignment="1">
      <alignment horizontal="center" vertical="center" wrapText="1"/>
    </xf>
    <xf numFmtId="1" fontId="13" fillId="2" borderId="15" xfId="4" applyNumberFormat="1" applyFont="1" applyFill="1" applyBorder="1" applyAlignment="1">
      <alignment horizontal="center" vertical="center" wrapText="1"/>
    </xf>
    <xf numFmtId="1" fontId="13" fillId="2" borderId="13" xfId="4" applyNumberFormat="1" applyFont="1" applyFill="1" applyBorder="1" applyAlignment="1">
      <alignment horizontal="center" vertical="center" wrapText="1"/>
    </xf>
    <xf numFmtId="2" fontId="13" fillId="2" borderId="7" xfId="4" applyNumberFormat="1" applyFont="1" applyFill="1" applyBorder="1" applyAlignment="1">
      <alignment horizontal="center" vertical="center" wrapText="1"/>
    </xf>
    <xf numFmtId="2" fontId="13" fillId="2" borderId="15" xfId="4" applyNumberFormat="1" applyFont="1" applyFill="1" applyBorder="1" applyAlignment="1">
      <alignment horizontal="center" vertical="center" wrapText="1"/>
    </xf>
    <xf numFmtId="2" fontId="13" fillId="2" borderId="13" xfId="4" applyNumberFormat="1" applyFont="1" applyFill="1" applyBorder="1" applyAlignment="1">
      <alignment horizontal="center" vertical="center" wrapText="1"/>
    </xf>
    <xf numFmtId="166" fontId="13" fillId="2" borderId="7" xfId="4" applyNumberFormat="1" applyFont="1" applyFill="1" applyBorder="1" applyAlignment="1">
      <alignment horizontal="center" vertical="center" wrapText="1"/>
    </xf>
    <xf numFmtId="166" fontId="13" fillId="2" borderId="15" xfId="4" applyNumberFormat="1" applyFont="1" applyFill="1" applyBorder="1" applyAlignment="1">
      <alignment horizontal="center" vertical="center" wrapText="1"/>
    </xf>
    <xf numFmtId="166" fontId="13" fillId="2" borderId="13" xfId="4" applyNumberFormat="1" applyFont="1" applyFill="1" applyBorder="1" applyAlignment="1">
      <alignment horizontal="center" vertical="center" wrapText="1"/>
    </xf>
    <xf numFmtId="1" fontId="13" fillId="0" borderId="9" xfId="4" applyNumberFormat="1" applyFont="1" applyBorder="1" applyAlignment="1">
      <alignment horizontal="center" vertical="center" wrapText="1"/>
    </xf>
    <xf numFmtId="1" fontId="13" fillId="0" borderId="14" xfId="4" applyNumberFormat="1" applyFont="1" applyBorder="1" applyAlignment="1">
      <alignment horizontal="center" vertical="center" wrapText="1"/>
    </xf>
    <xf numFmtId="1" fontId="13" fillId="0" borderId="12" xfId="4" applyNumberFormat="1" applyFont="1" applyBorder="1" applyAlignment="1">
      <alignment horizontal="center" vertical="center" wrapText="1"/>
    </xf>
    <xf numFmtId="1" fontId="13" fillId="0" borderId="7" xfId="4" applyNumberFormat="1" applyFont="1" applyBorder="1" applyAlignment="1">
      <alignment horizontal="left" vertical="center" wrapText="1"/>
    </xf>
    <xf numFmtId="1" fontId="13" fillId="0" borderId="15" xfId="4" applyNumberFormat="1" applyFont="1" applyBorder="1" applyAlignment="1">
      <alignment horizontal="left" vertical="center" wrapText="1"/>
    </xf>
    <xf numFmtId="1" fontId="13" fillId="0" borderId="13" xfId="4" applyNumberFormat="1" applyFont="1" applyBorder="1" applyAlignment="1">
      <alignment horizontal="left" vertical="center" wrapText="1"/>
    </xf>
    <xf numFmtId="1" fontId="13" fillId="0" borderId="7" xfId="4" applyNumberFormat="1" applyFont="1" applyBorder="1" applyAlignment="1">
      <alignment horizontal="center" vertical="center" wrapText="1"/>
    </xf>
    <xf numFmtId="1" fontId="13" fillId="0" borderId="15" xfId="4" applyNumberFormat="1" applyFont="1" applyBorder="1" applyAlignment="1">
      <alignment horizontal="center" vertical="center" wrapText="1"/>
    </xf>
    <xf numFmtId="1" fontId="13" fillId="0" borderId="13" xfId="4" applyNumberFormat="1" applyFont="1" applyBorder="1" applyAlignment="1">
      <alignment horizontal="center" vertical="center" wrapText="1"/>
    </xf>
    <xf numFmtId="2" fontId="13" fillId="0" borderId="7" xfId="4" applyNumberFormat="1" applyFont="1" applyBorder="1" applyAlignment="1">
      <alignment horizontal="center" vertical="center" wrapText="1"/>
    </xf>
    <xf numFmtId="2" fontId="13" fillId="0" borderId="15" xfId="4" applyNumberFormat="1" applyFont="1" applyBorder="1" applyAlignment="1">
      <alignment horizontal="center" vertical="center" wrapText="1"/>
    </xf>
    <xf numFmtId="2" fontId="13" fillId="0" borderId="13" xfId="4" applyNumberFormat="1" applyFont="1" applyBorder="1" applyAlignment="1">
      <alignment horizontal="center" vertical="center" wrapText="1"/>
    </xf>
    <xf numFmtId="166" fontId="13" fillId="0" borderId="7" xfId="4" applyNumberFormat="1" applyFont="1" applyBorder="1" applyAlignment="1">
      <alignment horizontal="center" vertical="center" wrapText="1"/>
    </xf>
    <xf numFmtId="166" fontId="13" fillId="0" borderId="15" xfId="4" applyNumberFormat="1" applyFont="1" applyBorder="1" applyAlignment="1">
      <alignment horizontal="center" vertical="center" wrapText="1"/>
    </xf>
    <xf numFmtId="166" fontId="13" fillId="0" borderId="13" xfId="4" applyNumberFormat="1" applyFont="1" applyBorder="1" applyAlignment="1">
      <alignment horizontal="center" vertical="center" wrapText="1"/>
    </xf>
    <xf numFmtId="2" fontId="18" fillId="0" borderId="5" xfId="1" applyNumberFormat="1" applyFont="1" applyBorder="1" applyAlignment="1">
      <alignment horizontal="center" vertical="center"/>
    </xf>
    <xf numFmtId="1" fontId="13" fillId="2" borderId="1" xfId="4" applyNumberFormat="1" applyFont="1" applyFill="1" applyBorder="1" applyAlignment="1">
      <alignment horizontal="center" vertical="center" wrapText="1"/>
    </xf>
    <xf numFmtId="0" fontId="13" fillId="0" borderId="2" xfId="4" applyFont="1" applyBorder="1" applyAlignment="1">
      <alignment horizontal="left" vertical="center" wrapText="1"/>
    </xf>
    <xf numFmtId="0" fontId="13" fillId="0" borderId="5" xfId="4" applyFont="1" applyBorder="1" applyAlignment="1">
      <alignment horizontal="left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4" fontId="13" fillId="0" borderId="2" xfId="4" applyNumberFormat="1" applyFont="1" applyBorder="1" applyAlignment="1">
      <alignment horizontal="center" vertical="center" wrapText="1"/>
    </xf>
    <xf numFmtId="4" fontId="13" fillId="0" borderId="5" xfId="4" applyNumberFormat="1" applyFont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0" fontId="13" fillId="0" borderId="7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4" fontId="13" fillId="0" borderId="7" xfId="4" applyNumberFormat="1" applyFont="1" applyBorder="1" applyAlignment="1">
      <alignment horizontal="center" vertical="center" wrapText="1"/>
    </xf>
    <xf numFmtId="4" fontId="13" fillId="0" borderId="13" xfId="4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" fontId="13" fillId="2" borderId="9" xfId="1" applyNumberFormat="1" applyFont="1" applyFill="1" applyBorder="1" applyAlignment="1">
      <alignment horizontal="center" vertical="center" wrapText="1"/>
    </xf>
    <xf numFmtId="1" fontId="13" fillId="2" borderId="14" xfId="1" applyNumberFormat="1" applyFont="1" applyFill="1" applyBorder="1" applyAlignment="1">
      <alignment horizontal="center" vertical="center" wrapText="1"/>
    </xf>
    <xf numFmtId="1" fontId="13" fillId="2" borderId="12" xfId="1" applyNumberFormat="1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left" vertical="center" wrapText="1"/>
    </xf>
    <xf numFmtId="0" fontId="13" fillId="2" borderId="13" xfId="4" applyFont="1" applyFill="1" applyBorder="1" applyAlignment="1">
      <alignment horizontal="center" vertical="center" wrapText="1"/>
    </xf>
    <xf numFmtId="4" fontId="13" fillId="2" borderId="13" xfId="4" applyNumberFormat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vertical="center" wrapText="1"/>
    </xf>
    <xf numFmtId="0" fontId="13" fillId="2" borderId="13" xfId="1" applyFont="1" applyFill="1" applyBorder="1" applyAlignment="1">
      <alignment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4" fontId="13" fillId="2" borderId="7" xfId="1" applyNumberFormat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center" vertical="center" wrapText="1"/>
    </xf>
    <xf numFmtId="0" fontId="15" fillId="0" borderId="15" xfId="4" applyFont="1" applyBorder="1" applyAlignment="1">
      <alignment horizontal="left" vertical="center" wrapText="1"/>
    </xf>
    <xf numFmtId="0" fontId="15" fillId="0" borderId="13" xfId="4" applyFont="1" applyBorder="1" applyAlignment="1">
      <alignment horizontal="left" vertical="center" wrapText="1"/>
    </xf>
    <xf numFmtId="0" fontId="13" fillId="0" borderId="15" xfId="4" applyFont="1" applyBorder="1" applyAlignment="1">
      <alignment horizontal="center" vertical="center" wrapText="1"/>
    </xf>
    <xf numFmtId="4" fontId="13" fillId="0" borderId="15" xfId="4" applyNumberFormat="1" applyFont="1" applyBorder="1" applyAlignment="1">
      <alignment horizontal="center" vertical="center" wrapText="1"/>
    </xf>
    <xf numFmtId="1" fontId="13" fillId="2" borderId="4" xfId="1" applyNumberFormat="1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left" vertical="center" wrapText="1"/>
    </xf>
    <xf numFmtId="0" fontId="13" fillId="2" borderId="5" xfId="7" applyFont="1" applyFill="1" applyBorder="1" applyAlignment="1">
      <alignment horizontal="center" vertical="center"/>
    </xf>
    <xf numFmtId="2" fontId="13" fillId="2" borderId="5" xfId="7" applyNumberFormat="1" applyFont="1" applyFill="1" applyBorder="1" applyAlignment="1">
      <alignment horizontal="center" vertical="center"/>
    </xf>
    <xf numFmtId="2" fontId="18" fillId="2" borderId="5" xfId="7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 wrapText="1"/>
    </xf>
    <xf numFmtId="1" fontId="13" fillId="2" borderId="9" xfId="6" applyNumberFormat="1" applyFont="1" applyFill="1" applyBorder="1" applyAlignment="1">
      <alignment horizontal="center" vertical="center" wrapText="1"/>
    </xf>
    <xf numFmtId="1" fontId="13" fillId="2" borderId="12" xfId="6" applyNumberFormat="1" applyFont="1" applyFill="1" applyBorder="1" applyAlignment="1">
      <alignment horizontal="center" vertical="center" wrapText="1"/>
    </xf>
    <xf numFmtId="0" fontId="13" fillId="2" borderId="7" xfId="6" applyFont="1" applyFill="1" applyBorder="1" applyAlignment="1">
      <alignment horizontal="left" vertical="center" wrapText="1"/>
    </xf>
    <xf numFmtId="0" fontId="13" fillId="2" borderId="13" xfId="6" applyFont="1" applyFill="1" applyBorder="1" applyAlignment="1">
      <alignment horizontal="left" vertical="center" wrapText="1"/>
    </xf>
    <xf numFmtId="0" fontId="13" fillId="2" borderId="7" xfId="6" applyFont="1" applyFill="1" applyBorder="1" applyAlignment="1">
      <alignment horizontal="center" vertical="center" wrapText="1"/>
    </xf>
    <xf numFmtId="0" fontId="13" fillId="2" borderId="13" xfId="6" applyFont="1" applyFill="1" applyBorder="1" applyAlignment="1">
      <alignment horizontal="center" vertical="center" wrapText="1"/>
    </xf>
    <xf numFmtId="4" fontId="13" fillId="2" borderId="7" xfId="6" applyNumberFormat="1" applyFont="1" applyFill="1" applyBorder="1" applyAlignment="1">
      <alignment horizontal="center" vertical="center" wrapText="1"/>
    </xf>
    <xf numFmtId="4" fontId="13" fillId="2" borderId="13" xfId="6" applyNumberFormat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2" fontId="13" fillId="2" borderId="7" xfId="1" applyNumberFormat="1" applyFont="1" applyFill="1" applyBorder="1" applyAlignment="1">
      <alignment horizontal="center" vertical="center"/>
    </xf>
    <xf numFmtId="2" fontId="13" fillId="2" borderId="13" xfId="1" applyNumberFormat="1" applyFont="1" applyFill="1" applyBorder="1" applyAlignment="1">
      <alignment horizontal="center" vertical="center"/>
    </xf>
    <xf numFmtId="2" fontId="18" fillId="2" borderId="7" xfId="1" applyNumberFormat="1" applyFont="1" applyFill="1" applyBorder="1" applyAlignment="1">
      <alignment horizontal="center" vertical="center"/>
    </xf>
    <xf numFmtId="2" fontId="18" fillId="2" borderId="13" xfId="1" applyNumberFormat="1" applyFont="1" applyFill="1" applyBorder="1" applyAlignment="1">
      <alignment horizontal="center" vertical="center"/>
    </xf>
    <xf numFmtId="1" fontId="13" fillId="2" borderId="2" xfId="4" applyNumberFormat="1" applyFont="1" applyFill="1" applyBorder="1" applyAlignment="1">
      <alignment horizontal="center" vertical="center" wrapText="1"/>
    </xf>
    <xf numFmtId="1" fontId="13" fillId="2" borderId="5" xfId="4" applyNumberFormat="1" applyFont="1" applyFill="1" applyBorder="1" applyAlignment="1">
      <alignment horizontal="center" vertical="center" wrapText="1"/>
    </xf>
    <xf numFmtId="2" fontId="13" fillId="2" borderId="2" xfId="4" applyNumberFormat="1" applyFont="1" applyFill="1" applyBorder="1" applyAlignment="1">
      <alignment horizontal="center" vertical="center" wrapText="1"/>
    </xf>
    <xf numFmtId="2" fontId="13" fillId="2" borderId="5" xfId="4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2" applyFont="1" applyAlignment="1" applyProtection="1">
      <alignment horizontal="center"/>
    </xf>
    <xf numFmtId="2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2" fontId="13" fillId="2" borderId="3" xfId="4" applyNumberFormat="1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 wrapText="1" shrinkToFit="1"/>
    </xf>
    <xf numFmtId="1" fontId="13" fillId="2" borderId="5" xfId="4" applyNumberFormat="1" applyFont="1" applyFill="1" applyBorder="1" applyAlignment="1">
      <alignment horizontal="center" vertical="center" wrapText="1" shrinkToFit="1"/>
    </xf>
    <xf numFmtId="2" fontId="13" fillId="2" borderId="2" xfId="4" applyNumberFormat="1" applyFont="1" applyFill="1" applyBorder="1" applyAlignment="1">
      <alignment horizontal="center" vertical="center"/>
    </xf>
  </cellXfs>
  <cellStyles count="13">
    <cellStyle name="TableStyleLight1" xfId="12" xr:uid="{00000000-0005-0000-0000-000000000000}"/>
    <cellStyle name="Гиперссылка" xfId="2" builtinId="8"/>
    <cellStyle name="Звичайний 2" xfId="4" xr:uid="{00000000-0005-0000-0000-000002000000}"/>
    <cellStyle name="Звичайний 2 2" xfId="8" xr:uid="{00000000-0005-0000-0000-000003000000}"/>
    <cellStyle name="Звичайний 2 2 2 2" xfId="10" xr:uid="{00000000-0005-0000-0000-000004000000}"/>
    <cellStyle name="Звичайний 4" xfId="6" xr:uid="{00000000-0005-0000-0000-000005000000}"/>
    <cellStyle name="Обычный" xfId="0" builtinId="0"/>
    <cellStyle name="Обычный 2 2" xfId="1" xr:uid="{00000000-0005-0000-0000-000007000000}"/>
    <cellStyle name="Обычный 2 2 2" xfId="7" xr:uid="{00000000-0005-0000-0000-000008000000}"/>
    <cellStyle name="Обычный 2 3" xfId="11" xr:uid="{00000000-0005-0000-0000-000009000000}"/>
    <cellStyle name="Обычный 2 4" xfId="3" xr:uid="{00000000-0005-0000-0000-00000A000000}"/>
    <cellStyle name="Обычный 3" xfId="5" xr:uid="{00000000-0005-0000-0000-00000B000000}"/>
    <cellStyle name="Фінансовий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23"/>
  <sheetViews>
    <sheetView tabSelected="1" workbookViewId="0">
      <selection activeCell="C219" sqref="C219:C222"/>
    </sheetView>
  </sheetViews>
  <sheetFormatPr defaultColWidth="9.140625" defaultRowHeight="15" x14ac:dyDescent="0.25"/>
  <cols>
    <col min="1" max="1" width="4" style="70" customWidth="1"/>
    <col min="2" max="2" width="6.140625" style="70" customWidth="1"/>
    <col min="3" max="3" width="64.7109375" style="70" customWidth="1"/>
    <col min="4" max="4" width="7.28515625" style="70" customWidth="1"/>
    <col min="5" max="5" width="11.140625" style="70" customWidth="1"/>
    <col min="6" max="6" width="14.5703125" style="70" customWidth="1"/>
    <col min="7" max="7" width="17.140625" style="70" customWidth="1"/>
    <col min="8" max="8" width="60.42578125" style="70" customWidth="1"/>
    <col min="9" max="9" width="6.42578125" style="70" customWidth="1"/>
    <col min="10" max="10" width="8.28515625" style="70" customWidth="1"/>
    <col min="11" max="11" width="13.42578125" style="70" customWidth="1"/>
    <col min="12" max="12" width="15.7109375" style="70" customWidth="1"/>
    <col min="13" max="13" width="18.28515625" style="70" customWidth="1"/>
    <col min="14" max="16384" width="9.140625" style="70"/>
  </cols>
  <sheetData>
    <row r="1" spans="2:91" s="2" customFormat="1" ht="14.25" customHeight="1" x14ac:dyDescent="0.2">
      <c r="B1" s="401"/>
      <c r="C1" s="401"/>
      <c r="D1" s="401"/>
      <c r="E1" s="401"/>
      <c r="F1" s="401"/>
      <c r="G1" s="401"/>
      <c r="H1" s="402"/>
      <c r="I1" s="402"/>
      <c r="J1" s="402"/>
      <c r="K1" s="402"/>
      <c r="L1" s="402"/>
      <c r="M1" s="40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2:91" s="2" customFormat="1" ht="14.25" customHeight="1" x14ac:dyDescent="0.2">
      <c r="B2" s="401"/>
      <c r="C2" s="401"/>
      <c r="D2" s="401"/>
      <c r="E2" s="401"/>
      <c r="F2" s="401"/>
      <c r="G2" s="401"/>
      <c r="H2" s="402"/>
      <c r="I2" s="402"/>
      <c r="J2" s="402"/>
      <c r="K2" s="402"/>
      <c r="L2" s="402"/>
      <c r="M2" s="40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2:91" s="2" customFormat="1" ht="14.25" customHeight="1" x14ac:dyDescent="0.25">
      <c r="B3" s="401"/>
      <c r="C3" s="401"/>
      <c r="D3" s="401"/>
      <c r="E3" s="401"/>
      <c r="F3" s="401"/>
      <c r="G3" s="401"/>
      <c r="H3" s="403"/>
      <c r="I3" s="403"/>
      <c r="J3" s="403"/>
      <c r="K3" s="403"/>
      <c r="L3" s="403"/>
      <c r="M3" s="40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2:91" s="3" customFormat="1" ht="14.25" customHeight="1" x14ac:dyDescent="0.25">
      <c r="B4" s="401"/>
      <c r="C4" s="401"/>
      <c r="D4" s="401"/>
      <c r="E4" s="401"/>
      <c r="F4" s="401"/>
      <c r="G4" s="401"/>
      <c r="H4" s="403"/>
      <c r="I4" s="403"/>
      <c r="J4" s="403"/>
      <c r="K4" s="403"/>
      <c r="L4" s="403"/>
      <c r="M4" s="403"/>
    </row>
    <row r="5" spans="2:91" s="5" customFormat="1" ht="18" x14ac:dyDescent="0.25">
      <c r="B5" s="4"/>
      <c r="M5" s="6"/>
    </row>
    <row r="6" spans="2:91" s="5" customFormat="1" ht="18" x14ac:dyDescent="0.25">
      <c r="B6" s="7"/>
      <c r="C6" s="8"/>
      <c r="D6" s="8"/>
      <c r="E6" s="8"/>
      <c r="F6" s="9"/>
      <c r="G6" s="9"/>
      <c r="K6" s="10"/>
      <c r="L6" s="9"/>
      <c r="M6" s="9"/>
    </row>
    <row r="7" spans="2:91" s="5" customFormat="1" ht="18" x14ac:dyDescent="0.25">
      <c r="B7" s="7"/>
      <c r="C7" s="8"/>
      <c r="D7" s="8"/>
      <c r="E7" s="8"/>
      <c r="F7" s="9"/>
      <c r="G7" s="9"/>
      <c r="K7" s="10"/>
      <c r="L7" s="9"/>
      <c r="M7" s="9"/>
    </row>
    <row r="8" spans="2:91" s="5" customFormat="1" ht="20.25" x14ac:dyDescent="0.25">
      <c r="B8" s="404" t="s">
        <v>0</v>
      </c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</row>
    <row r="9" spans="2:91" s="11" customFormat="1" ht="18.75" x14ac:dyDescent="0.25">
      <c r="B9" s="405" t="s">
        <v>1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</row>
    <row r="10" spans="2:91" s="11" customFormat="1" ht="18.75" x14ac:dyDescent="0.25">
      <c r="B10" s="406" t="s">
        <v>2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</row>
    <row r="11" spans="2:91" s="11" customFormat="1" ht="49.5" customHeight="1" x14ac:dyDescent="0.25">
      <c r="B11" s="407" t="s">
        <v>3</v>
      </c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</row>
    <row r="12" spans="2:91" s="18" customFormat="1" ht="16.5" thickBot="1" x14ac:dyDescent="0.3">
      <c r="B12" s="12" t="s">
        <v>4</v>
      </c>
      <c r="C12" s="13"/>
      <c r="D12" s="14"/>
      <c r="E12" s="14"/>
      <c r="F12" s="15"/>
      <c r="G12" s="15"/>
      <c r="H12" s="15"/>
      <c r="I12" s="14"/>
      <c r="J12" s="14"/>
      <c r="K12" s="16"/>
      <c r="L12" s="15"/>
      <c r="M12" s="17" t="s">
        <v>5</v>
      </c>
    </row>
    <row r="13" spans="2:91" s="18" customFormat="1" ht="15.75" customHeight="1" x14ac:dyDescent="0.25">
      <c r="B13" s="341" t="s">
        <v>6</v>
      </c>
      <c r="C13" s="397" t="s">
        <v>7</v>
      </c>
      <c r="D13" s="409" t="s">
        <v>8</v>
      </c>
      <c r="E13" s="397" t="s">
        <v>9</v>
      </c>
      <c r="F13" s="411" t="s">
        <v>10</v>
      </c>
      <c r="G13" s="411"/>
      <c r="H13" s="397" t="s">
        <v>11</v>
      </c>
      <c r="I13" s="397" t="s">
        <v>8</v>
      </c>
      <c r="J13" s="397" t="s">
        <v>12</v>
      </c>
      <c r="K13" s="399" t="s">
        <v>9</v>
      </c>
      <c r="L13" s="399" t="s">
        <v>13</v>
      </c>
      <c r="M13" s="408"/>
    </row>
    <row r="14" spans="2:91" s="18" customFormat="1" ht="50.25" customHeight="1" x14ac:dyDescent="0.25">
      <c r="B14" s="302"/>
      <c r="C14" s="398"/>
      <c r="D14" s="410"/>
      <c r="E14" s="398"/>
      <c r="F14" s="19" t="s">
        <v>14</v>
      </c>
      <c r="G14" s="19" t="s">
        <v>15</v>
      </c>
      <c r="H14" s="398"/>
      <c r="I14" s="398"/>
      <c r="J14" s="398"/>
      <c r="K14" s="400"/>
      <c r="L14" s="19" t="s">
        <v>14</v>
      </c>
      <c r="M14" s="20" t="s">
        <v>16</v>
      </c>
    </row>
    <row r="15" spans="2:91" s="18" customFormat="1" ht="17.25" customHeight="1" x14ac:dyDescent="0.25">
      <c r="B15" s="225">
        <v>1</v>
      </c>
      <c r="C15" s="21">
        <v>2</v>
      </c>
      <c r="D15" s="22">
        <v>3</v>
      </c>
      <c r="E15" s="230">
        <v>4</v>
      </c>
      <c r="F15" s="230">
        <v>5</v>
      </c>
      <c r="G15" s="230">
        <v>6</v>
      </c>
      <c r="H15" s="230">
        <v>7</v>
      </c>
      <c r="I15" s="230">
        <v>8</v>
      </c>
      <c r="J15" s="230">
        <v>9</v>
      </c>
      <c r="K15" s="230">
        <v>10</v>
      </c>
      <c r="L15" s="230">
        <v>11</v>
      </c>
      <c r="M15" s="23">
        <v>12</v>
      </c>
    </row>
    <row r="16" spans="2:91" s="18" customFormat="1" ht="17.25" customHeight="1" x14ac:dyDescent="0.25">
      <c r="B16" s="219"/>
      <c r="C16" s="21"/>
      <c r="D16" s="22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2:13" s="18" customFormat="1" ht="17.25" customHeight="1" x14ac:dyDescent="0.25">
      <c r="B17" s="24"/>
      <c r="C17" s="25" t="s">
        <v>17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</row>
    <row r="18" spans="2:13" s="18" customFormat="1" ht="15.75" x14ac:dyDescent="0.25">
      <c r="B18" s="278">
        <v>1</v>
      </c>
      <c r="C18" s="280" t="s">
        <v>18</v>
      </c>
      <c r="D18" s="282" t="s">
        <v>19</v>
      </c>
      <c r="E18" s="284">
        <f>(E20+E31*0.15)</f>
        <v>402</v>
      </c>
      <c r="F18" s="284"/>
      <c r="G18" s="284">
        <f>F18*E18</f>
        <v>0</v>
      </c>
      <c r="H18" s="29" t="s">
        <v>20</v>
      </c>
      <c r="I18" s="30" t="s">
        <v>21</v>
      </c>
      <c r="J18" s="31">
        <v>1.1499999999999999</v>
      </c>
      <c r="K18" s="32">
        <f>E18*J18</f>
        <v>462.29999999999995</v>
      </c>
      <c r="L18" s="33"/>
      <c r="M18" s="34">
        <f>K18*L18</f>
        <v>0</v>
      </c>
    </row>
    <row r="19" spans="2:13" s="18" customFormat="1" ht="15.75" x14ac:dyDescent="0.25">
      <c r="B19" s="289"/>
      <c r="C19" s="362"/>
      <c r="D19" s="363"/>
      <c r="E19" s="364"/>
      <c r="F19" s="364"/>
      <c r="G19" s="364"/>
      <c r="H19" s="238" t="s">
        <v>22</v>
      </c>
      <c r="I19" s="30" t="s">
        <v>23</v>
      </c>
      <c r="J19" s="31">
        <v>1</v>
      </c>
      <c r="K19" s="32">
        <f>E18*J19</f>
        <v>402</v>
      </c>
      <c r="L19" s="35"/>
      <c r="M19" s="34">
        <f t="shared" ref="M19:M30" si="0">K19*L19</f>
        <v>0</v>
      </c>
    </row>
    <row r="20" spans="2:13" s="18" customFormat="1" ht="15.75" x14ac:dyDescent="0.25">
      <c r="B20" s="278">
        <v>2</v>
      </c>
      <c r="C20" s="389" t="s">
        <v>24</v>
      </c>
      <c r="D20" s="391" t="s">
        <v>19</v>
      </c>
      <c r="E20" s="393">
        <v>387</v>
      </c>
      <c r="F20" s="395"/>
      <c r="G20" s="395">
        <f>E20*F20</f>
        <v>0</v>
      </c>
      <c r="H20" s="36" t="s">
        <v>25</v>
      </c>
      <c r="I20" s="37" t="s">
        <v>26</v>
      </c>
      <c r="J20" s="38">
        <f>K20/E20</f>
        <v>0.10300000000000001</v>
      </c>
      <c r="K20" s="32">
        <f>E20*0.1*1.03</f>
        <v>39.861000000000004</v>
      </c>
      <c r="L20" s="237"/>
      <c r="M20" s="34">
        <f t="shared" si="0"/>
        <v>0</v>
      </c>
    </row>
    <row r="21" spans="2:13" s="18" customFormat="1" ht="15.75" x14ac:dyDescent="0.25">
      <c r="B21" s="289"/>
      <c r="C21" s="390"/>
      <c r="D21" s="392"/>
      <c r="E21" s="394"/>
      <c r="F21" s="396"/>
      <c r="G21" s="396"/>
      <c r="H21" s="39" t="s">
        <v>27</v>
      </c>
      <c r="I21" s="40" t="s">
        <v>28</v>
      </c>
      <c r="J21" s="41">
        <v>0.02</v>
      </c>
      <c r="K21" s="32">
        <f>ROUNDUP(E20*J21,0)</f>
        <v>8</v>
      </c>
      <c r="L21" s="237"/>
      <c r="M21" s="34">
        <f t="shared" si="0"/>
        <v>0</v>
      </c>
    </row>
    <row r="22" spans="2:13" s="18" customFormat="1" ht="15.75" x14ac:dyDescent="0.25">
      <c r="B22" s="278">
        <v>3</v>
      </c>
      <c r="C22" s="313" t="s">
        <v>29</v>
      </c>
      <c r="D22" s="316" t="s">
        <v>19</v>
      </c>
      <c r="E22" s="319">
        <f>E20</f>
        <v>387</v>
      </c>
      <c r="F22" s="319"/>
      <c r="G22" s="322">
        <f>E22*F22</f>
        <v>0</v>
      </c>
      <c r="H22" s="42" t="s">
        <v>30</v>
      </c>
      <c r="I22" s="43" t="s">
        <v>31</v>
      </c>
      <c r="J22" s="44">
        <f>K22/E22</f>
        <v>2.2400000000000003E-2</v>
      </c>
      <c r="K22" s="45">
        <f>((E22*0.08))*0.28</f>
        <v>8.6688000000000009</v>
      </c>
      <c r="L22" s="237"/>
      <c r="M22" s="34">
        <f t="shared" si="0"/>
        <v>0</v>
      </c>
    </row>
    <row r="23" spans="2:13" s="46" customFormat="1" ht="15.75" x14ac:dyDescent="0.25">
      <c r="B23" s="307"/>
      <c r="C23" s="314"/>
      <c r="D23" s="317"/>
      <c r="E23" s="320"/>
      <c r="F23" s="320"/>
      <c r="G23" s="323"/>
      <c r="H23" s="42" t="s">
        <v>32</v>
      </c>
      <c r="I23" s="43" t="s">
        <v>26</v>
      </c>
      <c r="J23" s="237">
        <f>K23/E22</f>
        <v>9.6799999999999997E-2</v>
      </c>
      <c r="K23" s="45">
        <f>((E22*0.08))*1.21</f>
        <v>37.461599999999997</v>
      </c>
      <c r="L23" s="237"/>
      <c r="M23" s="34">
        <f t="shared" si="0"/>
        <v>0</v>
      </c>
    </row>
    <row r="24" spans="2:13" s="46" customFormat="1" ht="15.75" x14ac:dyDescent="0.25">
      <c r="B24" s="307"/>
      <c r="C24" s="314"/>
      <c r="D24" s="317"/>
      <c r="E24" s="320"/>
      <c r="F24" s="320"/>
      <c r="G24" s="323"/>
      <c r="H24" s="47" t="s">
        <v>33</v>
      </c>
      <c r="I24" s="43" t="s">
        <v>21</v>
      </c>
      <c r="J24" s="237">
        <v>1.25</v>
      </c>
      <c r="K24" s="45">
        <f>E22*J24</f>
        <v>483.75</v>
      </c>
      <c r="L24" s="237"/>
      <c r="M24" s="34">
        <f t="shared" si="0"/>
        <v>0</v>
      </c>
    </row>
    <row r="25" spans="2:13" s="18" customFormat="1" ht="15.75" x14ac:dyDescent="0.25">
      <c r="B25" s="307"/>
      <c r="C25" s="314"/>
      <c r="D25" s="317"/>
      <c r="E25" s="320"/>
      <c r="F25" s="320"/>
      <c r="G25" s="323"/>
      <c r="H25" s="137" t="s">
        <v>34</v>
      </c>
      <c r="I25" s="43" t="s">
        <v>35</v>
      </c>
      <c r="J25" s="44">
        <f>K25/E22</f>
        <v>0.33600000000000002</v>
      </c>
      <c r="K25" s="45">
        <f>K22*1.5/100*1000</f>
        <v>130.03200000000001</v>
      </c>
      <c r="L25" s="237"/>
      <c r="M25" s="34">
        <f t="shared" si="0"/>
        <v>0</v>
      </c>
    </row>
    <row r="26" spans="2:13" s="18" customFormat="1" ht="15.75" x14ac:dyDescent="0.25">
      <c r="B26" s="289"/>
      <c r="C26" s="315"/>
      <c r="D26" s="318"/>
      <c r="E26" s="321"/>
      <c r="F26" s="321"/>
      <c r="G26" s="324"/>
      <c r="H26" s="42" t="s">
        <v>36</v>
      </c>
      <c r="I26" s="43" t="s">
        <v>37</v>
      </c>
      <c r="J26" s="241">
        <v>0.25</v>
      </c>
      <c r="K26" s="48">
        <f>E22*J26</f>
        <v>96.75</v>
      </c>
      <c r="L26" s="241"/>
      <c r="M26" s="34">
        <f t="shared" si="0"/>
        <v>0</v>
      </c>
    </row>
    <row r="27" spans="2:13" s="18" customFormat="1" ht="15.75" x14ac:dyDescent="0.25">
      <c r="B27" s="278" t="s">
        <v>38</v>
      </c>
      <c r="C27" s="313" t="s">
        <v>39</v>
      </c>
      <c r="D27" s="316" t="s">
        <v>19</v>
      </c>
      <c r="E27" s="319">
        <f>E22</f>
        <v>387</v>
      </c>
      <c r="F27" s="319"/>
      <c r="G27" s="322">
        <f>E27*F27</f>
        <v>0</v>
      </c>
      <c r="H27" s="42" t="s">
        <v>30</v>
      </c>
      <c r="I27" s="43" t="s">
        <v>31</v>
      </c>
      <c r="J27" s="44">
        <f>K27/E27</f>
        <v>1.4000000000000002E-2</v>
      </c>
      <c r="K27" s="45">
        <f>((E27*0.05))*0.28</f>
        <v>5.418000000000001</v>
      </c>
      <c r="L27" s="237"/>
      <c r="M27" s="34">
        <f t="shared" si="0"/>
        <v>0</v>
      </c>
    </row>
    <row r="28" spans="2:13" s="46" customFormat="1" ht="15.75" x14ac:dyDescent="0.25">
      <c r="B28" s="307"/>
      <c r="C28" s="314"/>
      <c r="D28" s="317"/>
      <c r="E28" s="320"/>
      <c r="F28" s="320"/>
      <c r="G28" s="323"/>
      <c r="H28" s="42" t="s">
        <v>32</v>
      </c>
      <c r="I28" s="43" t="s">
        <v>26</v>
      </c>
      <c r="J28" s="237">
        <f>K28/E27</f>
        <v>6.0500000000000005E-2</v>
      </c>
      <c r="K28" s="45">
        <f>((E27*0.05))*1.21</f>
        <v>23.413500000000003</v>
      </c>
      <c r="L28" s="237"/>
      <c r="M28" s="34">
        <f t="shared" si="0"/>
        <v>0</v>
      </c>
    </row>
    <row r="29" spans="2:13" s="18" customFormat="1" ht="15.75" x14ac:dyDescent="0.25">
      <c r="B29" s="307"/>
      <c r="C29" s="314"/>
      <c r="D29" s="317"/>
      <c r="E29" s="320"/>
      <c r="F29" s="320"/>
      <c r="G29" s="323"/>
      <c r="H29" s="137" t="s">
        <v>34</v>
      </c>
      <c r="I29" s="43" t="s">
        <v>35</v>
      </c>
      <c r="J29" s="44">
        <f>K29/E27</f>
        <v>0.21000000000000008</v>
      </c>
      <c r="K29" s="45">
        <f>K27*1.5/100*1000</f>
        <v>81.270000000000024</v>
      </c>
      <c r="L29" s="237"/>
      <c r="M29" s="34">
        <f t="shared" si="0"/>
        <v>0</v>
      </c>
    </row>
    <row r="30" spans="2:13" s="18" customFormat="1" ht="15.75" x14ac:dyDescent="0.25">
      <c r="B30" s="289"/>
      <c r="C30" s="315"/>
      <c r="D30" s="318"/>
      <c r="E30" s="321"/>
      <c r="F30" s="321"/>
      <c r="G30" s="324"/>
      <c r="H30" s="42" t="s">
        <v>36</v>
      </c>
      <c r="I30" s="43" t="s">
        <v>37</v>
      </c>
      <c r="J30" s="241">
        <v>0.2</v>
      </c>
      <c r="K30" s="48">
        <f>E27*J30</f>
        <v>77.400000000000006</v>
      </c>
      <c r="L30" s="241"/>
      <c r="M30" s="34">
        <f t="shared" si="0"/>
        <v>0</v>
      </c>
    </row>
    <row r="31" spans="2:13" s="18" customFormat="1" ht="31.5" x14ac:dyDescent="0.25">
      <c r="B31" s="49">
        <f>B22+1</f>
        <v>4</v>
      </c>
      <c r="C31" s="50" t="s">
        <v>40</v>
      </c>
      <c r="D31" s="51" t="s">
        <v>41</v>
      </c>
      <c r="E31" s="32">
        <v>100</v>
      </c>
      <c r="F31" s="52"/>
      <c r="G31" s="229">
        <f>E31*F31</f>
        <v>0</v>
      </c>
      <c r="H31" s="29" t="s">
        <v>42</v>
      </c>
      <c r="I31" s="30" t="s">
        <v>26</v>
      </c>
      <c r="J31" s="53">
        <v>8.0000000000000002E-3</v>
      </c>
      <c r="K31" s="53">
        <f>E31*J31</f>
        <v>0.8</v>
      </c>
      <c r="L31" s="237"/>
      <c r="M31" s="34">
        <f>K31*L31</f>
        <v>0</v>
      </c>
    </row>
    <row r="32" spans="2:13" s="18" customFormat="1" ht="15.75" x14ac:dyDescent="0.25">
      <c r="B32" s="278">
        <f>B31+1</f>
        <v>5</v>
      </c>
      <c r="C32" s="280" t="s">
        <v>43</v>
      </c>
      <c r="D32" s="282" t="s">
        <v>23</v>
      </c>
      <c r="E32" s="284">
        <v>31.3</v>
      </c>
      <c r="F32" s="284"/>
      <c r="G32" s="284">
        <f>F32*E32</f>
        <v>0</v>
      </c>
      <c r="H32" s="50" t="s">
        <v>44</v>
      </c>
      <c r="I32" s="54" t="s">
        <v>23</v>
      </c>
      <c r="J32" s="55">
        <v>1.05</v>
      </c>
      <c r="K32" s="52">
        <f>E32*J32</f>
        <v>32.865000000000002</v>
      </c>
      <c r="L32" s="56"/>
      <c r="M32" s="34">
        <f t="shared" ref="M32:M54" si="1">K32*L32</f>
        <v>0</v>
      </c>
    </row>
    <row r="33" spans="1:91" s="18" customFormat="1" ht="15.75" x14ac:dyDescent="0.25">
      <c r="B33" s="307"/>
      <c r="C33" s="308"/>
      <c r="D33" s="300"/>
      <c r="E33" s="301"/>
      <c r="F33" s="301"/>
      <c r="G33" s="301"/>
      <c r="H33" s="57" t="s">
        <v>45</v>
      </c>
      <c r="I33" s="58" t="s">
        <v>28</v>
      </c>
      <c r="J33" s="59">
        <v>10</v>
      </c>
      <c r="K33" s="60">
        <f>E32*J33</f>
        <v>313</v>
      </c>
      <c r="L33" s="61"/>
      <c r="M33" s="34">
        <f t="shared" si="1"/>
        <v>0</v>
      </c>
    </row>
    <row r="34" spans="1:91" s="18" customFormat="1" ht="15.75" x14ac:dyDescent="0.25">
      <c r="B34" s="289"/>
      <c r="C34" s="362"/>
      <c r="D34" s="363"/>
      <c r="E34" s="364"/>
      <c r="F34" s="364"/>
      <c r="G34" s="364"/>
      <c r="H34" s="62" t="s">
        <v>46</v>
      </c>
      <c r="I34" s="30" t="s">
        <v>47</v>
      </c>
      <c r="J34" s="53">
        <v>0.1</v>
      </c>
      <c r="K34" s="63">
        <f>E32*J34</f>
        <v>3.1300000000000003</v>
      </c>
      <c r="L34" s="64"/>
      <c r="M34" s="34">
        <f t="shared" si="1"/>
        <v>0</v>
      </c>
    </row>
    <row r="35" spans="1:91" s="18" customFormat="1" ht="31.5" x14ac:dyDescent="0.25">
      <c r="B35" s="224">
        <f>B32+1</f>
        <v>6</v>
      </c>
      <c r="C35" s="235" t="s">
        <v>48</v>
      </c>
      <c r="D35" s="236" t="s">
        <v>19</v>
      </c>
      <c r="E35" s="237">
        <f>E36+E38</f>
        <v>527</v>
      </c>
      <c r="F35" s="237"/>
      <c r="G35" s="237">
        <f>F35*E35</f>
        <v>0</v>
      </c>
      <c r="H35" s="62" t="s">
        <v>49</v>
      </c>
      <c r="I35" s="30" t="s">
        <v>35</v>
      </c>
      <c r="J35" s="53">
        <v>0.4</v>
      </c>
      <c r="K35" s="53">
        <f>E35*J35</f>
        <v>210.8</v>
      </c>
      <c r="L35" s="33"/>
      <c r="M35" s="34">
        <f t="shared" si="1"/>
        <v>0</v>
      </c>
    </row>
    <row r="36" spans="1:91" s="11" customFormat="1" ht="15.75" x14ac:dyDescent="0.25">
      <c r="B36" s="381">
        <f>B35+1</f>
        <v>7</v>
      </c>
      <c r="C36" s="383" t="s">
        <v>50</v>
      </c>
      <c r="D36" s="385" t="s">
        <v>19</v>
      </c>
      <c r="E36" s="387">
        <f>E20</f>
        <v>387</v>
      </c>
      <c r="F36" s="387"/>
      <c r="G36" s="387">
        <f>F36*E36</f>
        <v>0</v>
      </c>
      <c r="H36" s="65" t="s">
        <v>51</v>
      </c>
      <c r="I36" s="66" t="s">
        <v>21</v>
      </c>
      <c r="J36" s="67">
        <f>K36/E36</f>
        <v>2.2999999999999998</v>
      </c>
      <c r="K36" s="67">
        <f>E36*1.15*2</f>
        <v>890.09999999999991</v>
      </c>
      <c r="L36" s="245"/>
      <c r="M36" s="68">
        <f t="shared" si="1"/>
        <v>0</v>
      </c>
    </row>
    <row r="37" spans="1:91" s="11" customFormat="1" ht="15.75" x14ac:dyDescent="0.25">
      <c r="B37" s="382"/>
      <c r="C37" s="384"/>
      <c r="D37" s="386"/>
      <c r="E37" s="388"/>
      <c r="F37" s="388"/>
      <c r="G37" s="388"/>
      <c r="H37" s="69" t="s">
        <v>52</v>
      </c>
      <c r="I37" s="66" t="s">
        <v>37</v>
      </c>
      <c r="J37" s="67">
        <f>K37/E36</f>
        <v>1.3333333333333333</v>
      </c>
      <c r="K37" s="67">
        <f>E36*2/3*2</f>
        <v>516</v>
      </c>
      <c r="L37" s="245"/>
      <c r="M37" s="68">
        <f t="shared" si="1"/>
        <v>0</v>
      </c>
    </row>
    <row r="38" spans="1:91" s="11" customFormat="1" ht="15.75" x14ac:dyDescent="0.25">
      <c r="B38" s="278">
        <f>B36+1</f>
        <v>8</v>
      </c>
      <c r="C38" s="280" t="s">
        <v>53</v>
      </c>
      <c r="D38" s="282" t="s">
        <v>19</v>
      </c>
      <c r="E38" s="284">
        <f>E31*1.4</f>
        <v>140</v>
      </c>
      <c r="F38" s="284"/>
      <c r="G38" s="284">
        <f>F38*E38</f>
        <v>0</v>
      </c>
      <c r="H38" s="65" t="s">
        <v>54</v>
      </c>
      <c r="I38" s="66" t="s">
        <v>21</v>
      </c>
      <c r="J38" s="67">
        <f>K38/E38</f>
        <v>2.2999999999999998</v>
      </c>
      <c r="K38" s="67">
        <f>E38*1.15*2</f>
        <v>322</v>
      </c>
      <c r="L38" s="237"/>
      <c r="M38" s="34">
        <f t="shared" si="1"/>
        <v>0</v>
      </c>
    </row>
    <row r="39" spans="1:91" s="11" customFormat="1" ht="15.75" x14ac:dyDescent="0.25">
      <c r="B39" s="289"/>
      <c r="C39" s="362"/>
      <c r="D39" s="363"/>
      <c r="E39" s="364"/>
      <c r="F39" s="364"/>
      <c r="G39" s="364"/>
      <c r="H39" s="69" t="s">
        <v>52</v>
      </c>
      <c r="I39" s="66" t="s">
        <v>37</v>
      </c>
      <c r="J39" s="67">
        <v>1.5</v>
      </c>
      <c r="K39" s="67">
        <f>E38*J39</f>
        <v>210</v>
      </c>
      <c r="L39" s="237"/>
      <c r="M39" s="34">
        <f t="shared" si="1"/>
        <v>0</v>
      </c>
    </row>
    <row r="40" spans="1:91" s="11" customFormat="1" ht="15.75" x14ac:dyDescent="0.25">
      <c r="B40" s="278">
        <f>B38+1</f>
        <v>9</v>
      </c>
      <c r="C40" s="280" t="s">
        <v>55</v>
      </c>
      <c r="D40" s="282" t="s">
        <v>19</v>
      </c>
      <c r="E40" s="284">
        <f>142-E31</f>
        <v>42</v>
      </c>
      <c r="F40" s="284"/>
      <c r="G40" s="284">
        <f>F40*E40</f>
        <v>0</v>
      </c>
      <c r="H40" s="65" t="s">
        <v>54</v>
      </c>
      <c r="I40" s="66" t="s">
        <v>21</v>
      </c>
      <c r="J40" s="67">
        <f>K40/E40</f>
        <v>2.2999999999999998</v>
      </c>
      <c r="K40" s="67">
        <f>E40*1.15*2</f>
        <v>96.6</v>
      </c>
      <c r="L40" s="237"/>
      <c r="M40" s="34">
        <f t="shared" si="1"/>
        <v>0</v>
      </c>
    </row>
    <row r="41" spans="1:91" s="11" customFormat="1" ht="15.75" x14ac:dyDescent="0.25">
      <c r="B41" s="289"/>
      <c r="C41" s="362"/>
      <c r="D41" s="363"/>
      <c r="E41" s="364"/>
      <c r="F41" s="364"/>
      <c r="G41" s="364"/>
      <c r="H41" s="69" t="s">
        <v>52</v>
      </c>
      <c r="I41" s="66" t="s">
        <v>37</v>
      </c>
      <c r="J41" s="67">
        <v>1.5</v>
      </c>
      <c r="K41" s="67">
        <f>E40*J41</f>
        <v>63</v>
      </c>
      <c r="L41" s="237"/>
      <c r="M41" s="34">
        <f t="shared" si="1"/>
        <v>0</v>
      </c>
    </row>
    <row r="42" spans="1:91" s="75" customFormat="1" ht="15.75" x14ac:dyDescent="0.25">
      <c r="A42" s="70"/>
      <c r="B42" s="302">
        <f>B40+1</f>
        <v>10</v>
      </c>
      <c r="C42" s="303" t="s">
        <v>56</v>
      </c>
      <c r="D42" s="304" t="s">
        <v>23</v>
      </c>
      <c r="E42" s="305">
        <f>E31</f>
        <v>100</v>
      </c>
      <c r="F42" s="340"/>
      <c r="G42" s="340">
        <f>E42*F42</f>
        <v>0</v>
      </c>
      <c r="H42" s="71" t="s">
        <v>57</v>
      </c>
      <c r="I42" s="37" t="s">
        <v>21</v>
      </c>
      <c r="J42" s="72">
        <v>0.1</v>
      </c>
      <c r="K42" s="73">
        <f>(E42-K43)*J42</f>
        <v>6</v>
      </c>
      <c r="L42" s="136"/>
      <c r="M42" s="74">
        <f t="shared" si="1"/>
        <v>0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</row>
    <row r="43" spans="1:91" s="75" customFormat="1" ht="31.5" x14ac:dyDescent="0.25">
      <c r="A43" s="70"/>
      <c r="B43" s="302"/>
      <c r="C43" s="303"/>
      <c r="D43" s="304"/>
      <c r="E43" s="305"/>
      <c r="F43" s="340"/>
      <c r="G43" s="340"/>
      <c r="H43" s="29" t="s">
        <v>58</v>
      </c>
      <c r="I43" s="30" t="s">
        <v>23</v>
      </c>
      <c r="J43" s="53">
        <v>0.35</v>
      </c>
      <c r="K43" s="53">
        <v>40</v>
      </c>
      <c r="L43" s="237"/>
      <c r="M43" s="34">
        <f>K43*L43</f>
        <v>0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</row>
    <row r="44" spans="1:91" s="75" customFormat="1" ht="15.75" x14ac:dyDescent="0.25">
      <c r="A44" s="70"/>
      <c r="B44" s="302"/>
      <c r="C44" s="303"/>
      <c r="D44" s="304"/>
      <c r="E44" s="305"/>
      <c r="F44" s="340"/>
      <c r="G44" s="340"/>
      <c r="H44" s="76" t="s">
        <v>59</v>
      </c>
      <c r="I44" s="77" t="s">
        <v>28</v>
      </c>
      <c r="J44" s="78">
        <v>5</v>
      </c>
      <c r="K44" s="73">
        <f>ROUNDUP(E42*J44,0)</f>
        <v>500</v>
      </c>
      <c r="L44" s="136"/>
      <c r="M44" s="74">
        <f t="shared" si="1"/>
        <v>0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</row>
    <row r="45" spans="1:91" s="75" customFormat="1" ht="15.75" x14ac:dyDescent="0.25">
      <c r="A45" s="70"/>
      <c r="B45" s="302"/>
      <c r="C45" s="303"/>
      <c r="D45" s="304"/>
      <c r="E45" s="305"/>
      <c r="F45" s="340"/>
      <c r="G45" s="340"/>
      <c r="H45" s="226" t="s">
        <v>60</v>
      </c>
      <c r="I45" s="227" t="s">
        <v>47</v>
      </c>
      <c r="J45" s="79">
        <v>0.1</v>
      </c>
      <c r="K45" s="80">
        <f>E42*J45</f>
        <v>10</v>
      </c>
      <c r="L45" s="81"/>
      <c r="M45" s="74">
        <f t="shared" si="1"/>
        <v>0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</row>
    <row r="46" spans="1:91" s="18" customFormat="1" ht="15.75" x14ac:dyDescent="0.25">
      <c r="B46" s="375">
        <f>B42+1</f>
        <v>11</v>
      </c>
      <c r="C46" s="376" t="s">
        <v>61</v>
      </c>
      <c r="D46" s="377" t="s">
        <v>47</v>
      </c>
      <c r="E46" s="378">
        <v>2</v>
      </c>
      <c r="F46" s="379"/>
      <c r="G46" s="380">
        <f>E46*F46</f>
        <v>0</v>
      </c>
      <c r="H46" s="69" t="s">
        <v>62</v>
      </c>
      <c r="I46" s="30" t="s">
        <v>47</v>
      </c>
      <c r="J46" s="244">
        <v>1</v>
      </c>
      <c r="K46" s="244">
        <f>E46*J46</f>
        <v>2</v>
      </c>
      <c r="L46" s="241"/>
      <c r="M46" s="82">
        <f t="shared" si="1"/>
        <v>0</v>
      </c>
    </row>
    <row r="47" spans="1:91" s="18" customFormat="1" ht="15.75" x14ac:dyDescent="0.25">
      <c r="B47" s="375"/>
      <c r="C47" s="376"/>
      <c r="D47" s="377"/>
      <c r="E47" s="378"/>
      <c r="F47" s="379"/>
      <c r="G47" s="380"/>
      <c r="H47" s="226" t="s">
        <v>63</v>
      </c>
      <c r="I47" s="83" t="s">
        <v>28</v>
      </c>
      <c r="J47" s="84">
        <v>0.5</v>
      </c>
      <c r="K47" s="244">
        <f>E46*J47</f>
        <v>1</v>
      </c>
      <c r="L47" s="241"/>
      <c r="M47" s="82">
        <f t="shared" si="1"/>
        <v>0</v>
      </c>
    </row>
    <row r="48" spans="1:91" s="18" customFormat="1" ht="15.75" x14ac:dyDescent="0.25">
      <c r="B48" s="325">
        <f>B46+1</f>
        <v>12</v>
      </c>
      <c r="C48" s="350" t="s">
        <v>64</v>
      </c>
      <c r="D48" s="352" t="s">
        <v>28</v>
      </c>
      <c r="E48" s="354">
        <f>E46</f>
        <v>2</v>
      </c>
      <c r="F48" s="354"/>
      <c r="G48" s="354">
        <f>F48*E48</f>
        <v>0</v>
      </c>
      <c r="H48" s="226" t="s">
        <v>65</v>
      </c>
      <c r="I48" s="227" t="s">
        <v>28</v>
      </c>
      <c r="J48" s="228">
        <v>1</v>
      </c>
      <c r="K48" s="228">
        <v>2</v>
      </c>
      <c r="L48" s="85"/>
      <c r="M48" s="74">
        <f t="shared" si="1"/>
        <v>0</v>
      </c>
    </row>
    <row r="49" spans="2:13" s="89" customFormat="1" ht="47.25" x14ac:dyDescent="0.25">
      <c r="B49" s="326"/>
      <c r="C49" s="371"/>
      <c r="D49" s="373"/>
      <c r="E49" s="374"/>
      <c r="F49" s="374"/>
      <c r="G49" s="374"/>
      <c r="H49" s="86" t="s">
        <v>66</v>
      </c>
      <c r="I49" s="227" t="s">
        <v>28</v>
      </c>
      <c r="J49" s="228">
        <v>4</v>
      </c>
      <c r="K49" s="228">
        <f>E48*J49</f>
        <v>8</v>
      </c>
      <c r="L49" s="87"/>
      <c r="M49" s="88">
        <f t="shared" si="1"/>
        <v>0</v>
      </c>
    </row>
    <row r="50" spans="2:13" s="18" customFormat="1" ht="15.75" x14ac:dyDescent="0.25">
      <c r="B50" s="327"/>
      <c r="C50" s="372"/>
      <c r="D50" s="353"/>
      <c r="E50" s="355"/>
      <c r="F50" s="355"/>
      <c r="G50" s="355"/>
      <c r="H50" s="86" t="s">
        <v>67</v>
      </c>
      <c r="I50" s="90" t="s">
        <v>68</v>
      </c>
      <c r="J50" s="91">
        <v>7</v>
      </c>
      <c r="K50" s="91">
        <f>E48*J50</f>
        <v>14</v>
      </c>
      <c r="L50" s="232"/>
      <c r="M50" s="92">
        <f t="shared" si="1"/>
        <v>0</v>
      </c>
    </row>
    <row r="51" spans="2:13" s="18" customFormat="1" ht="15.75" x14ac:dyDescent="0.25">
      <c r="B51" s="359">
        <f>B48+1</f>
        <v>13</v>
      </c>
      <c r="C51" s="365" t="s">
        <v>69</v>
      </c>
      <c r="D51" s="367" t="s">
        <v>19</v>
      </c>
      <c r="E51" s="369">
        <f>E36+((E31)*0.3)</f>
        <v>417</v>
      </c>
      <c r="F51" s="369"/>
      <c r="G51" s="369">
        <f>F51*E51</f>
        <v>0</v>
      </c>
      <c r="H51" s="42" t="s">
        <v>70</v>
      </c>
      <c r="I51" s="43" t="s">
        <v>21</v>
      </c>
      <c r="J51" s="31">
        <v>1.2</v>
      </c>
      <c r="K51" s="93">
        <f>E51*J51</f>
        <v>500.4</v>
      </c>
      <c r="L51" s="33"/>
      <c r="M51" s="94">
        <f t="shared" si="1"/>
        <v>0</v>
      </c>
    </row>
    <row r="52" spans="2:13" s="46" customFormat="1" ht="15.75" x14ac:dyDescent="0.25">
      <c r="B52" s="361"/>
      <c r="C52" s="366"/>
      <c r="D52" s="368"/>
      <c r="E52" s="370"/>
      <c r="F52" s="370"/>
      <c r="G52" s="370"/>
      <c r="H52" s="95" t="s">
        <v>71</v>
      </c>
      <c r="I52" s="96" t="s">
        <v>21</v>
      </c>
      <c r="J52" s="31">
        <v>1.1499999999999999</v>
      </c>
      <c r="K52" s="93">
        <f>E51*J52</f>
        <v>479.54999999999995</v>
      </c>
      <c r="L52" s="33"/>
      <c r="M52" s="94">
        <f t="shared" si="1"/>
        <v>0</v>
      </c>
    </row>
    <row r="53" spans="2:13" s="18" customFormat="1" ht="31.5" x14ac:dyDescent="0.25">
      <c r="B53" s="234">
        <f>B50+1</f>
        <v>1</v>
      </c>
      <c r="C53" s="97" t="s">
        <v>72</v>
      </c>
      <c r="D53" s="98" t="s">
        <v>73</v>
      </c>
      <c r="E53" s="99">
        <v>100</v>
      </c>
      <c r="F53" s="99"/>
      <c r="G53" s="99">
        <f>F53*E53</f>
        <v>0</v>
      </c>
      <c r="H53" s="42" t="s">
        <v>70</v>
      </c>
      <c r="I53" s="43" t="s">
        <v>21</v>
      </c>
      <c r="J53" s="31">
        <v>1.2</v>
      </c>
      <c r="K53" s="93">
        <f>E53*J53</f>
        <v>120</v>
      </c>
      <c r="L53" s="33"/>
      <c r="M53" s="94">
        <f t="shared" si="1"/>
        <v>0</v>
      </c>
    </row>
    <row r="54" spans="2:13" s="104" customFormat="1" ht="16.5" x14ac:dyDescent="0.25">
      <c r="B54" s="242">
        <f>B51+1</f>
        <v>14</v>
      </c>
      <c r="C54" s="246" t="s">
        <v>74</v>
      </c>
      <c r="D54" s="239" t="s">
        <v>19</v>
      </c>
      <c r="E54" s="240">
        <f>E20</f>
        <v>387</v>
      </c>
      <c r="F54" s="240"/>
      <c r="G54" s="240">
        <f>E54*F54</f>
        <v>0</v>
      </c>
      <c r="H54" s="100" t="s">
        <v>75</v>
      </c>
      <c r="I54" s="243" t="s">
        <v>26</v>
      </c>
      <c r="J54" s="101">
        <f>K54/E54</f>
        <v>5.4263565891472867E-2</v>
      </c>
      <c r="K54" s="102">
        <f>ROUNDUP(E54*0.05*1.05,0)</f>
        <v>21</v>
      </c>
      <c r="L54" s="103"/>
      <c r="M54" s="94">
        <f t="shared" si="1"/>
        <v>0</v>
      </c>
    </row>
    <row r="55" spans="2:13" s="105" customFormat="1" ht="15.75" x14ac:dyDescent="0.25">
      <c r="B55" s="242">
        <f>B54+1</f>
        <v>15</v>
      </c>
      <c r="C55" s="220" t="s">
        <v>76</v>
      </c>
      <c r="D55" s="221" t="s">
        <v>19</v>
      </c>
      <c r="E55" s="222">
        <f>E54</f>
        <v>387</v>
      </c>
      <c r="F55" s="222"/>
      <c r="G55" s="222">
        <f>F55*E55</f>
        <v>0</v>
      </c>
      <c r="H55" s="29" t="s">
        <v>77</v>
      </c>
      <c r="I55" s="30" t="s">
        <v>21</v>
      </c>
      <c r="J55" s="31">
        <v>1.2</v>
      </c>
      <c r="K55" s="32">
        <f>E55*J55</f>
        <v>464.4</v>
      </c>
      <c r="L55" s="31"/>
      <c r="M55" s="34">
        <f>K55*L55</f>
        <v>0</v>
      </c>
    </row>
    <row r="56" spans="2:13" s="105" customFormat="1" ht="15.75" x14ac:dyDescent="0.25">
      <c r="B56" s="359">
        <f>B55+1</f>
        <v>16</v>
      </c>
      <c r="C56" s="280" t="s">
        <v>78</v>
      </c>
      <c r="D56" s="282" t="s">
        <v>19</v>
      </c>
      <c r="E56" s="284">
        <v>387</v>
      </c>
      <c r="F56" s="284"/>
      <c r="G56" s="284">
        <f>E56*F56</f>
        <v>0</v>
      </c>
      <c r="H56" s="29" t="s">
        <v>79</v>
      </c>
      <c r="I56" s="30" t="s">
        <v>26</v>
      </c>
      <c r="J56" s="106">
        <f>K56/E56</f>
        <v>0.10200000000000001</v>
      </c>
      <c r="K56" s="107">
        <f>E56*0.1*1.02</f>
        <v>39.474000000000004</v>
      </c>
      <c r="L56" s="216"/>
      <c r="M56" s="34">
        <f>K56*L56</f>
        <v>0</v>
      </c>
    </row>
    <row r="57" spans="2:13" s="105" customFormat="1" ht="15.75" x14ac:dyDescent="0.25">
      <c r="B57" s="360"/>
      <c r="C57" s="308"/>
      <c r="D57" s="300"/>
      <c r="E57" s="301"/>
      <c r="F57" s="301"/>
      <c r="G57" s="301"/>
      <c r="H57" s="29" t="s">
        <v>80</v>
      </c>
      <c r="I57" s="30" t="s">
        <v>31</v>
      </c>
      <c r="J57" s="109">
        <v>1.03</v>
      </c>
      <c r="K57" s="110">
        <f>E56*10*0.43/1000*1.03</f>
        <v>1.7140229999999999</v>
      </c>
      <c r="L57" s="108"/>
      <c r="M57" s="34">
        <f t="shared" ref="M57:M59" si="2">K57*L57</f>
        <v>0</v>
      </c>
    </row>
    <row r="58" spans="2:13" s="105" customFormat="1" ht="15.75" x14ac:dyDescent="0.25">
      <c r="B58" s="360"/>
      <c r="C58" s="308"/>
      <c r="D58" s="300"/>
      <c r="E58" s="301"/>
      <c r="F58" s="301"/>
      <c r="G58" s="301"/>
      <c r="H58" s="29" t="s">
        <v>81</v>
      </c>
      <c r="I58" s="30" t="s">
        <v>35</v>
      </c>
      <c r="J58" s="109">
        <v>9</v>
      </c>
      <c r="K58" s="107">
        <f>K57*J58</f>
        <v>15.426206999999998</v>
      </c>
      <c r="L58" s="108"/>
      <c r="M58" s="34">
        <f t="shared" si="2"/>
        <v>0</v>
      </c>
    </row>
    <row r="59" spans="2:13" s="18" customFormat="1" ht="15.75" x14ac:dyDescent="0.25">
      <c r="B59" s="361"/>
      <c r="C59" s="362"/>
      <c r="D59" s="363"/>
      <c r="E59" s="364"/>
      <c r="F59" s="364"/>
      <c r="G59" s="364"/>
      <c r="H59" s="29" t="s">
        <v>82</v>
      </c>
      <c r="I59" s="30" t="s">
        <v>28</v>
      </c>
      <c r="J59" s="111">
        <v>4</v>
      </c>
      <c r="K59" s="107">
        <f>E56*J59</f>
        <v>1548</v>
      </c>
      <c r="L59" s="108"/>
      <c r="M59" s="34">
        <f t="shared" si="2"/>
        <v>0</v>
      </c>
    </row>
    <row r="60" spans="2:13" s="113" customFormat="1" ht="18.75" x14ac:dyDescent="0.25">
      <c r="B60" s="242">
        <f>B56+1</f>
        <v>17</v>
      </c>
      <c r="C60" s="50" t="s">
        <v>83</v>
      </c>
      <c r="D60" s="37" t="s">
        <v>84</v>
      </c>
      <c r="E60" s="229">
        <v>1</v>
      </c>
      <c r="F60" s="229"/>
      <c r="G60" s="229">
        <f>E60*F60</f>
        <v>0</v>
      </c>
      <c r="H60" s="29"/>
      <c r="I60" s="30"/>
      <c r="J60" s="106"/>
      <c r="K60" s="107"/>
      <c r="L60" s="108"/>
      <c r="M60" s="112"/>
    </row>
    <row r="61" spans="2:13" s="113" customFormat="1" ht="18" customHeight="1" thickBot="1" x14ac:dyDescent="0.3">
      <c r="B61" s="286" t="s">
        <v>85</v>
      </c>
      <c r="C61" s="287"/>
      <c r="D61" s="287"/>
      <c r="E61" s="223" t="s">
        <v>86</v>
      </c>
      <c r="F61" s="114">
        <f>SUM(G18:G60)</f>
        <v>0</v>
      </c>
      <c r="G61" s="115"/>
      <c r="H61" s="288" t="s">
        <v>87</v>
      </c>
      <c r="I61" s="288"/>
      <c r="J61" s="288"/>
      <c r="K61" s="116" t="s">
        <v>86</v>
      </c>
      <c r="L61" s="117">
        <f>SUBTOTAL(9,M18:M60)</f>
        <v>0</v>
      </c>
      <c r="M61" s="118"/>
    </row>
    <row r="62" spans="2:13" s="113" customFormat="1" ht="19.5" thickBot="1" x14ac:dyDescent="0.3">
      <c r="B62" s="119"/>
      <c r="C62" s="120" t="s">
        <v>88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2"/>
    </row>
    <row r="63" spans="2:13" s="18" customFormat="1" ht="15.75" x14ac:dyDescent="0.25">
      <c r="B63" s="341">
        <v>1</v>
      </c>
      <c r="C63" s="342" t="s">
        <v>89</v>
      </c>
      <c r="D63" s="344" t="s">
        <v>19</v>
      </c>
      <c r="E63" s="346">
        <f>E68+E77*0.25</f>
        <v>776.25</v>
      </c>
      <c r="F63" s="346"/>
      <c r="G63" s="346">
        <f>F63*E63</f>
        <v>0</v>
      </c>
      <c r="H63" s="123" t="s">
        <v>20</v>
      </c>
      <c r="I63" s="124" t="s">
        <v>21</v>
      </c>
      <c r="J63" s="125">
        <v>1.1499999999999999</v>
      </c>
      <c r="K63" s="126">
        <f>E63*J63</f>
        <v>892.68749999999989</v>
      </c>
      <c r="L63" s="33"/>
      <c r="M63" s="127">
        <f t="shared" ref="M63:M100" si="3">K63*L63</f>
        <v>0</v>
      </c>
    </row>
    <row r="64" spans="2:13" s="130" customFormat="1" ht="18.75" customHeight="1" x14ac:dyDescent="0.25">
      <c r="B64" s="302"/>
      <c r="C64" s="343"/>
      <c r="D64" s="345"/>
      <c r="E64" s="347"/>
      <c r="F64" s="347"/>
      <c r="G64" s="347"/>
      <c r="H64" s="128" t="s">
        <v>22</v>
      </c>
      <c r="I64" s="227" t="s">
        <v>23</v>
      </c>
      <c r="J64" s="129">
        <v>1</v>
      </c>
      <c r="K64" s="32">
        <f>E63*J64</f>
        <v>776.25</v>
      </c>
      <c r="L64" s="35"/>
      <c r="M64" s="74">
        <f t="shared" si="3"/>
        <v>0</v>
      </c>
    </row>
    <row r="65" spans="1:91" s="11" customFormat="1" ht="21" customHeight="1" x14ac:dyDescent="0.25">
      <c r="B65" s="302">
        <f>B63+1</f>
        <v>2</v>
      </c>
      <c r="C65" s="303" t="s">
        <v>90</v>
      </c>
      <c r="D65" s="304" t="s">
        <v>19</v>
      </c>
      <c r="E65" s="305">
        <f>E68</f>
        <v>716</v>
      </c>
      <c r="F65" s="340"/>
      <c r="G65" s="340">
        <f>E65*F65</f>
        <v>0</v>
      </c>
      <c r="H65" s="36" t="s">
        <v>25</v>
      </c>
      <c r="I65" s="37" t="s">
        <v>26</v>
      </c>
      <c r="J65" s="131">
        <f>K65/E65</f>
        <v>0.20600000000000002</v>
      </c>
      <c r="K65" s="73">
        <f>E65*0.2*1.03</f>
        <v>147.49600000000001</v>
      </c>
      <c r="L65" s="237"/>
      <c r="M65" s="74">
        <f t="shared" si="3"/>
        <v>0</v>
      </c>
    </row>
    <row r="66" spans="1:91" ht="15.75" x14ac:dyDescent="0.25">
      <c r="B66" s="302"/>
      <c r="C66" s="303"/>
      <c r="D66" s="304"/>
      <c r="E66" s="305"/>
      <c r="F66" s="340"/>
      <c r="G66" s="340"/>
      <c r="H66" s="39" t="s">
        <v>27</v>
      </c>
      <c r="I66" s="77" t="s">
        <v>28</v>
      </c>
      <c r="J66" s="132">
        <f>K66/E65</f>
        <v>2.094972067039106E-2</v>
      </c>
      <c r="K66" s="73">
        <f>ROUNDUP(E65*0.02,0)</f>
        <v>15</v>
      </c>
      <c r="L66" s="237"/>
      <c r="M66" s="74">
        <f t="shared" si="3"/>
        <v>0</v>
      </c>
    </row>
    <row r="67" spans="1:91" s="133" customFormat="1" ht="38.25" hidden="1" customHeight="1" x14ac:dyDescent="0.25">
      <c r="B67" s="225">
        <v>5</v>
      </c>
      <c r="C67" s="226" t="s">
        <v>91</v>
      </c>
      <c r="D67" s="227" t="s">
        <v>19</v>
      </c>
      <c r="E67" s="228"/>
      <c r="F67" s="189"/>
      <c r="G67" s="189">
        <f>E67*F67</f>
        <v>0</v>
      </c>
      <c r="H67" s="71" t="s">
        <v>92</v>
      </c>
      <c r="I67" s="37" t="s">
        <v>26</v>
      </c>
      <c r="J67" s="131" t="e">
        <f>K67/E67</f>
        <v>#DIV/0!</v>
      </c>
      <c r="K67" s="73">
        <f>E67*0.075*1.03</f>
        <v>0</v>
      </c>
      <c r="L67" s="136"/>
      <c r="M67" s="74">
        <f t="shared" si="3"/>
        <v>0</v>
      </c>
    </row>
    <row r="68" spans="1:91" s="134" customFormat="1" ht="15.75" customHeight="1" x14ac:dyDescent="0.25">
      <c r="B68" s="325">
        <f>B65+1</f>
        <v>3</v>
      </c>
      <c r="C68" s="328" t="s">
        <v>93</v>
      </c>
      <c r="D68" s="331" t="s">
        <v>19</v>
      </c>
      <c r="E68" s="334">
        <f>576.5+139.5</f>
        <v>716</v>
      </c>
      <c r="F68" s="334"/>
      <c r="G68" s="337">
        <f>E68*F68</f>
        <v>0</v>
      </c>
      <c r="H68" s="42" t="s">
        <v>30</v>
      </c>
      <c r="I68" s="135" t="s">
        <v>31</v>
      </c>
      <c r="J68" s="131">
        <f>K68/E68</f>
        <v>2.2400000000000003E-2</v>
      </c>
      <c r="K68" s="73">
        <f>((E68*0.08))*0.28</f>
        <v>16.038400000000003</v>
      </c>
      <c r="L68" s="136"/>
      <c r="M68" s="74">
        <f t="shared" si="3"/>
        <v>0</v>
      </c>
    </row>
    <row r="69" spans="1:91" s="75" customFormat="1" ht="15.75" x14ac:dyDescent="0.25">
      <c r="A69" s="70"/>
      <c r="B69" s="326"/>
      <c r="C69" s="329"/>
      <c r="D69" s="332"/>
      <c r="E69" s="335"/>
      <c r="F69" s="335"/>
      <c r="G69" s="338"/>
      <c r="H69" s="137" t="s">
        <v>94</v>
      </c>
      <c r="I69" s="135" t="s">
        <v>26</v>
      </c>
      <c r="J69" s="136">
        <f>K69/E68</f>
        <v>9.6800000000000011E-2</v>
      </c>
      <c r="K69" s="73">
        <f>(((E68*0.08*1.21)))</f>
        <v>69.308800000000005</v>
      </c>
      <c r="L69" s="136"/>
      <c r="M69" s="74">
        <f t="shared" si="3"/>
        <v>0</v>
      </c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</row>
    <row r="70" spans="1:91" s="75" customFormat="1" ht="15.75" x14ac:dyDescent="0.25">
      <c r="A70" s="70"/>
      <c r="B70" s="326"/>
      <c r="C70" s="329"/>
      <c r="D70" s="332"/>
      <c r="E70" s="335"/>
      <c r="F70" s="335"/>
      <c r="G70" s="338"/>
      <c r="H70" s="138" t="s">
        <v>95</v>
      </c>
      <c r="I70" s="139" t="s">
        <v>21</v>
      </c>
      <c r="J70" s="136">
        <v>1.25</v>
      </c>
      <c r="K70" s="73">
        <f>E68*J70</f>
        <v>895</v>
      </c>
      <c r="L70" s="136"/>
      <c r="M70" s="74">
        <f t="shared" si="3"/>
        <v>0</v>
      </c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</row>
    <row r="71" spans="1:91" s="75" customFormat="1" ht="15.75" x14ac:dyDescent="0.25">
      <c r="A71" s="70"/>
      <c r="B71" s="326"/>
      <c r="C71" s="329"/>
      <c r="D71" s="332"/>
      <c r="E71" s="335"/>
      <c r="F71" s="335"/>
      <c r="G71" s="338"/>
      <c r="H71" s="137" t="s">
        <v>34</v>
      </c>
      <c r="I71" s="139" t="s">
        <v>35</v>
      </c>
      <c r="J71" s="131">
        <f>K71/E68</f>
        <v>0.33600000000000008</v>
      </c>
      <c r="K71" s="73">
        <f>K68*1.5/100*1000</f>
        <v>240.57600000000005</v>
      </c>
      <c r="L71" s="136"/>
      <c r="M71" s="74">
        <f t="shared" si="3"/>
        <v>0</v>
      </c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</row>
    <row r="72" spans="1:91" s="75" customFormat="1" ht="15.75" x14ac:dyDescent="0.25">
      <c r="A72" s="70"/>
      <c r="B72" s="327"/>
      <c r="C72" s="330"/>
      <c r="D72" s="333"/>
      <c r="E72" s="336"/>
      <c r="F72" s="336"/>
      <c r="G72" s="339"/>
      <c r="H72" s="42" t="s">
        <v>36</v>
      </c>
      <c r="I72" s="43" t="s">
        <v>37</v>
      </c>
      <c r="J72" s="241">
        <v>0.25</v>
      </c>
      <c r="K72" s="48">
        <f>E68*J72</f>
        <v>179</v>
      </c>
      <c r="L72" s="241"/>
      <c r="M72" s="34">
        <f t="shared" si="3"/>
        <v>0</v>
      </c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</row>
    <row r="73" spans="1:91" s="18" customFormat="1" ht="15.75" customHeight="1" x14ac:dyDescent="0.25">
      <c r="B73" s="278">
        <f>B68+1</f>
        <v>4</v>
      </c>
      <c r="C73" s="313" t="s">
        <v>39</v>
      </c>
      <c r="D73" s="316" t="s">
        <v>19</v>
      </c>
      <c r="E73" s="319">
        <f>E68</f>
        <v>716</v>
      </c>
      <c r="F73" s="319"/>
      <c r="G73" s="322">
        <f>E73*F73</f>
        <v>0</v>
      </c>
      <c r="H73" s="42" t="s">
        <v>30</v>
      </c>
      <c r="I73" s="43" t="s">
        <v>31</v>
      </c>
      <c r="J73" s="44">
        <f>K73/E73</f>
        <v>1.4000000000000004E-2</v>
      </c>
      <c r="K73" s="45">
        <f>((E73*0.05))*0.28</f>
        <v>10.024000000000003</v>
      </c>
      <c r="L73" s="237"/>
      <c r="M73" s="34">
        <f t="shared" si="3"/>
        <v>0</v>
      </c>
    </row>
    <row r="74" spans="1:91" s="46" customFormat="1" ht="15.75" x14ac:dyDescent="0.25">
      <c r="B74" s="307"/>
      <c r="C74" s="314"/>
      <c r="D74" s="317"/>
      <c r="E74" s="320"/>
      <c r="F74" s="320"/>
      <c r="G74" s="323"/>
      <c r="H74" s="42" t="s">
        <v>32</v>
      </c>
      <c r="I74" s="43" t="s">
        <v>26</v>
      </c>
      <c r="J74" s="237">
        <f>K74/E73</f>
        <v>6.0500000000000005E-2</v>
      </c>
      <c r="K74" s="45">
        <f>((E73*0.05))*1.21</f>
        <v>43.318000000000005</v>
      </c>
      <c r="L74" s="237"/>
      <c r="M74" s="34">
        <f t="shared" si="3"/>
        <v>0</v>
      </c>
    </row>
    <row r="75" spans="1:91" s="18" customFormat="1" ht="15.75" x14ac:dyDescent="0.25">
      <c r="B75" s="307"/>
      <c r="C75" s="314"/>
      <c r="D75" s="317"/>
      <c r="E75" s="320"/>
      <c r="F75" s="320"/>
      <c r="G75" s="323"/>
      <c r="H75" s="42" t="s">
        <v>34</v>
      </c>
      <c r="I75" s="43" t="s">
        <v>35</v>
      </c>
      <c r="J75" s="44">
        <f>K75/E73</f>
        <v>0.21000000000000005</v>
      </c>
      <c r="K75" s="45">
        <f>K73*1.5/100*1000</f>
        <v>150.36000000000004</v>
      </c>
      <c r="L75" s="237"/>
      <c r="M75" s="34">
        <f t="shared" si="3"/>
        <v>0</v>
      </c>
    </row>
    <row r="76" spans="1:91" s="18" customFormat="1" ht="15.75" x14ac:dyDescent="0.25">
      <c r="B76" s="289"/>
      <c r="C76" s="315"/>
      <c r="D76" s="318"/>
      <c r="E76" s="321"/>
      <c r="F76" s="321"/>
      <c r="G76" s="324"/>
      <c r="H76" s="42" t="s">
        <v>36</v>
      </c>
      <c r="I76" s="43" t="s">
        <v>37</v>
      </c>
      <c r="J76" s="241">
        <v>0.2</v>
      </c>
      <c r="K76" s="48">
        <f>E73*J76</f>
        <v>143.20000000000002</v>
      </c>
      <c r="L76" s="241"/>
      <c r="M76" s="34">
        <f t="shared" si="3"/>
        <v>0</v>
      </c>
    </row>
    <row r="77" spans="1:91" s="75" customFormat="1" ht="15.75" x14ac:dyDescent="0.25">
      <c r="A77" s="70"/>
      <c r="B77" s="140">
        <f>B73+1</f>
        <v>5</v>
      </c>
      <c r="C77" s="148" t="s">
        <v>96</v>
      </c>
      <c r="D77" s="141" t="s">
        <v>23</v>
      </c>
      <c r="E77" s="73">
        <f>151.3+89.7</f>
        <v>241</v>
      </c>
      <c r="F77" s="142"/>
      <c r="G77" s="136">
        <f>E77*F77</f>
        <v>0</v>
      </c>
      <c r="H77" s="143" t="s">
        <v>97</v>
      </c>
      <c r="I77" s="66" t="s">
        <v>26</v>
      </c>
      <c r="J77" s="144">
        <v>8.0000000000000002E-3</v>
      </c>
      <c r="K77" s="91">
        <f>E77*J77</f>
        <v>1.9279999999999999</v>
      </c>
      <c r="L77" s="237"/>
      <c r="M77" s="74">
        <f t="shared" si="3"/>
        <v>0</v>
      </c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</row>
    <row r="78" spans="1:91" s="75" customFormat="1" ht="31.5" x14ac:dyDescent="0.25">
      <c r="A78" s="70"/>
      <c r="B78" s="225">
        <f>B77+1</f>
        <v>6</v>
      </c>
      <c r="C78" s="148" t="s">
        <v>98</v>
      </c>
      <c r="D78" s="231" t="s">
        <v>19</v>
      </c>
      <c r="E78" s="136">
        <f>E84*0.5</f>
        <v>120.5</v>
      </c>
      <c r="F78" s="136"/>
      <c r="G78" s="136">
        <f>F78*E78</f>
        <v>0</v>
      </c>
      <c r="H78" s="62" t="s">
        <v>49</v>
      </c>
      <c r="I78" s="227" t="s">
        <v>35</v>
      </c>
      <c r="J78" s="228">
        <v>0.4</v>
      </c>
      <c r="K78" s="228">
        <f>E78*J78</f>
        <v>48.2</v>
      </c>
      <c r="L78" s="78"/>
      <c r="M78" s="74">
        <f t="shared" si="3"/>
        <v>0</v>
      </c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</row>
    <row r="79" spans="1:91" s="75" customFormat="1" ht="15.75" x14ac:dyDescent="0.25">
      <c r="A79" s="70"/>
      <c r="B79" s="348">
        <f>B78+1</f>
        <v>7</v>
      </c>
      <c r="C79" s="356" t="s">
        <v>99</v>
      </c>
      <c r="D79" s="357" t="s">
        <v>19</v>
      </c>
      <c r="E79" s="358">
        <f>E68</f>
        <v>716</v>
      </c>
      <c r="F79" s="358"/>
      <c r="G79" s="358">
        <f>F79*E79</f>
        <v>0</v>
      </c>
      <c r="H79" s="145" t="s">
        <v>100</v>
      </c>
      <c r="I79" s="90" t="s">
        <v>21</v>
      </c>
      <c r="J79" s="91">
        <v>1.1499999999999999</v>
      </c>
      <c r="K79" s="91">
        <f>E79*J79</f>
        <v>823.4</v>
      </c>
      <c r="L79" s="146"/>
      <c r="M79" s="147">
        <f t="shared" si="3"/>
        <v>0</v>
      </c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</row>
    <row r="80" spans="1:91" s="75" customFormat="1" ht="15.75" x14ac:dyDescent="0.25">
      <c r="A80" s="70"/>
      <c r="B80" s="348"/>
      <c r="C80" s="356"/>
      <c r="D80" s="357"/>
      <c r="E80" s="358"/>
      <c r="F80" s="358"/>
      <c r="G80" s="358"/>
      <c r="H80" s="145" t="s">
        <v>101</v>
      </c>
      <c r="I80" s="90" t="s">
        <v>21</v>
      </c>
      <c r="J80" s="91">
        <f>J79</f>
        <v>1.1499999999999999</v>
      </c>
      <c r="K80" s="91">
        <f>E79*J80</f>
        <v>823.4</v>
      </c>
      <c r="L80" s="146"/>
      <c r="M80" s="147">
        <f t="shared" si="3"/>
        <v>0</v>
      </c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</row>
    <row r="81" spans="1:91" s="75" customFormat="1" ht="31.5" x14ac:dyDescent="0.25">
      <c r="A81" s="70"/>
      <c r="B81" s="348"/>
      <c r="C81" s="356"/>
      <c r="D81" s="357"/>
      <c r="E81" s="358"/>
      <c r="F81" s="358"/>
      <c r="G81" s="358"/>
      <c r="H81" s="148" t="s">
        <v>102</v>
      </c>
      <c r="I81" s="227" t="s">
        <v>47</v>
      </c>
      <c r="J81" s="149">
        <v>5</v>
      </c>
      <c r="K81" s="228">
        <f>E79*J81</f>
        <v>3580</v>
      </c>
      <c r="L81" s="146"/>
      <c r="M81" s="147">
        <f t="shared" si="3"/>
        <v>0</v>
      </c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</row>
    <row r="82" spans="1:91" s="75" customFormat="1" ht="15.75" x14ac:dyDescent="0.25">
      <c r="A82" s="70"/>
      <c r="B82" s="348"/>
      <c r="C82" s="356"/>
      <c r="D82" s="357"/>
      <c r="E82" s="358"/>
      <c r="F82" s="358"/>
      <c r="G82" s="358"/>
      <c r="H82" s="150" t="s">
        <v>103</v>
      </c>
      <c r="I82" s="90" t="s">
        <v>47</v>
      </c>
      <c r="J82" s="151">
        <v>5</v>
      </c>
      <c r="K82" s="91">
        <f>E79*J82</f>
        <v>3580</v>
      </c>
      <c r="L82" s="146"/>
      <c r="M82" s="147">
        <f t="shared" si="3"/>
        <v>0</v>
      </c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</row>
    <row r="83" spans="1:91" s="75" customFormat="1" ht="15.75" x14ac:dyDescent="0.25">
      <c r="A83" s="70"/>
      <c r="B83" s="348"/>
      <c r="C83" s="356"/>
      <c r="D83" s="357"/>
      <c r="E83" s="358"/>
      <c r="F83" s="358"/>
      <c r="G83" s="358"/>
      <c r="H83" s="143" t="s">
        <v>52</v>
      </c>
      <c r="I83" s="90" t="s">
        <v>37</v>
      </c>
      <c r="J83" s="91">
        <f>K83/E79</f>
        <v>1.3333333333333333</v>
      </c>
      <c r="K83" s="91">
        <f>E79*2/3*2</f>
        <v>954.66666666666663</v>
      </c>
      <c r="L83" s="233"/>
      <c r="M83" s="147">
        <f t="shared" si="3"/>
        <v>0</v>
      </c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</row>
    <row r="84" spans="1:91" s="75" customFormat="1" ht="15.75" x14ac:dyDescent="0.25">
      <c r="A84" s="70"/>
      <c r="B84" s="302">
        <f>B79+1</f>
        <v>8</v>
      </c>
      <c r="C84" s="343" t="s">
        <v>104</v>
      </c>
      <c r="D84" s="345" t="s">
        <v>23</v>
      </c>
      <c r="E84" s="347">
        <f>E77</f>
        <v>241</v>
      </c>
      <c r="F84" s="347"/>
      <c r="G84" s="347">
        <f>F84*E84</f>
        <v>0</v>
      </c>
      <c r="H84" s="152" t="s">
        <v>100</v>
      </c>
      <c r="I84" s="90" t="s">
        <v>21</v>
      </c>
      <c r="J84" s="91">
        <f>K84/E84</f>
        <v>0.46</v>
      </c>
      <c r="K84" s="91">
        <f>E84*0.4*1.15</f>
        <v>110.86</v>
      </c>
      <c r="L84" s="146"/>
      <c r="M84" s="74">
        <f t="shared" si="3"/>
        <v>0</v>
      </c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</row>
    <row r="85" spans="1:91" s="75" customFormat="1" ht="15.75" x14ac:dyDescent="0.25">
      <c r="A85" s="70"/>
      <c r="B85" s="302"/>
      <c r="C85" s="343"/>
      <c r="D85" s="345"/>
      <c r="E85" s="347"/>
      <c r="F85" s="347"/>
      <c r="G85" s="347"/>
      <c r="H85" s="152" t="s">
        <v>105</v>
      </c>
      <c r="I85" s="90" t="s">
        <v>21</v>
      </c>
      <c r="J85" s="91">
        <f>K85/E84</f>
        <v>0.46</v>
      </c>
      <c r="K85" s="91">
        <f>E84*0.4*1.15</f>
        <v>110.86</v>
      </c>
      <c r="L85" s="146"/>
      <c r="M85" s="74">
        <f t="shared" si="3"/>
        <v>0</v>
      </c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</row>
    <row r="86" spans="1:91" s="75" customFormat="1" ht="15.75" x14ac:dyDescent="0.25">
      <c r="A86" s="70"/>
      <c r="B86" s="302"/>
      <c r="C86" s="343"/>
      <c r="D86" s="345"/>
      <c r="E86" s="347"/>
      <c r="F86" s="347"/>
      <c r="G86" s="347"/>
      <c r="H86" s="143" t="s">
        <v>52</v>
      </c>
      <c r="I86" s="90" t="s">
        <v>37</v>
      </c>
      <c r="J86" s="91">
        <v>1</v>
      </c>
      <c r="K86" s="91">
        <f>E84*J86</f>
        <v>241</v>
      </c>
      <c r="L86" s="136"/>
      <c r="M86" s="74">
        <f t="shared" si="3"/>
        <v>0</v>
      </c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</row>
    <row r="87" spans="1:91" s="75" customFormat="1" ht="15.75" x14ac:dyDescent="0.25">
      <c r="A87" s="70"/>
      <c r="B87" s="278">
        <f>B84+1</f>
        <v>9</v>
      </c>
      <c r="C87" s="350" t="s">
        <v>106</v>
      </c>
      <c r="D87" s="352" t="s">
        <v>47</v>
      </c>
      <c r="E87" s="354">
        <v>7</v>
      </c>
      <c r="F87" s="354"/>
      <c r="G87" s="354">
        <f>F87*E87</f>
        <v>0</v>
      </c>
      <c r="H87" s="128" t="s">
        <v>107</v>
      </c>
      <c r="I87" s="227" t="s">
        <v>28</v>
      </c>
      <c r="J87" s="228">
        <v>1</v>
      </c>
      <c r="K87" s="228">
        <f>ROUNDUP(E87*J87,0)</f>
        <v>7</v>
      </c>
      <c r="L87" s="228"/>
      <c r="M87" s="74">
        <f t="shared" si="3"/>
        <v>0</v>
      </c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</row>
    <row r="88" spans="1:91" s="75" customFormat="1" ht="15.75" x14ac:dyDescent="0.25">
      <c r="A88" s="70"/>
      <c r="B88" s="289"/>
      <c r="C88" s="351"/>
      <c r="D88" s="353"/>
      <c r="E88" s="355"/>
      <c r="F88" s="355"/>
      <c r="G88" s="355"/>
      <c r="H88" s="152" t="s">
        <v>105</v>
      </c>
      <c r="I88" s="90" t="s">
        <v>21</v>
      </c>
      <c r="J88" s="91">
        <f>K88/E87</f>
        <v>0.5</v>
      </c>
      <c r="K88" s="91">
        <f>E87*0.5</f>
        <v>3.5</v>
      </c>
      <c r="L88" s="136"/>
      <c r="M88" s="74">
        <f t="shared" si="3"/>
        <v>0</v>
      </c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</row>
    <row r="89" spans="1:91" s="75" customFormat="1" ht="31.5" x14ac:dyDescent="0.25">
      <c r="A89" s="70"/>
      <c r="B89" s="302">
        <f>B87+1</f>
        <v>10</v>
      </c>
      <c r="C89" s="303" t="s">
        <v>108</v>
      </c>
      <c r="D89" s="304" t="s">
        <v>47</v>
      </c>
      <c r="E89" s="305">
        <v>3</v>
      </c>
      <c r="F89" s="340"/>
      <c r="G89" s="347">
        <f>E89*F89</f>
        <v>0</v>
      </c>
      <c r="H89" s="128" t="s">
        <v>109</v>
      </c>
      <c r="I89" s="227" t="s">
        <v>47</v>
      </c>
      <c r="J89" s="228"/>
      <c r="K89" s="228">
        <f>E89</f>
        <v>3</v>
      </c>
      <c r="L89" s="136"/>
      <c r="M89" s="74">
        <f t="shared" si="3"/>
        <v>0</v>
      </c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</row>
    <row r="90" spans="1:91" s="75" customFormat="1" ht="15.75" x14ac:dyDescent="0.25">
      <c r="A90" s="70"/>
      <c r="B90" s="302"/>
      <c r="C90" s="303"/>
      <c r="D90" s="304"/>
      <c r="E90" s="305"/>
      <c r="F90" s="340"/>
      <c r="G90" s="347"/>
      <c r="H90" s="143" t="s">
        <v>110</v>
      </c>
      <c r="I90" s="90" t="s">
        <v>47</v>
      </c>
      <c r="J90" s="228"/>
      <c r="K90" s="228">
        <v>3</v>
      </c>
      <c r="L90" s="136"/>
      <c r="M90" s="74">
        <f t="shared" si="3"/>
        <v>0</v>
      </c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</row>
    <row r="91" spans="1:91" s="75" customFormat="1" ht="15.75" x14ac:dyDescent="0.25">
      <c r="A91" s="70"/>
      <c r="B91" s="302"/>
      <c r="C91" s="303"/>
      <c r="D91" s="304"/>
      <c r="E91" s="305"/>
      <c r="F91" s="340"/>
      <c r="G91" s="347"/>
      <c r="H91" s="226" t="s">
        <v>63</v>
      </c>
      <c r="I91" s="153" t="s">
        <v>28</v>
      </c>
      <c r="J91" s="154">
        <v>0.5</v>
      </c>
      <c r="K91" s="228">
        <f>E89*J91</f>
        <v>1.5</v>
      </c>
      <c r="L91" s="136"/>
      <c r="M91" s="74">
        <f t="shared" si="3"/>
        <v>0</v>
      </c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</row>
    <row r="92" spans="1:91" s="75" customFormat="1" ht="15.75" x14ac:dyDescent="0.25">
      <c r="A92" s="70"/>
      <c r="B92" s="302">
        <f>B89+1</f>
        <v>11</v>
      </c>
      <c r="C92" s="303" t="s">
        <v>56</v>
      </c>
      <c r="D92" s="304" t="s">
        <v>23</v>
      </c>
      <c r="E92" s="305">
        <f>E84</f>
        <v>241</v>
      </c>
      <c r="F92" s="340"/>
      <c r="G92" s="340">
        <f>E92*F92</f>
        <v>0</v>
      </c>
      <c r="H92" s="71" t="s">
        <v>57</v>
      </c>
      <c r="I92" s="37" t="s">
        <v>21</v>
      </c>
      <c r="J92" s="72">
        <v>0.1</v>
      </c>
      <c r="K92" s="73">
        <f>E92*J92</f>
        <v>24.1</v>
      </c>
      <c r="L92" s="136"/>
      <c r="M92" s="74">
        <f t="shared" si="3"/>
        <v>0</v>
      </c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</row>
    <row r="93" spans="1:91" s="75" customFormat="1" ht="15.75" x14ac:dyDescent="0.25">
      <c r="A93" s="70"/>
      <c r="B93" s="302"/>
      <c r="C93" s="303"/>
      <c r="D93" s="304"/>
      <c r="E93" s="305"/>
      <c r="F93" s="340"/>
      <c r="G93" s="340"/>
      <c r="H93" s="76" t="s">
        <v>59</v>
      </c>
      <c r="I93" s="77" t="s">
        <v>28</v>
      </c>
      <c r="J93" s="78">
        <v>5</v>
      </c>
      <c r="K93" s="73">
        <f>ROUNDUP(E92*J93,0)</f>
        <v>1205</v>
      </c>
      <c r="L93" s="136"/>
      <c r="M93" s="74">
        <f t="shared" si="3"/>
        <v>0</v>
      </c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</row>
    <row r="94" spans="1:91" s="75" customFormat="1" ht="15.75" x14ac:dyDescent="0.25">
      <c r="A94" s="70"/>
      <c r="B94" s="302"/>
      <c r="C94" s="303"/>
      <c r="D94" s="304"/>
      <c r="E94" s="305"/>
      <c r="F94" s="340"/>
      <c r="G94" s="340"/>
      <c r="H94" s="226" t="s">
        <v>60</v>
      </c>
      <c r="I94" s="227" t="s">
        <v>47</v>
      </c>
      <c r="J94" s="79">
        <v>0.1</v>
      </c>
      <c r="K94" s="80">
        <f>E92*J94</f>
        <v>24.1</v>
      </c>
      <c r="L94" s="81"/>
      <c r="M94" s="74">
        <f t="shared" si="3"/>
        <v>0</v>
      </c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</row>
    <row r="95" spans="1:91" s="75" customFormat="1" ht="15.75" x14ac:dyDescent="0.25">
      <c r="A95" s="70"/>
      <c r="B95" s="348">
        <f>B92+1</f>
        <v>12</v>
      </c>
      <c r="C95" s="303" t="s">
        <v>111</v>
      </c>
      <c r="D95" s="304" t="s">
        <v>23</v>
      </c>
      <c r="E95" s="305">
        <f>98.1+51.8+20</f>
        <v>169.89999999999998</v>
      </c>
      <c r="F95" s="340"/>
      <c r="G95" s="340">
        <f>E95*F95</f>
        <v>0</v>
      </c>
      <c r="H95" s="226" t="s">
        <v>112</v>
      </c>
      <c r="I95" s="153" t="s">
        <v>21</v>
      </c>
      <c r="J95" s="155">
        <f>K95/E95</f>
        <v>0.5625</v>
      </c>
      <c r="K95" s="154">
        <f>E95*0.45*1.25</f>
        <v>95.568749999999994</v>
      </c>
      <c r="L95" s="91"/>
      <c r="M95" s="74">
        <f t="shared" si="3"/>
        <v>0</v>
      </c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</row>
    <row r="96" spans="1:91" s="75" customFormat="1" ht="15.75" x14ac:dyDescent="0.25">
      <c r="A96" s="70"/>
      <c r="B96" s="348"/>
      <c r="C96" s="303"/>
      <c r="D96" s="304"/>
      <c r="E96" s="305"/>
      <c r="F96" s="340"/>
      <c r="G96" s="340"/>
      <c r="H96" s="226" t="s">
        <v>113</v>
      </c>
      <c r="I96" s="153" t="s">
        <v>28</v>
      </c>
      <c r="J96" s="155">
        <v>6</v>
      </c>
      <c r="K96" s="156">
        <f>E95*J96</f>
        <v>1019.3999999999999</v>
      </c>
      <c r="L96" s="91"/>
      <c r="M96" s="74">
        <f t="shared" si="3"/>
        <v>0</v>
      </c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</row>
    <row r="97" spans="1:91" s="75" customFormat="1" ht="31.5" x14ac:dyDescent="0.25">
      <c r="A97" s="70"/>
      <c r="B97" s="348"/>
      <c r="C97" s="303"/>
      <c r="D97" s="304"/>
      <c r="E97" s="305"/>
      <c r="F97" s="340"/>
      <c r="G97" s="340"/>
      <c r="H97" s="226" t="s">
        <v>114</v>
      </c>
      <c r="I97" s="153" t="s">
        <v>115</v>
      </c>
      <c r="J97" s="155">
        <f>K97/E95</f>
        <v>1.1000000000000001</v>
      </c>
      <c r="K97" s="154">
        <f>E95*1.1</f>
        <v>186.89</v>
      </c>
      <c r="L97" s="154"/>
      <c r="M97" s="74">
        <f t="shared" si="3"/>
        <v>0</v>
      </c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</row>
    <row r="98" spans="1:91" ht="15.75" x14ac:dyDescent="0.25">
      <c r="B98" s="349"/>
      <c r="C98" s="290"/>
      <c r="D98" s="292"/>
      <c r="E98" s="294"/>
      <c r="F98" s="296"/>
      <c r="G98" s="296"/>
      <c r="H98" s="39" t="s">
        <v>27</v>
      </c>
      <c r="I98" s="77" t="s">
        <v>28</v>
      </c>
      <c r="J98" s="132">
        <f>K98/E95</f>
        <v>2.3543260741612716E-2</v>
      </c>
      <c r="K98" s="73">
        <f>ROUNDUP(E95*0.02,0)</f>
        <v>4</v>
      </c>
      <c r="L98" s="237"/>
      <c r="M98" s="74">
        <f t="shared" si="3"/>
        <v>0</v>
      </c>
    </row>
    <row r="99" spans="1:91" s="75" customFormat="1" ht="15.75" x14ac:dyDescent="0.25">
      <c r="A99" s="70"/>
      <c r="B99" s="349"/>
      <c r="C99" s="290"/>
      <c r="D99" s="292"/>
      <c r="E99" s="294"/>
      <c r="F99" s="296"/>
      <c r="G99" s="296"/>
      <c r="H99" s="143" t="s">
        <v>116</v>
      </c>
      <c r="I99" s="90" t="s">
        <v>47</v>
      </c>
      <c r="J99" s="151">
        <v>5</v>
      </c>
      <c r="K99" s="91">
        <f>E95*J99</f>
        <v>849.49999999999989</v>
      </c>
      <c r="L99" s="146"/>
      <c r="M99" s="147">
        <f t="shared" si="3"/>
        <v>0</v>
      </c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</row>
    <row r="100" spans="1:91" s="75" customFormat="1" ht="15.75" x14ac:dyDescent="0.25">
      <c r="A100" s="70"/>
      <c r="B100" s="348"/>
      <c r="C100" s="303"/>
      <c r="D100" s="304"/>
      <c r="E100" s="305"/>
      <c r="F100" s="340"/>
      <c r="G100" s="340"/>
      <c r="H100" s="226" t="s">
        <v>117</v>
      </c>
      <c r="I100" s="153" t="s">
        <v>28</v>
      </c>
      <c r="J100" s="157">
        <f>K100/E95</f>
        <v>5.0029429075927023</v>
      </c>
      <c r="K100" s="154">
        <f>ROUND(E95*5,0)</f>
        <v>850</v>
      </c>
      <c r="L100" s="91"/>
      <c r="M100" s="74">
        <f t="shared" si="3"/>
        <v>0</v>
      </c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</row>
    <row r="101" spans="1:91" s="75" customFormat="1" ht="16.5" thickBot="1" x14ac:dyDescent="0.3">
      <c r="A101" s="70"/>
      <c r="B101" s="286" t="s">
        <v>118</v>
      </c>
      <c r="C101" s="287"/>
      <c r="D101" s="287"/>
      <c r="E101" s="223" t="s">
        <v>86</v>
      </c>
      <c r="F101" s="114"/>
      <c r="G101" s="115"/>
      <c r="H101" s="288" t="s">
        <v>119</v>
      </c>
      <c r="I101" s="288"/>
      <c r="J101" s="288"/>
      <c r="K101" s="116" t="s">
        <v>86</v>
      </c>
      <c r="L101" s="117">
        <f>SUBTOTAL(9,M63:M100)</f>
        <v>0</v>
      </c>
      <c r="M101" s="118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</row>
    <row r="102" spans="1:91" s="75" customFormat="1" ht="16.5" thickBot="1" x14ac:dyDescent="0.3">
      <c r="A102" s="70"/>
      <c r="B102" s="158"/>
      <c r="C102" s="120" t="s">
        <v>120</v>
      </c>
      <c r="D102" s="159"/>
      <c r="E102" s="160"/>
      <c r="F102" s="161"/>
      <c r="G102" s="161"/>
      <c r="H102" s="162"/>
      <c r="I102" s="163"/>
      <c r="J102" s="164"/>
      <c r="K102" s="165"/>
      <c r="L102" s="166"/>
      <c r="M102" s="167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</row>
    <row r="103" spans="1:91" s="18" customFormat="1" ht="15.75" x14ac:dyDescent="0.25">
      <c r="B103" s="341">
        <v>1</v>
      </c>
      <c r="C103" s="342" t="s">
        <v>89</v>
      </c>
      <c r="D103" s="344" t="s">
        <v>19</v>
      </c>
      <c r="E103" s="346">
        <f>E107+E120*0.25</f>
        <v>132.15</v>
      </c>
      <c r="F103" s="346"/>
      <c r="G103" s="346">
        <f>F103*E103</f>
        <v>0</v>
      </c>
      <c r="H103" s="123" t="s">
        <v>20</v>
      </c>
      <c r="I103" s="124" t="s">
        <v>21</v>
      </c>
      <c r="J103" s="125">
        <v>1.1499999999999999</v>
      </c>
      <c r="K103" s="126">
        <f>E103*J103</f>
        <v>151.9725</v>
      </c>
      <c r="L103" s="33"/>
      <c r="M103" s="127">
        <f t="shared" ref="M103:M133" si="4">K103*L103</f>
        <v>0</v>
      </c>
    </row>
    <row r="104" spans="1:91" s="130" customFormat="1" ht="18.75" customHeight="1" x14ac:dyDescent="0.25">
      <c r="B104" s="302"/>
      <c r="C104" s="343"/>
      <c r="D104" s="345"/>
      <c r="E104" s="347"/>
      <c r="F104" s="347"/>
      <c r="G104" s="347"/>
      <c r="H104" s="128" t="s">
        <v>22</v>
      </c>
      <c r="I104" s="227" t="s">
        <v>23</v>
      </c>
      <c r="J104" s="129">
        <v>1</v>
      </c>
      <c r="K104" s="32">
        <f>E103*J104</f>
        <v>132.15</v>
      </c>
      <c r="L104" s="35"/>
      <c r="M104" s="74">
        <f t="shared" si="4"/>
        <v>0</v>
      </c>
    </row>
    <row r="105" spans="1:91" s="11" customFormat="1" ht="21" customHeight="1" x14ac:dyDescent="0.25">
      <c r="B105" s="302">
        <v>2</v>
      </c>
      <c r="C105" s="303" t="s">
        <v>90</v>
      </c>
      <c r="D105" s="304" t="s">
        <v>19</v>
      </c>
      <c r="E105" s="305">
        <f>E107</f>
        <v>111.6</v>
      </c>
      <c r="F105" s="340"/>
      <c r="G105" s="340">
        <f>E105*F105</f>
        <v>0</v>
      </c>
      <c r="H105" s="36" t="s">
        <v>25</v>
      </c>
      <c r="I105" s="37" t="s">
        <v>26</v>
      </c>
      <c r="J105" s="131">
        <f>K105/E105</f>
        <v>0.20600000000000002</v>
      </c>
      <c r="K105" s="73">
        <f>E105*0.2*1.03</f>
        <v>22.989599999999999</v>
      </c>
      <c r="L105" s="237"/>
      <c r="M105" s="74">
        <f t="shared" si="4"/>
        <v>0</v>
      </c>
    </row>
    <row r="106" spans="1:91" ht="15.75" x14ac:dyDescent="0.25">
      <c r="B106" s="302"/>
      <c r="C106" s="303"/>
      <c r="D106" s="304"/>
      <c r="E106" s="305"/>
      <c r="F106" s="340"/>
      <c r="G106" s="340"/>
      <c r="H106" s="39" t="s">
        <v>27</v>
      </c>
      <c r="I106" s="77" t="s">
        <v>28</v>
      </c>
      <c r="J106" s="132">
        <f>K106/E105</f>
        <v>2.6881720430107527E-2</v>
      </c>
      <c r="K106" s="73">
        <f>ROUNDUP(E105*0.02,0)</f>
        <v>3</v>
      </c>
      <c r="L106" s="237"/>
      <c r="M106" s="74">
        <f t="shared" si="4"/>
        <v>0</v>
      </c>
    </row>
    <row r="107" spans="1:91" s="134" customFormat="1" ht="15.75" customHeight="1" x14ac:dyDescent="0.25">
      <c r="B107" s="325">
        <v>3</v>
      </c>
      <c r="C107" s="328" t="s">
        <v>93</v>
      </c>
      <c r="D107" s="331" t="s">
        <v>19</v>
      </c>
      <c r="E107" s="334">
        <v>111.6</v>
      </c>
      <c r="F107" s="334"/>
      <c r="G107" s="337">
        <f>E107*F107</f>
        <v>0</v>
      </c>
      <c r="H107" s="42" t="s">
        <v>30</v>
      </c>
      <c r="I107" s="135" t="s">
        <v>31</v>
      </c>
      <c r="J107" s="131">
        <f>K107/E107</f>
        <v>2.24E-2</v>
      </c>
      <c r="K107" s="73">
        <f>((E107*0.08))*0.28</f>
        <v>2.4998399999999998</v>
      </c>
      <c r="L107" s="136"/>
      <c r="M107" s="74">
        <f t="shared" si="4"/>
        <v>0</v>
      </c>
    </row>
    <row r="108" spans="1:91" s="75" customFormat="1" ht="15.75" x14ac:dyDescent="0.25">
      <c r="A108" s="70"/>
      <c r="B108" s="326"/>
      <c r="C108" s="329"/>
      <c r="D108" s="332"/>
      <c r="E108" s="335"/>
      <c r="F108" s="335"/>
      <c r="G108" s="338"/>
      <c r="H108" s="137" t="s">
        <v>94</v>
      </c>
      <c r="I108" s="135" t="s">
        <v>26</v>
      </c>
      <c r="J108" s="136">
        <f>K108/E107</f>
        <v>9.6799999999999983E-2</v>
      </c>
      <c r="K108" s="73">
        <f>(((E107*0.08*1.21)))</f>
        <v>10.802879999999998</v>
      </c>
      <c r="L108" s="136"/>
      <c r="M108" s="74">
        <f t="shared" si="4"/>
        <v>0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</row>
    <row r="109" spans="1:91" s="75" customFormat="1" ht="15.75" x14ac:dyDescent="0.25">
      <c r="A109" s="70"/>
      <c r="B109" s="326"/>
      <c r="C109" s="329"/>
      <c r="D109" s="332"/>
      <c r="E109" s="335"/>
      <c r="F109" s="335"/>
      <c r="G109" s="338"/>
      <c r="H109" s="138" t="s">
        <v>95</v>
      </c>
      <c r="I109" s="139" t="s">
        <v>21</v>
      </c>
      <c r="J109" s="136">
        <v>1.25</v>
      </c>
      <c r="K109" s="73">
        <f>E107*J109</f>
        <v>139.5</v>
      </c>
      <c r="L109" s="136"/>
      <c r="M109" s="74">
        <f t="shared" si="4"/>
        <v>0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</row>
    <row r="110" spans="1:91" s="75" customFormat="1" ht="15.75" x14ac:dyDescent="0.25">
      <c r="A110" s="70"/>
      <c r="B110" s="326"/>
      <c r="C110" s="329"/>
      <c r="D110" s="332"/>
      <c r="E110" s="335"/>
      <c r="F110" s="335"/>
      <c r="G110" s="338"/>
      <c r="H110" s="42" t="s">
        <v>34</v>
      </c>
      <c r="I110" s="139" t="s">
        <v>35</v>
      </c>
      <c r="J110" s="131">
        <f>K110/E107</f>
        <v>0.33600000000000002</v>
      </c>
      <c r="K110" s="73">
        <f>K107*1.5/100*1000</f>
        <v>37.497599999999998</v>
      </c>
      <c r="L110" s="136"/>
      <c r="M110" s="74">
        <f t="shared" si="4"/>
        <v>0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</row>
    <row r="111" spans="1:91" s="75" customFormat="1" ht="15.75" x14ac:dyDescent="0.25">
      <c r="A111" s="70"/>
      <c r="B111" s="327"/>
      <c r="C111" s="330"/>
      <c r="D111" s="333"/>
      <c r="E111" s="336"/>
      <c r="F111" s="336"/>
      <c r="G111" s="339"/>
      <c r="H111" s="42" t="s">
        <v>36</v>
      </c>
      <c r="I111" s="43" t="s">
        <v>37</v>
      </c>
      <c r="J111" s="241">
        <v>0.25</v>
      </c>
      <c r="K111" s="48">
        <f>E107*J111</f>
        <v>27.9</v>
      </c>
      <c r="L111" s="241"/>
      <c r="M111" s="34">
        <f t="shared" si="4"/>
        <v>0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</row>
    <row r="112" spans="1:91" s="18" customFormat="1" ht="15.75" x14ac:dyDescent="0.25">
      <c r="B112" s="278" t="s">
        <v>38</v>
      </c>
      <c r="C112" s="313" t="s">
        <v>39</v>
      </c>
      <c r="D112" s="316" t="s">
        <v>19</v>
      </c>
      <c r="E112" s="319">
        <f>E107</f>
        <v>111.6</v>
      </c>
      <c r="F112" s="319"/>
      <c r="G112" s="322">
        <f>E112*F112</f>
        <v>0</v>
      </c>
      <c r="H112" s="42" t="s">
        <v>30</v>
      </c>
      <c r="I112" s="43" t="s">
        <v>31</v>
      </c>
      <c r="J112" s="44">
        <f>K112/E112</f>
        <v>1.4000000000000002E-2</v>
      </c>
      <c r="K112" s="45">
        <f>((E112*0.05))*0.28</f>
        <v>1.5624000000000002</v>
      </c>
      <c r="L112" s="237"/>
      <c r="M112" s="34">
        <f t="shared" si="4"/>
        <v>0</v>
      </c>
    </row>
    <row r="113" spans="2:13" s="46" customFormat="1" ht="15.75" x14ac:dyDescent="0.25">
      <c r="B113" s="307"/>
      <c r="C113" s="314"/>
      <c r="D113" s="317"/>
      <c r="E113" s="320"/>
      <c r="F113" s="320"/>
      <c r="G113" s="323"/>
      <c r="H113" s="42" t="s">
        <v>32</v>
      </c>
      <c r="I113" s="43" t="s">
        <v>26</v>
      </c>
      <c r="J113" s="237">
        <f>K113/E112</f>
        <v>6.0500000000000005E-2</v>
      </c>
      <c r="K113" s="45">
        <f>((E112*0.05))*1.21</f>
        <v>6.7518000000000002</v>
      </c>
      <c r="L113" s="237"/>
      <c r="M113" s="34">
        <f t="shared" si="4"/>
        <v>0</v>
      </c>
    </row>
    <row r="114" spans="2:13" s="18" customFormat="1" ht="15.75" x14ac:dyDescent="0.25">
      <c r="B114" s="307"/>
      <c r="C114" s="314"/>
      <c r="D114" s="317"/>
      <c r="E114" s="320"/>
      <c r="F114" s="320"/>
      <c r="G114" s="323"/>
      <c r="H114" s="42" t="s">
        <v>34</v>
      </c>
      <c r="I114" s="43" t="s">
        <v>35</v>
      </c>
      <c r="J114" s="44">
        <f>K114/E112</f>
        <v>0.21000000000000005</v>
      </c>
      <c r="K114" s="45">
        <f>K112*1.5/100*1000</f>
        <v>23.436000000000003</v>
      </c>
      <c r="L114" s="237"/>
      <c r="M114" s="34">
        <f t="shared" si="4"/>
        <v>0</v>
      </c>
    </row>
    <row r="115" spans="2:13" s="18" customFormat="1" ht="15.75" x14ac:dyDescent="0.25">
      <c r="B115" s="289"/>
      <c r="C115" s="315"/>
      <c r="D115" s="318"/>
      <c r="E115" s="321"/>
      <c r="F115" s="321"/>
      <c r="G115" s="324"/>
      <c r="H115" s="42" t="s">
        <v>36</v>
      </c>
      <c r="I115" s="43" t="s">
        <v>37</v>
      </c>
      <c r="J115" s="241">
        <v>0.2</v>
      </c>
      <c r="K115" s="48">
        <f>E112*J115</f>
        <v>22.32</v>
      </c>
      <c r="L115" s="241"/>
      <c r="M115" s="34">
        <f t="shared" si="4"/>
        <v>0</v>
      </c>
    </row>
    <row r="116" spans="2:13" s="18" customFormat="1" ht="15.75" x14ac:dyDescent="0.25">
      <c r="B116" s="219">
        <v>4</v>
      </c>
      <c r="C116" s="220" t="s">
        <v>121</v>
      </c>
      <c r="D116" s="221" t="s">
        <v>19</v>
      </c>
      <c r="E116" s="222">
        <f>E107</f>
        <v>111.6</v>
      </c>
      <c r="F116" s="222"/>
      <c r="G116" s="222">
        <f>F116*E116</f>
        <v>0</v>
      </c>
      <c r="H116" s="168" t="s">
        <v>122</v>
      </c>
      <c r="I116" s="169" t="s">
        <v>21</v>
      </c>
      <c r="J116" s="129">
        <v>1.1499999999999999</v>
      </c>
      <c r="K116" s="32">
        <f>E116*J116</f>
        <v>128.33999999999997</v>
      </c>
      <c r="L116" s="129"/>
      <c r="M116" s="92">
        <f t="shared" si="4"/>
        <v>0</v>
      </c>
    </row>
    <row r="117" spans="2:13" s="18" customFormat="1" ht="15.75" x14ac:dyDescent="0.25">
      <c r="B117" s="225">
        <v>5</v>
      </c>
      <c r="C117" s="50" t="s">
        <v>123</v>
      </c>
      <c r="D117" s="37" t="s">
        <v>19</v>
      </c>
      <c r="E117" s="229">
        <f>E107</f>
        <v>111.6</v>
      </c>
      <c r="F117" s="229"/>
      <c r="G117" s="229">
        <f>F117*E117</f>
        <v>0</v>
      </c>
      <c r="H117" s="170" t="s">
        <v>124</v>
      </c>
      <c r="I117" s="135" t="s">
        <v>21</v>
      </c>
      <c r="J117" s="248">
        <v>1.1499999999999999</v>
      </c>
      <c r="K117" s="32">
        <f>E117*J117</f>
        <v>128.33999999999997</v>
      </c>
      <c r="L117" s="237"/>
      <c r="M117" s="92">
        <f t="shared" si="4"/>
        <v>0</v>
      </c>
    </row>
    <row r="118" spans="2:13" s="18" customFormat="1" ht="15.75" x14ac:dyDescent="0.25">
      <c r="B118" s="307">
        <v>6</v>
      </c>
      <c r="C118" s="309" t="s">
        <v>125</v>
      </c>
      <c r="D118" s="310" t="s">
        <v>23</v>
      </c>
      <c r="E118" s="311">
        <f>E120</f>
        <v>82.2</v>
      </c>
      <c r="F118" s="312"/>
      <c r="G118" s="312">
        <f>E118*F118</f>
        <v>0</v>
      </c>
      <c r="H118" s="36" t="s">
        <v>126</v>
      </c>
      <c r="I118" s="37" t="s">
        <v>26</v>
      </c>
      <c r="J118" s="38">
        <f>K118/E118</f>
        <v>3.0900000000000004E-2</v>
      </c>
      <c r="K118" s="32">
        <f>(E118)*0.1*0.3*1.03</f>
        <v>2.5399800000000003</v>
      </c>
      <c r="L118" s="237"/>
      <c r="M118" s="171">
        <f t="shared" si="4"/>
        <v>0</v>
      </c>
    </row>
    <row r="119" spans="2:13" s="18" customFormat="1" ht="15.75" x14ac:dyDescent="0.25">
      <c r="B119" s="289"/>
      <c r="C119" s="291"/>
      <c r="D119" s="293"/>
      <c r="E119" s="295"/>
      <c r="F119" s="297"/>
      <c r="G119" s="297"/>
      <c r="H119" s="76" t="s">
        <v>127</v>
      </c>
      <c r="I119" s="77" t="s">
        <v>28</v>
      </c>
      <c r="J119" s="78">
        <f>K119/E118</f>
        <v>2.8588807785888077</v>
      </c>
      <c r="K119" s="32">
        <f>ROUNDUP(E118/0.35,0)</f>
        <v>235</v>
      </c>
      <c r="L119" s="237"/>
      <c r="M119" s="171">
        <f t="shared" si="4"/>
        <v>0</v>
      </c>
    </row>
    <row r="120" spans="2:13" s="18" customFormat="1" ht="15.75" x14ac:dyDescent="0.25">
      <c r="B120" s="278">
        <v>7</v>
      </c>
      <c r="C120" s="280" t="s">
        <v>128</v>
      </c>
      <c r="D120" s="282" t="s">
        <v>23</v>
      </c>
      <c r="E120" s="284">
        <v>82.2</v>
      </c>
      <c r="F120" s="284"/>
      <c r="G120" s="284">
        <f>F120*E120</f>
        <v>0</v>
      </c>
      <c r="H120" s="170" t="s">
        <v>124</v>
      </c>
      <c r="I120" s="172" t="s">
        <v>21</v>
      </c>
      <c r="J120" s="173">
        <f>K120/E120</f>
        <v>0.69</v>
      </c>
      <c r="K120" s="174">
        <f>E120*0.6*1.15</f>
        <v>56.717999999999996</v>
      </c>
      <c r="L120" s="237"/>
      <c r="M120" s="92">
        <f t="shared" si="4"/>
        <v>0</v>
      </c>
    </row>
    <row r="121" spans="2:13" s="18" customFormat="1" ht="15.75" x14ac:dyDescent="0.25">
      <c r="B121" s="307"/>
      <c r="C121" s="308"/>
      <c r="D121" s="300"/>
      <c r="E121" s="301"/>
      <c r="F121" s="301"/>
      <c r="G121" s="301"/>
      <c r="H121" s="168" t="s">
        <v>122</v>
      </c>
      <c r="I121" s="169" t="s">
        <v>21</v>
      </c>
      <c r="J121" s="175">
        <f>K121/E120</f>
        <v>0.91999999999999993</v>
      </c>
      <c r="K121" s="32">
        <f>E120*0.8*1.15</f>
        <v>75.623999999999995</v>
      </c>
      <c r="L121" s="129"/>
      <c r="M121" s="92">
        <f t="shared" si="4"/>
        <v>0</v>
      </c>
    </row>
    <row r="122" spans="2:13" s="18" customFormat="1" ht="15.75" x14ac:dyDescent="0.25">
      <c r="B122" s="307"/>
      <c r="C122" s="308"/>
      <c r="D122" s="300"/>
      <c r="E122" s="301"/>
      <c r="F122" s="301"/>
      <c r="G122" s="301"/>
      <c r="H122" s="128" t="s">
        <v>129</v>
      </c>
      <c r="I122" s="172" t="s">
        <v>23</v>
      </c>
      <c r="J122" s="174">
        <v>1.1499999999999999</v>
      </c>
      <c r="K122" s="174">
        <f>E120*J122</f>
        <v>94.53</v>
      </c>
      <c r="L122" s="81"/>
      <c r="M122" s="92">
        <f t="shared" si="4"/>
        <v>0</v>
      </c>
    </row>
    <row r="123" spans="2:13" s="18" customFormat="1" ht="15.75" x14ac:dyDescent="0.25">
      <c r="B123" s="307"/>
      <c r="C123" s="308"/>
      <c r="D123" s="300"/>
      <c r="E123" s="301"/>
      <c r="F123" s="301"/>
      <c r="G123" s="301"/>
      <c r="H123" s="128" t="s">
        <v>130</v>
      </c>
      <c r="I123" s="172" t="s">
        <v>23</v>
      </c>
      <c r="J123" s="174">
        <v>1.05</v>
      </c>
      <c r="K123" s="174">
        <f>E120*J123</f>
        <v>86.31</v>
      </c>
      <c r="L123" s="81"/>
      <c r="M123" s="92">
        <f t="shared" si="4"/>
        <v>0</v>
      </c>
    </row>
    <row r="124" spans="2:13" s="18" customFormat="1" ht="15.75" x14ac:dyDescent="0.25">
      <c r="B124" s="307"/>
      <c r="C124" s="308"/>
      <c r="D124" s="300"/>
      <c r="E124" s="301"/>
      <c r="F124" s="301"/>
      <c r="G124" s="301"/>
      <c r="H124" s="176" t="s">
        <v>131</v>
      </c>
      <c r="I124" s="177" t="s">
        <v>28</v>
      </c>
      <c r="J124" s="178">
        <v>10</v>
      </c>
      <c r="K124" s="174">
        <f>E120*J124</f>
        <v>822</v>
      </c>
      <c r="L124" s="81"/>
      <c r="M124" s="92">
        <f t="shared" si="4"/>
        <v>0</v>
      </c>
    </row>
    <row r="125" spans="2:13" s="18" customFormat="1" ht="15.75" x14ac:dyDescent="0.25">
      <c r="B125" s="307"/>
      <c r="C125" s="308"/>
      <c r="D125" s="300"/>
      <c r="E125" s="301"/>
      <c r="F125" s="301"/>
      <c r="G125" s="301"/>
      <c r="H125" s="226" t="s">
        <v>60</v>
      </c>
      <c r="I125" s="227" t="s">
        <v>47</v>
      </c>
      <c r="J125" s="79">
        <v>0.1</v>
      </c>
      <c r="K125" s="80">
        <f>E120*J125</f>
        <v>8.2200000000000006</v>
      </c>
      <c r="L125" s="179"/>
      <c r="M125" s="92">
        <f t="shared" si="4"/>
        <v>0</v>
      </c>
    </row>
    <row r="126" spans="2:13" s="18" customFormat="1" ht="31.5" x14ac:dyDescent="0.25">
      <c r="B126" s="302">
        <v>8</v>
      </c>
      <c r="C126" s="303" t="s">
        <v>132</v>
      </c>
      <c r="D126" s="304" t="s">
        <v>47</v>
      </c>
      <c r="E126" s="305">
        <v>2</v>
      </c>
      <c r="F126" s="305"/>
      <c r="G126" s="306">
        <f>E126*F126</f>
        <v>0</v>
      </c>
      <c r="H126" s="128" t="s">
        <v>133</v>
      </c>
      <c r="I126" s="227" t="s">
        <v>47</v>
      </c>
      <c r="J126" s="228">
        <v>1</v>
      </c>
      <c r="K126" s="228">
        <f>E126*J126</f>
        <v>2</v>
      </c>
      <c r="L126" s="237"/>
      <c r="M126" s="92">
        <f t="shared" si="4"/>
        <v>0</v>
      </c>
    </row>
    <row r="127" spans="2:13" s="18" customFormat="1" ht="15.75" x14ac:dyDescent="0.25">
      <c r="B127" s="302"/>
      <c r="C127" s="303"/>
      <c r="D127" s="304"/>
      <c r="E127" s="305"/>
      <c r="F127" s="305"/>
      <c r="G127" s="306"/>
      <c r="H127" s="128" t="s">
        <v>134</v>
      </c>
      <c r="I127" s="227" t="s">
        <v>47</v>
      </c>
      <c r="J127" s="228">
        <v>1</v>
      </c>
      <c r="K127" s="228">
        <f>E126*J127</f>
        <v>2</v>
      </c>
      <c r="L127" s="237"/>
      <c r="M127" s="92">
        <f t="shared" si="4"/>
        <v>0</v>
      </c>
    </row>
    <row r="128" spans="2:13" s="46" customFormat="1" ht="31.5" customHeight="1" x14ac:dyDescent="0.25">
      <c r="B128" s="302"/>
      <c r="C128" s="303"/>
      <c r="D128" s="304"/>
      <c r="E128" s="305"/>
      <c r="F128" s="305"/>
      <c r="G128" s="306"/>
      <c r="H128" s="148" t="s">
        <v>102</v>
      </c>
      <c r="I128" s="177" t="s">
        <v>28</v>
      </c>
      <c r="J128" s="180">
        <v>8</v>
      </c>
      <c r="K128" s="181">
        <f>E126*J128</f>
        <v>16</v>
      </c>
      <c r="L128" s="81"/>
      <c r="M128" s="171">
        <f t="shared" si="4"/>
        <v>0</v>
      </c>
    </row>
    <row r="129" spans="1:91" s="46" customFormat="1" ht="16.5" customHeight="1" x14ac:dyDescent="0.25">
      <c r="B129" s="302"/>
      <c r="C129" s="303"/>
      <c r="D129" s="304"/>
      <c r="E129" s="305"/>
      <c r="F129" s="305"/>
      <c r="G129" s="306"/>
      <c r="H129" s="150" t="s">
        <v>103</v>
      </c>
      <c r="I129" s="182" t="s">
        <v>28</v>
      </c>
      <c r="J129" s="183">
        <v>8</v>
      </c>
      <c r="K129" s="149">
        <f>E126*J129</f>
        <v>16</v>
      </c>
      <c r="L129" s="227"/>
      <c r="M129" s="184">
        <f t="shared" si="4"/>
        <v>0</v>
      </c>
    </row>
    <row r="130" spans="1:91" s="18" customFormat="1" ht="19.5" customHeight="1" x14ac:dyDescent="0.25">
      <c r="B130" s="302"/>
      <c r="C130" s="303"/>
      <c r="D130" s="304"/>
      <c r="E130" s="305"/>
      <c r="F130" s="305"/>
      <c r="G130" s="306"/>
      <c r="H130" s="226" t="s">
        <v>63</v>
      </c>
      <c r="I130" s="185" t="s">
        <v>28</v>
      </c>
      <c r="J130" s="186">
        <v>0.5</v>
      </c>
      <c r="K130" s="228">
        <f>E126*J130</f>
        <v>1</v>
      </c>
      <c r="L130" s="187"/>
      <c r="M130" s="92">
        <f t="shared" si="4"/>
        <v>0</v>
      </c>
    </row>
    <row r="131" spans="1:91" s="18" customFormat="1" ht="15.75" x14ac:dyDescent="0.25">
      <c r="B131" s="278">
        <f>B126+1</f>
        <v>9</v>
      </c>
      <c r="C131" s="298" t="s">
        <v>135</v>
      </c>
      <c r="D131" s="282" t="s">
        <v>19</v>
      </c>
      <c r="E131" s="284">
        <f>E117+(E120)*0.1</f>
        <v>119.82</v>
      </c>
      <c r="F131" s="284"/>
      <c r="G131" s="284">
        <f>F131*E131</f>
        <v>0</v>
      </c>
      <c r="H131" s="137" t="s">
        <v>136</v>
      </c>
      <c r="I131" s="135" t="s">
        <v>21</v>
      </c>
      <c r="J131" s="129">
        <v>1.2</v>
      </c>
      <c r="K131" s="32">
        <f>E131*J131</f>
        <v>143.78399999999999</v>
      </c>
      <c r="L131" s="129"/>
      <c r="M131" s="92">
        <f t="shared" si="4"/>
        <v>0</v>
      </c>
    </row>
    <row r="132" spans="1:91" s="18" customFormat="1" ht="15.75" x14ac:dyDescent="0.25">
      <c r="B132" s="289"/>
      <c r="C132" s="299"/>
      <c r="D132" s="300"/>
      <c r="E132" s="301"/>
      <c r="F132" s="301"/>
      <c r="G132" s="301"/>
      <c r="H132" s="168" t="s">
        <v>122</v>
      </c>
      <c r="I132" s="169" t="s">
        <v>21</v>
      </c>
      <c r="J132" s="129">
        <f>K132/E131</f>
        <v>1.1499999999999999</v>
      </c>
      <c r="K132" s="32">
        <f>(E131)*1.15</f>
        <v>137.79299999999998</v>
      </c>
      <c r="L132" s="129"/>
      <c r="M132" s="92">
        <f t="shared" si="4"/>
        <v>0</v>
      </c>
    </row>
    <row r="133" spans="1:91" s="18" customFormat="1" ht="19.5" customHeight="1" x14ac:dyDescent="0.25">
      <c r="B133" s="225">
        <f>B131+1</f>
        <v>10</v>
      </c>
      <c r="C133" s="50" t="s">
        <v>137</v>
      </c>
      <c r="D133" s="37" t="s">
        <v>19</v>
      </c>
      <c r="E133" s="229">
        <f>E117</f>
        <v>111.6</v>
      </c>
      <c r="F133" s="229"/>
      <c r="G133" s="229">
        <f>F133*E133</f>
        <v>0</v>
      </c>
      <c r="H133" s="128" t="s">
        <v>138</v>
      </c>
      <c r="I133" s="227" t="s">
        <v>26</v>
      </c>
      <c r="J133" s="228">
        <v>0.06</v>
      </c>
      <c r="K133" s="188">
        <f>ROUNDUP(E133*J133,0)</f>
        <v>7</v>
      </c>
      <c r="L133" s="189"/>
      <c r="M133" s="74">
        <f t="shared" si="4"/>
        <v>0</v>
      </c>
    </row>
    <row r="134" spans="1:91" s="75" customFormat="1" ht="16.5" thickBot="1" x14ac:dyDescent="0.3">
      <c r="A134" s="70"/>
      <c r="B134" s="286" t="s">
        <v>139</v>
      </c>
      <c r="C134" s="287"/>
      <c r="D134" s="287"/>
      <c r="E134" s="223" t="s">
        <v>86</v>
      </c>
      <c r="F134" s="114">
        <f>SUM(G103:G133)</f>
        <v>0</v>
      </c>
      <c r="G134" s="115"/>
      <c r="H134" s="288" t="s">
        <v>140</v>
      </c>
      <c r="I134" s="288"/>
      <c r="J134" s="288"/>
      <c r="K134" s="116" t="s">
        <v>86</v>
      </c>
      <c r="L134" s="117">
        <f>SUBTOTAL(9,M103:M133)</f>
        <v>0</v>
      </c>
      <c r="M134" s="118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</row>
    <row r="135" spans="1:91" s="75" customFormat="1" ht="16.5" thickBot="1" x14ac:dyDescent="0.3">
      <c r="A135" s="70"/>
      <c r="B135" s="158"/>
      <c r="C135" s="120" t="s">
        <v>141</v>
      </c>
      <c r="D135" s="159"/>
      <c r="E135" s="160"/>
      <c r="F135" s="161"/>
      <c r="G135" s="161"/>
      <c r="H135" s="162"/>
      <c r="I135" s="163"/>
      <c r="J135" s="164"/>
      <c r="K135" s="165"/>
      <c r="L135" s="166"/>
      <c r="M135" s="167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</row>
    <row r="136" spans="1:91" s="18" customFormat="1" ht="15.75" x14ac:dyDescent="0.25">
      <c r="B136" s="341">
        <v>1</v>
      </c>
      <c r="C136" s="342" t="s">
        <v>89</v>
      </c>
      <c r="D136" s="344" t="s">
        <v>19</v>
      </c>
      <c r="E136" s="346">
        <f>E140+E153*0.25</f>
        <v>66.100000000000009</v>
      </c>
      <c r="F136" s="346"/>
      <c r="G136" s="346">
        <f>F136*E136</f>
        <v>0</v>
      </c>
      <c r="H136" s="123" t="s">
        <v>20</v>
      </c>
      <c r="I136" s="124" t="s">
        <v>21</v>
      </c>
      <c r="J136" s="125">
        <v>1.1499999999999999</v>
      </c>
      <c r="K136" s="126">
        <f>E136*J136</f>
        <v>76.015000000000001</v>
      </c>
      <c r="L136" s="33"/>
      <c r="M136" s="127">
        <f t="shared" ref="M136:M166" si="5">K136*L136</f>
        <v>0</v>
      </c>
    </row>
    <row r="137" spans="1:91" s="130" customFormat="1" ht="18.75" customHeight="1" x14ac:dyDescent="0.25">
      <c r="B137" s="302"/>
      <c r="C137" s="343"/>
      <c r="D137" s="345"/>
      <c r="E137" s="347"/>
      <c r="F137" s="347"/>
      <c r="G137" s="347"/>
      <c r="H137" s="128" t="s">
        <v>22</v>
      </c>
      <c r="I137" s="227" t="s">
        <v>23</v>
      </c>
      <c r="J137" s="129">
        <v>1</v>
      </c>
      <c r="K137" s="32">
        <f>E136*J137</f>
        <v>66.100000000000009</v>
      </c>
      <c r="L137" s="35"/>
      <c r="M137" s="74">
        <f t="shared" si="5"/>
        <v>0</v>
      </c>
    </row>
    <row r="138" spans="1:91" s="11" customFormat="1" ht="21" customHeight="1" x14ac:dyDescent="0.25">
      <c r="B138" s="302">
        <v>2</v>
      </c>
      <c r="C138" s="303" t="s">
        <v>90</v>
      </c>
      <c r="D138" s="304" t="s">
        <v>19</v>
      </c>
      <c r="E138" s="305">
        <f>E140</f>
        <v>54.2</v>
      </c>
      <c r="F138" s="340"/>
      <c r="G138" s="340">
        <f>E138*F138</f>
        <v>0</v>
      </c>
      <c r="H138" s="36" t="s">
        <v>25</v>
      </c>
      <c r="I138" s="37" t="s">
        <v>26</v>
      </c>
      <c r="J138" s="131">
        <f>K138/E138</f>
        <v>0.20600000000000004</v>
      </c>
      <c r="K138" s="73">
        <f>E138*0.2*1.03</f>
        <v>11.165200000000002</v>
      </c>
      <c r="L138" s="237"/>
      <c r="M138" s="74">
        <f t="shared" si="5"/>
        <v>0</v>
      </c>
    </row>
    <row r="139" spans="1:91" ht="15.75" x14ac:dyDescent="0.25">
      <c r="B139" s="302"/>
      <c r="C139" s="303"/>
      <c r="D139" s="304"/>
      <c r="E139" s="305"/>
      <c r="F139" s="340"/>
      <c r="G139" s="340"/>
      <c r="H139" s="39" t="s">
        <v>27</v>
      </c>
      <c r="I139" s="77" t="s">
        <v>28</v>
      </c>
      <c r="J139" s="132">
        <f>K139/E138</f>
        <v>3.6900369003690037E-2</v>
      </c>
      <c r="K139" s="73">
        <f>ROUNDUP(E138*0.02,0)</f>
        <v>2</v>
      </c>
      <c r="L139" s="237"/>
      <c r="M139" s="74">
        <f t="shared" si="5"/>
        <v>0</v>
      </c>
    </row>
    <row r="140" spans="1:91" s="134" customFormat="1" ht="15.75" customHeight="1" x14ac:dyDescent="0.25">
      <c r="B140" s="325">
        <v>3</v>
      </c>
      <c r="C140" s="328" t="s">
        <v>93</v>
      </c>
      <c r="D140" s="331" t="s">
        <v>19</v>
      </c>
      <c r="E140" s="334">
        <v>54.2</v>
      </c>
      <c r="F140" s="334"/>
      <c r="G140" s="337">
        <f>E140*F140</f>
        <v>0</v>
      </c>
      <c r="H140" s="42" t="s">
        <v>30</v>
      </c>
      <c r="I140" s="135" t="s">
        <v>31</v>
      </c>
      <c r="J140" s="131">
        <f>K140/E140</f>
        <v>2.2400000000000003E-2</v>
      </c>
      <c r="K140" s="73">
        <f>((E140*0.08))*0.28</f>
        <v>1.2140800000000003</v>
      </c>
      <c r="L140" s="136"/>
      <c r="M140" s="74">
        <f t="shared" si="5"/>
        <v>0</v>
      </c>
    </row>
    <row r="141" spans="1:91" s="75" customFormat="1" ht="15.75" x14ac:dyDescent="0.25">
      <c r="A141" s="70"/>
      <c r="B141" s="326"/>
      <c r="C141" s="329"/>
      <c r="D141" s="332"/>
      <c r="E141" s="335"/>
      <c r="F141" s="335"/>
      <c r="G141" s="338"/>
      <c r="H141" s="137" t="s">
        <v>94</v>
      </c>
      <c r="I141" s="135" t="s">
        <v>26</v>
      </c>
      <c r="J141" s="136">
        <f>K141/E140</f>
        <v>9.6800000000000011E-2</v>
      </c>
      <c r="K141" s="73">
        <f>(((E140*0.08*1.21)))</f>
        <v>5.2465600000000006</v>
      </c>
      <c r="L141" s="136"/>
      <c r="M141" s="74">
        <f t="shared" si="5"/>
        <v>0</v>
      </c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</row>
    <row r="142" spans="1:91" s="75" customFormat="1" ht="15.75" x14ac:dyDescent="0.25">
      <c r="A142" s="70"/>
      <c r="B142" s="326"/>
      <c r="C142" s="329"/>
      <c r="D142" s="332"/>
      <c r="E142" s="335"/>
      <c r="F142" s="335"/>
      <c r="G142" s="338"/>
      <c r="H142" s="138" t="s">
        <v>95</v>
      </c>
      <c r="I142" s="139" t="s">
        <v>21</v>
      </c>
      <c r="J142" s="136">
        <v>1.25</v>
      </c>
      <c r="K142" s="73">
        <f>E140*J142</f>
        <v>67.75</v>
      </c>
      <c r="L142" s="136"/>
      <c r="M142" s="74">
        <f t="shared" si="5"/>
        <v>0</v>
      </c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</row>
    <row r="143" spans="1:91" s="75" customFormat="1" ht="15.75" x14ac:dyDescent="0.25">
      <c r="A143" s="70"/>
      <c r="B143" s="326"/>
      <c r="C143" s="329"/>
      <c r="D143" s="332"/>
      <c r="E143" s="335"/>
      <c r="F143" s="335"/>
      <c r="G143" s="338"/>
      <c r="H143" s="42" t="s">
        <v>34</v>
      </c>
      <c r="I143" s="139" t="s">
        <v>35</v>
      </c>
      <c r="J143" s="131">
        <f>K143/E140</f>
        <v>0.33600000000000008</v>
      </c>
      <c r="K143" s="73">
        <f>K140*1.5/100*1000</f>
        <v>18.211200000000005</v>
      </c>
      <c r="L143" s="136"/>
      <c r="M143" s="74">
        <f t="shared" si="5"/>
        <v>0</v>
      </c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</row>
    <row r="144" spans="1:91" s="75" customFormat="1" ht="15.75" x14ac:dyDescent="0.25">
      <c r="A144" s="70"/>
      <c r="B144" s="327"/>
      <c r="C144" s="330"/>
      <c r="D144" s="333"/>
      <c r="E144" s="336"/>
      <c r="F144" s="336"/>
      <c r="G144" s="339"/>
      <c r="H144" s="42" t="s">
        <v>36</v>
      </c>
      <c r="I144" s="43" t="s">
        <v>37</v>
      </c>
      <c r="J144" s="241">
        <v>0.25</v>
      </c>
      <c r="K144" s="48">
        <f>E140*J144</f>
        <v>13.55</v>
      </c>
      <c r="L144" s="241"/>
      <c r="M144" s="34">
        <f t="shared" si="5"/>
        <v>0</v>
      </c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</row>
    <row r="145" spans="2:13" s="18" customFormat="1" ht="15.75" x14ac:dyDescent="0.25">
      <c r="B145" s="278" t="s">
        <v>38</v>
      </c>
      <c r="C145" s="313" t="s">
        <v>39</v>
      </c>
      <c r="D145" s="316" t="s">
        <v>19</v>
      </c>
      <c r="E145" s="319">
        <f>E140</f>
        <v>54.2</v>
      </c>
      <c r="F145" s="319"/>
      <c r="G145" s="322">
        <f>E145*F145</f>
        <v>0</v>
      </c>
      <c r="H145" s="42" t="s">
        <v>30</v>
      </c>
      <c r="I145" s="43" t="s">
        <v>31</v>
      </c>
      <c r="J145" s="44">
        <f>K145/E145</f>
        <v>1.4000000000000002E-2</v>
      </c>
      <c r="K145" s="45">
        <f>((E145*0.05))*0.28</f>
        <v>0.75880000000000014</v>
      </c>
      <c r="L145" s="237"/>
      <c r="M145" s="34">
        <f t="shared" si="5"/>
        <v>0</v>
      </c>
    </row>
    <row r="146" spans="2:13" s="46" customFormat="1" ht="15.75" x14ac:dyDescent="0.25">
      <c r="B146" s="307"/>
      <c r="C146" s="314"/>
      <c r="D146" s="317"/>
      <c r="E146" s="320"/>
      <c r="F146" s="320"/>
      <c r="G146" s="323"/>
      <c r="H146" s="42" t="s">
        <v>32</v>
      </c>
      <c r="I146" s="43" t="s">
        <v>26</v>
      </c>
      <c r="J146" s="237">
        <f>K146/E145</f>
        <v>6.0500000000000005E-2</v>
      </c>
      <c r="K146" s="45">
        <f>((E145*0.05))*1.21</f>
        <v>3.2791000000000006</v>
      </c>
      <c r="L146" s="237"/>
      <c r="M146" s="34">
        <f t="shared" si="5"/>
        <v>0</v>
      </c>
    </row>
    <row r="147" spans="2:13" s="18" customFormat="1" ht="15.75" x14ac:dyDescent="0.25">
      <c r="B147" s="307"/>
      <c r="C147" s="314"/>
      <c r="D147" s="317"/>
      <c r="E147" s="320"/>
      <c r="F147" s="320"/>
      <c r="G147" s="323"/>
      <c r="H147" s="137" t="s">
        <v>142</v>
      </c>
      <c r="I147" s="43" t="s">
        <v>35</v>
      </c>
      <c r="J147" s="44">
        <f>K147/E145</f>
        <v>0.21000000000000005</v>
      </c>
      <c r="K147" s="45">
        <f>K145*1.5/100*1000</f>
        <v>11.382000000000003</v>
      </c>
      <c r="L147" s="237"/>
      <c r="M147" s="34">
        <f t="shared" si="5"/>
        <v>0</v>
      </c>
    </row>
    <row r="148" spans="2:13" s="18" customFormat="1" ht="15.75" x14ac:dyDescent="0.25">
      <c r="B148" s="289"/>
      <c r="C148" s="315"/>
      <c r="D148" s="318"/>
      <c r="E148" s="321"/>
      <c r="F148" s="321"/>
      <c r="G148" s="324"/>
      <c r="H148" s="42" t="s">
        <v>36</v>
      </c>
      <c r="I148" s="43" t="s">
        <v>37</v>
      </c>
      <c r="J148" s="241">
        <v>0.2</v>
      </c>
      <c r="K148" s="48">
        <f>E145*J148</f>
        <v>10.840000000000002</v>
      </c>
      <c r="L148" s="241"/>
      <c r="M148" s="34">
        <f t="shared" si="5"/>
        <v>0</v>
      </c>
    </row>
    <row r="149" spans="2:13" s="18" customFormat="1" ht="15.75" x14ac:dyDescent="0.25">
      <c r="B149" s="219">
        <v>4</v>
      </c>
      <c r="C149" s="220" t="s">
        <v>121</v>
      </c>
      <c r="D149" s="221" t="s">
        <v>19</v>
      </c>
      <c r="E149" s="222">
        <f>E140</f>
        <v>54.2</v>
      </c>
      <c r="F149" s="222"/>
      <c r="G149" s="222">
        <f>F149*E149</f>
        <v>0</v>
      </c>
      <c r="H149" s="168" t="s">
        <v>122</v>
      </c>
      <c r="I149" s="169" t="s">
        <v>21</v>
      </c>
      <c r="J149" s="129">
        <v>1.1499999999999999</v>
      </c>
      <c r="K149" s="32">
        <f>E149*J149</f>
        <v>62.33</v>
      </c>
      <c r="L149" s="129"/>
      <c r="M149" s="92">
        <f t="shared" si="5"/>
        <v>0</v>
      </c>
    </row>
    <row r="150" spans="2:13" s="18" customFormat="1" ht="15.75" x14ac:dyDescent="0.25">
      <c r="B150" s="225">
        <v>5</v>
      </c>
      <c r="C150" s="50" t="s">
        <v>123</v>
      </c>
      <c r="D150" s="37" t="s">
        <v>19</v>
      </c>
      <c r="E150" s="229">
        <f>E140</f>
        <v>54.2</v>
      </c>
      <c r="F150" s="229"/>
      <c r="G150" s="229">
        <f>F150*E150</f>
        <v>0</v>
      </c>
      <c r="H150" s="170" t="s">
        <v>124</v>
      </c>
      <c r="I150" s="135" t="s">
        <v>21</v>
      </c>
      <c r="J150" s="248">
        <v>1.1499999999999999</v>
      </c>
      <c r="K150" s="32">
        <f>E150*J150</f>
        <v>62.33</v>
      </c>
      <c r="L150" s="237"/>
      <c r="M150" s="92">
        <f t="shared" si="5"/>
        <v>0</v>
      </c>
    </row>
    <row r="151" spans="2:13" s="18" customFormat="1" ht="15.75" x14ac:dyDescent="0.25">
      <c r="B151" s="307">
        <v>6</v>
      </c>
      <c r="C151" s="309" t="s">
        <v>143</v>
      </c>
      <c r="D151" s="310" t="s">
        <v>23</v>
      </c>
      <c r="E151" s="311">
        <f>E153</f>
        <v>47.6</v>
      </c>
      <c r="F151" s="312"/>
      <c r="G151" s="312">
        <f>E151*F151</f>
        <v>0</v>
      </c>
      <c r="H151" s="36" t="s">
        <v>126</v>
      </c>
      <c r="I151" s="37" t="s">
        <v>26</v>
      </c>
      <c r="J151" s="38">
        <f>K151/E151</f>
        <v>3.0900000000000004E-2</v>
      </c>
      <c r="K151" s="32">
        <f>(E151)*0.1*0.3*1.03</f>
        <v>1.4708400000000001</v>
      </c>
      <c r="L151" s="237"/>
      <c r="M151" s="171">
        <f t="shared" si="5"/>
        <v>0</v>
      </c>
    </row>
    <row r="152" spans="2:13" s="18" customFormat="1" ht="15.75" x14ac:dyDescent="0.25">
      <c r="B152" s="289"/>
      <c r="C152" s="291"/>
      <c r="D152" s="293"/>
      <c r="E152" s="295"/>
      <c r="F152" s="297"/>
      <c r="G152" s="297"/>
      <c r="H152" s="76" t="s">
        <v>127</v>
      </c>
      <c r="I152" s="77" t="s">
        <v>28</v>
      </c>
      <c r="J152" s="78">
        <f>K152/E151</f>
        <v>2.8571428571428572</v>
      </c>
      <c r="K152" s="32">
        <f>ROUNDUP(E151/0.35,0)</f>
        <v>136</v>
      </c>
      <c r="L152" s="237"/>
      <c r="M152" s="171">
        <f t="shared" si="5"/>
        <v>0</v>
      </c>
    </row>
    <row r="153" spans="2:13" s="18" customFormat="1" ht="15.75" x14ac:dyDescent="0.25">
      <c r="B153" s="278">
        <v>7</v>
      </c>
      <c r="C153" s="280" t="s">
        <v>128</v>
      </c>
      <c r="D153" s="282" t="s">
        <v>23</v>
      </c>
      <c r="E153" s="284">
        <v>47.6</v>
      </c>
      <c r="F153" s="284"/>
      <c r="G153" s="284">
        <f>F153*E153</f>
        <v>0</v>
      </c>
      <c r="H153" s="170" t="s">
        <v>124</v>
      </c>
      <c r="I153" s="172" t="s">
        <v>21</v>
      </c>
      <c r="J153" s="173">
        <f>K153/E153</f>
        <v>0.68999999999999984</v>
      </c>
      <c r="K153" s="174">
        <f>E153*0.6*1.15</f>
        <v>32.843999999999994</v>
      </c>
      <c r="L153" s="237"/>
      <c r="M153" s="92">
        <f t="shared" si="5"/>
        <v>0</v>
      </c>
    </row>
    <row r="154" spans="2:13" s="18" customFormat="1" ht="15.75" x14ac:dyDescent="0.25">
      <c r="B154" s="307"/>
      <c r="C154" s="308"/>
      <c r="D154" s="300"/>
      <c r="E154" s="301"/>
      <c r="F154" s="301"/>
      <c r="G154" s="301"/>
      <c r="H154" s="168" t="s">
        <v>122</v>
      </c>
      <c r="I154" s="169" t="s">
        <v>21</v>
      </c>
      <c r="J154" s="175">
        <f>K154/E153</f>
        <v>0.92</v>
      </c>
      <c r="K154" s="32">
        <f>E153*0.8*1.15</f>
        <v>43.792000000000002</v>
      </c>
      <c r="L154" s="129"/>
      <c r="M154" s="92">
        <f t="shared" si="5"/>
        <v>0</v>
      </c>
    </row>
    <row r="155" spans="2:13" s="18" customFormat="1" ht="15.75" x14ac:dyDescent="0.25">
      <c r="B155" s="307"/>
      <c r="C155" s="308"/>
      <c r="D155" s="300"/>
      <c r="E155" s="301"/>
      <c r="F155" s="301"/>
      <c r="G155" s="301"/>
      <c r="H155" s="128" t="s">
        <v>129</v>
      </c>
      <c r="I155" s="172" t="s">
        <v>23</v>
      </c>
      <c r="J155" s="174">
        <v>1.1499999999999999</v>
      </c>
      <c r="K155" s="174">
        <f>E153*J155</f>
        <v>54.739999999999995</v>
      </c>
      <c r="L155" s="81"/>
      <c r="M155" s="92">
        <f t="shared" si="5"/>
        <v>0</v>
      </c>
    </row>
    <row r="156" spans="2:13" s="18" customFormat="1" ht="15.75" x14ac:dyDescent="0.25">
      <c r="B156" s="307"/>
      <c r="C156" s="308"/>
      <c r="D156" s="300"/>
      <c r="E156" s="301"/>
      <c r="F156" s="301"/>
      <c r="G156" s="301"/>
      <c r="H156" s="128" t="s">
        <v>130</v>
      </c>
      <c r="I156" s="172" t="s">
        <v>23</v>
      </c>
      <c r="J156" s="174">
        <v>1.05</v>
      </c>
      <c r="K156" s="174">
        <f>E153*J156</f>
        <v>49.980000000000004</v>
      </c>
      <c r="L156" s="81"/>
      <c r="M156" s="92">
        <f t="shared" si="5"/>
        <v>0</v>
      </c>
    </row>
    <row r="157" spans="2:13" s="18" customFormat="1" ht="15.75" x14ac:dyDescent="0.25">
      <c r="B157" s="307"/>
      <c r="C157" s="308"/>
      <c r="D157" s="300"/>
      <c r="E157" s="301"/>
      <c r="F157" s="301"/>
      <c r="G157" s="301"/>
      <c r="H157" s="176" t="s">
        <v>131</v>
      </c>
      <c r="I157" s="177" t="s">
        <v>28</v>
      </c>
      <c r="J157" s="178">
        <v>10</v>
      </c>
      <c r="K157" s="174">
        <f>E153*J157</f>
        <v>476</v>
      </c>
      <c r="L157" s="81"/>
      <c r="M157" s="92">
        <f t="shared" si="5"/>
        <v>0</v>
      </c>
    </row>
    <row r="158" spans="2:13" s="18" customFormat="1" ht="15.75" x14ac:dyDescent="0.25">
      <c r="B158" s="307"/>
      <c r="C158" s="308"/>
      <c r="D158" s="300"/>
      <c r="E158" s="301"/>
      <c r="F158" s="301"/>
      <c r="G158" s="301"/>
      <c r="H158" s="226" t="s">
        <v>60</v>
      </c>
      <c r="I158" s="227" t="s">
        <v>47</v>
      </c>
      <c r="J158" s="79">
        <v>0.1</v>
      </c>
      <c r="K158" s="80">
        <f>E153*J158</f>
        <v>4.7600000000000007</v>
      </c>
      <c r="L158" s="179"/>
      <c r="M158" s="92">
        <f t="shared" si="5"/>
        <v>0</v>
      </c>
    </row>
    <row r="159" spans="2:13" s="18" customFormat="1" ht="31.5" x14ac:dyDescent="0.25">
      <c r="B159" s="302">
        <v>8</v>
      </c>
      <c r="C159" s="303" t="s">
        <v>132</v>
      </c>
      <c r="D159" s="304" t="s">
        <v>47</v>
      </c>
      <c r="E159" s="305">
        <v>2</v>
      </c>
      <c r="F159" s="305"/>
      <c r="G159" s="306">
        <f>E159*F159</f>
        <v>0</v>
      </c>
      <c r="H159" s="128" t="s">
        <v>133</v>
      </c>
      <c r="I159" s="227" t="s">
        <v>47</v>
      </c>
      <c r="J159" s="228">
        <v>1</v>
      </c>
      <c r="K159" s="228">
        <f>E159*J159</f>
        <v>2</v>
      </c>
      <c r="L159" s="237"/>
      <c r="M159" s="92">
        <f t="shared" si="5"/>
        <v>0</v>
      </c>
    </row>
    <row r="160" spans="2:13" s="18" customFormat="1" ht="15.75" x14ac:dyDescent="0.25">
      <c r="B160" s="302"/>
      <c r="C160" s="303"/>
      <c r="D160" s="304"/>
      <c r="E160" s="305"/>
      <c r="F160" s="305"/>
      <c r="G160" s="306"/>
      <c r="H160" s="128" t="s">
        <v>134</v>
      </c>
      <c r="I160" s="227" t="s">
        <v>47</v>
      </c>
      <c r="J160" s="228">
        <v>1</v>
      </c>
      <c r="K160" s="228">
        <f>E159*J160</f>
        <v>2</v>
      </c>
      <c r="L160" s="237"/>
      <c r="M160" s="92">
        <f t="shared" si="5"/>
        <v>0</v>
      </c>
    </row>
    <row r="161" spans="1:91" s="46" customFormat="1" ht="31.5" customHeight="1" x14ac:dyDescent="0.25">
      <c r="B161" s="302"/>
      <c r="C161" s="303"/>
      <c r="D161" s="304"/>
      <c r="E161" s="305"/>
      <c r="F161" s="305"/>
      <c r="G161" s="306"/>
      <c r="H161" s="148" t="s">
        <v>102</v>
      </c>
      <c r="I161" s="177" t="s">
        <v>28</v>
      </c>
      <c r="J161" s="180">
        <v>8</v>
      </c>
      <c r="K161" s="181">
        <f>E159*J161</f>
        <v>16</v>
      </c>
      <c r="L161" s="81"/>
      <c r="M161" s="171">
        <f t="shared" si="5"/>
        <v>0</v>
      </c>
    </row>
    <row r="162" spans="1:91" s="46" customFormat="1" ht="16.5" customHeight="1" x14ac:dyDescent="0.25">
      <c r="B162" s="302"/>
      <c r="C162" s="303"/>
      <c r="D162" s="304"/>
      <c r="E162" s="305"/>
      <c r="F162" s="305"/>
      <c r="G162" s="306"/>
      <c r="H162" s="150" t="s">
        <v>103</v>
      </c>
      <c r="I162" s="182" t="s">
        <v>28</v>
      </c>
      <c r="J162" s="183">
        <v>8</v>
      </c>
      <c r="K162" s="149">
        <f>E159*J162</f>
        <v>16</v>
      </c>
      <c r="L162" s="227"/>
      <c r="M162" s="184">
        <f t="shared" si="5"/>
        <v>0</v>
      </c>
    </row>
    <row r="163" spans="1:91" s="18" customFormat="1" ht="19.5" customHeight="1" x14ac:dyDescent="0.25">
      <c r="B163" s="302"/>
      <c r="C163" s="303"/>
      <c r="D163" s="304"/>
      <c r="E163" s="305"/>
      <c r="F163" s="305"/>
      <c r="G163" s="306"/>
      <c r="H163" s="226" t="s">
        <v>63</v>
      </c>
      <c r="I163" s="185" t="s">
        <v>28</v>
      </c>
      <c r="J163" s="186">
        <v>0.5</v>
      </c>
      <c r="K163" s="228">
        <f>E159*J163</f>
        <v>1</v>
      </c>
      <c r="L163" s="187"/>
      <c r="M163" s="92">
        <f t="shared" si="5"/>
        <v>0</v>
      </c>
    </row>
    <row r="164" spans="1:91" s="18" customFormat="1" ht="15.75" x14ac:dyDescent="0.25">
      <c r="B164" s="278">
        <f>B159+1</f>
        <v>9</v>
      </c>
      <c r="C164" s="298" t="s">
        <v>135</v>
      </c>
      <c r="D164" s="282" t="s">
        <v>19</v>
      </c>
      <c r="E164" s="284">
        <f>E150+(E153)*0.1</f>
        <v>58.96</v>
      </c>
      <c r="F164" s="284"/>
      <c r="G164" s="284">
        <f>F164*E164</f>
        <v>0</v>
      </c>
      <c r="H164" s="137" t="s">
        <v>136</v>
      </c>
      <c r="I164" s="135" t="s">
        <v>21</v>
      </c>
      <c r="J164" s="129">
        <v>1.2</v>
      </c>
      <c r="K164" s="32">
        <f>E164*J164</f>
        <v>70.751999999999995</v>
      </c>
      <c r="L164" s="129"/>
      <c r="M164" s="92">
        <f t="shared" si="5"/>
        <v>0</v>
      </c>
    </row>
    <row r="165" spans="1:91" s="18" customFormat="1" ht="15.75" x14ac:dyDescent="0.25">
      <c r="B165" s="289"/>
      <c r="C165" s="299"/>
      <c r="D165" s="300"/>
      <c r="E165" s="301"/>
      <c r="F165" s="301"/>
      <c r="G165" s="301"/>
      <c r="H165" s="168" t="s">
        <v>122</v>
      </c>
      <c r="I165" s="169" t="s">
        <v>21</v>
      </c>
      <c r="J165" s="129">
        <f>K165/E164</f>
        <v>1.1499999999999999</v>
      </c>
      <c r="K165" s="32">
        <f>(E164)*1.15</f>
        <v>67.804000000000002</v>
      </c>
      <c r="L165" s="129"/>
      <c r="M165" s="92">
        <f t="shared" si="5"/>
        <v>0</v>
      </c>
    </row>
    <row r="166" spans="1:91" s="18" customFormat="1" ht="19.5" customHeight="1" x14ac:dyDescent="0.25">
      <c r="B166" s="225">
        <f>B164+1</f>
        <v>10</v>
      </c>
      <c r="C166" s="50" t="s">
        <v>137</v>
      </c>
      <c r="D166" s="37" t="s">
        <v>19</v>
      </c>
      <c r="E166" s="229">
        <f>E150</f>
        <v>54.2</v>
      </c>
      <c r="F166" s="229"/>
      <c r="G166" s="229">
        <f>F166*E166</f>
        <v>0</v>
      </c>
      <c r="H166" s="128" t="s">
        <v>138</v>
      </c>
      <c r="I166" s="227" t="s">
        <v>26</v>
      </c>
      <c r="J166" s="228">
        <v>0.06</v>
      </c>
      <c r="K166" s="188">
        <f>ROUNDUP(E166*J166,0)</f>
        <v>4</v>
      </c>
      <c r="L166" s="189"/>
      <c r="M166" s="74">
        <f t="shared" si="5"/>
        <v>0</v>
      </c>
    </row>
    <row r="167" spans="1:91" s="75" customFormat="1" ht="16.5" thickBot="1" x14ac:dyDescent="0.3">
      <c r="A167" s="70"/>
      <c r="B167" s="286" t="s">
        <v>144</v>
      </c>
      <c r="C167" s="287"/>
      <c r="D167" s="287"/>
      <c r="E167" s="223" t="s">
        <v>86</v>
      </c>
      <c r="F167" s="114">
        <f>SUM(G136:G166)</f>
        <v>0</v>
      </c>
      <c r="G167" s="115"/>
      <c r="H167" s="288" t="s">
        <v>145</v>
      </c>
      <c r="I167" s="288"/>
      <c r="J167" s="288"/>
      <c r="K167" s="116" t="s">
        <v>86</v>
      </c>
      <c r="L167" s="117"/>
      <c r="M167" s="118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</row>
    <row r="168" spans="1:91" s="75" customFormat="1" ht="16.5" thickBot="1" x14ac:dyDescent="0.3">
      <c r="A168" s="70"/>
      <c r="B168" s="158"/>
      <c r="C168" s="120" t="s">
        <v>146</v>
      </c>
      <c r="D168" s="159"/>
      <c r="E168" s="160"/>
      <c r="F168" s="161"/>
      <c r="G168" s="161"/>
      <c r="H168" s="162"/>
      <c r="I168" s="163"/>
      <c r="J168" s="164"/>
      <c r="K168" s="165"/>
      <c r="L168" s="166"/>
      <c r="M168" s="167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</row>
    <row r="169" spans="1:91" s="18" customFormat="1" ht="15.75" x14ac:dyDescent="0.25">
      <c r="B169" s="341">
        <v>1</v>
      </c>
      <c r="C169" s="342" t="s">
        <v>89</v>
      </c>
      <c r="D169" s="344" t="s">
        <v>19</v>
      </c>
      <c r="E169" s="346">
        <f>E173+E186*0.25</f>
        <v>360.85</v>
      </c>
      <c r="F169" s="346"/>
      <c r="G169" s="346">
        <f>F169*E169</f>
        <v>0</v>
      </c>
      <c r="H169" s="123" t="s">
        <v>20</v>
      </c>
      <c r="I169" s="124" t="s">
        <v>21</v>
      </c>
      <c r="J169" s="125">
        <v>1.1499999999999999</v>
      </c>
      <c r="K169" s="126">
        <f>E169*J169</f>
        <v>414.97750000000002</v>
      </c>
      <c r="L169" s="33"/>
      <c r="M169" s="127">
        <f t="shared" ref="M169:M199" si="6">K169*L169</f>
        <v>0</v>
      </c>
    </row>
    <row r="170" spans="1:91" s="130" customFormat="1" ht="18.75" customHeight="1" x14ac:dyDescent="0.25">
      <c r="B170" s="302"/>
      <c r="C170" s="343"/>
      <c r="D170" s="345"/>
      <c r="E170" s="347"/>
      <c r="F170" s="347"/>
      <c r="G170" s="347"/>
      <c r="H170" s="128" t="s">
        <v>22</v>
      </c>
      <c r="I170" s="227" t="s">
        <v>23</v>
      </c>
      <c r="J170" s="129">
        <v>1</v>
      </c>
      <c r="K170" s="32">
        <f>E169*J170</f>
        <v>360.85</v>
      </c>
      <c r="L170" s="35"/>
      <c r="M170" s="74">
        <f t="shared" si="6"/>
        <v>0</v>
      </c>
    </row>
    <row r="171" spans="1:91" s="11" customFormat="1" ht="21" customHeight="1" x14ac:dyDescent="0.25">
      <c r="B171" s="302">
        <v>2</v>
      </c>
      <c r="C171" s="303" t="s">
        <v>90</v>
      </c>
      <c r="D171" s="304" t="s">
        <v>19</v>
      </c>
      <c r="E171" s="305">
        <f>E173</f>
        <v>330.3</v>
      </c>
      <c r="F171" s="340"/>
      <c r="G171" s="340">
        <f>E171*F171</f>
        <v>0</v>
      </c>
      <c r="H171" s="36" t="s">
        <v>25</v>
      </c>
      <c r="I171" s="37" t="s">
        <v>26</v>
      </c>
      <c r="J171" s="131">
        <f>K171/E171</f>
        <v>0.20600000000000002</v>
      </c>
      <c r="K171" s="73">
        <f>E171*0.2*1.03</f>
        <v>68.041800000000009</v>
      </c>
      <c r="L171" s="237"/>
      <c r="M171" s="74">
        <f t="shared" si="6"/>
        <v>0</v>
      </c>
    </row>
    <row r="172" spans="1:91" ht="15.75" x14ac:dyDescent="0.25">
      <c r="B172" s="302"/>
      <c r="C172" s="303"/>
      <c r="D172" s="304"/>
      <c r="E172" s="305"/>
      <c r="F172" s="340"/>
      <c r="G172" s="340"/>
      <c r="H172" s="39" t="s">
        <v>27</v>
      </c>
      <c r="I172" s="77" t="s">
        <v>28</v>
      </c>
      <c r="J172" s="132">
        <f>K172/E171</f>
        <v>2.1192854980320919E-2</v>
      </c>
      <c r="K172" s="73">
        <f>ROUNDUP(E171*0.02,0)</f>
        <v>7</v>
      </c>
      <c r="L172" s="237"/>
      <c r="M172" s="74">
        <f t="shared" si="6"/>
        <v>0</v>
      </c>
    </row>
    <row r="173" spans="1:91" s="134" customFormat="1" ht="15.75" customHeight="1" x14ac:dyDescent="0.25">
      <c r="B173" s="325">
        <v>3</v>
      </c>
      <c r="C173" s="328" t="s">
        <v>93</v>
      </c>
      <c r="D173" s="331" t="s">
        <v>19</v>
      </c>
      <c r="E173" s="334">
        <v>330.3</v>
      </c>
      <c r="F173" s="334"/>
      <c r="G173" s="337">
        <f>E173*F173</f>
        <v>0</v>
      </c>
      <c r="H173" s="42" t="s">
        <v>30</v>
      </c>
      <c r="I173" s="135" t="s">
        <v>31</v>
      </c>
      <c r="J173" s="131">
        <f>K173/E173</f>
        <v>3.9200000000000006E-2</v>
      </c>
      <c r="K173" s="73">
        <f>((E173*0.14))*0.28</f>
        <v>12.947760000000002</v>
      </c>
      <c r="L173" s="136"/>
      <c r="M173" s="74">
        <f t="shared" si="6"/>
        <v>0</v>
      </c>
    </row>
    <row r="174" spans="1:91" s="75" customFormat="1" ht="15.75" x14ac:dyDescent="0.25">
      <c r="A174" s="70"/>
      <c r="B174" s="326"/>
      <c r="C174" s="329"/>
      <c r="D174" s="332"/>
      <c r="E174" s="335"/>
      <c r="F174" s="335"/>
      <c r="G174" s="338"/>
      <c r="H174" s="137" t="s">
        <v>94</v>
      </c>
      <c r="I174" s="135" t="s">
        <v>26</v>
      </c>
      <c r="J174" s="136">
        <f>K174/E173</f>
        <v>0.1694</v>
      </c>
      <c r="K174" s="73">
        <f>(((E173*0.14*1.21)))</f>
        <v>55.952820000000003</v>
      </c>
      <c r="L174" s="136"/>
      <c r="M174" s="74">
        <f t="shared" si="6"/>
        <v>0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</row>
    <row r="175" spans="1:91" s="75" customFormat="1" ht="15.75" x14ac:dyDescent="0.25">
      <c r="A175" s="70"/>
      <c r="B175" s="326"/>
      <c r="C175" s="329"/>
      <c r="D175" s="332"/>
      <c r="E175" s="335"/>
      <c r="F175" s="335"/>
      <c r="G175" s="338"/>
      <c r="H175" s="138" t="s">
        <v>95</v>
      </c>
      <c r="I175" s="139" t="s">
        <v>21</v>
      </c>
      <c r="J175" s="136">
        <v>1.25</v>
      </c>
      <c r="K175" s="73">
        <f>E173*J175</f>
        <v>412.875</v>
      </c>
      <c r="L175" s="136"/>
      <c r="M175" s="74">
        <f t="shared" si="6"/>
        <v>0</v>
      </c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</row>
    <row r="176" spans="1:91" s="75" customFormat="1" ht="15.75" x14ac:dyDescent="0.25">
      <c r="A176" s="70"/>
      <c r="B176" s="326"/>
      <c r="C176" s="329"/>
      <c r="D176" s="332"/>
      <c r="E176" s="335"/>
      <c r="F176" s="335"/>
      <c r="G176" s="338"/>
      <c r="H176" s="137" t="s">
        <v>34</v>
      </c>
      <c r="I176" s="139" t="s">
        <v>35</v>
      </c>
      <c r="J176" s="131">
        <f>K176/E173</f>
        <v>0.58800000000000008</v>
      </c>
      <c r="K176" s="73">
        <f>K173*1.5/100*1000</f>
        <v>194.21640000000005</v>
      </c>
      <c r="L176" s="136"/>
      <c r="M176" s="74">
        <f t="shared" si="6"/>
        <v>0</v>
      </c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</row>
    <row r="177" spans="1:91" s="75" customFormat="1" ht="15.75" x14ac:dyDescent="0.25">
      <c r="A177" s="70"/>
      <c r="B177" s="327"/>
      <c r="C177" s="330"/>
      <c r="D177" s="333"/>
      <c r="E177" s="336"/>
      <c r="F177" s="336"/>
      <c r="G177" s="339"/>
      <c r="H177" s="42" t="s">
        <v>36</v>
      </c>
      <c r="I177" s="43" t="s">
        <v>37</v>
      </c>
      <c r="J177" s="241">
        <v>0.3</v>
      </c>
      <c r="K177" s="48">
        <f>E173*J177</f>
        <v>99.09</v>
      </c>
      <c r="L177" s="241"/>
      <c r="M177" s="34">
        <f t="shared" si="6"/>
        <v>0</v>
      </c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</row>
    <row r="178" spans="1:91" s="18" customFormat="1" ht="15.75" x14ac:dyDescent="0.25">
      <c r="B178" s="278" t="s">
        <v>38</v>
      </c>
      <c r="C178" s="313" t="s">
        <v>39</v>
      </c>
      <c r="D178" s="316" t="s">
        <v>19</v>
      </c>
      <c r="E178" s="319">
        <f>E173</f>
        <v>330.3</v>
      </c>
      <c r="F178" s="319"/>
      <c r="G178" s="322">
        <f>E178*F178</f>
        <v>0</v>
      </c>
      <c r="H178" s="42" t="s">
        <v>30</v>
      </c>
      <c r="I178" s="43" t="s">
        <v>31</v>
      </c>
      <c r="J178" s="44">
        <f>K178/E178</f>
        <v>1.4000000000000002E-2</v>
      </c>
      <c r="K178" s="45">
        <f>((E178*0.05))*0.28</f>
        <v>4.624200000000001</v>
      </c>
      <c r="L178" s="237"/>
      <c r="M178" s="34">
        <f t="shared" si="6"/>
        <v>0</v>
      </c>
    </row>
    <row r="179" spans="1:91" s="46" customFormat="1" ht="15.75" x14ac:dyDescent="0.25">
      <c r="B179" s="307"/>
      <c r="C179" s="314"/>
      <c r="D179" s="317"/>
      <c r="E179" s="320"/>
      <c r="F179" s="320"/>
      <c r="G179" s="323"/>
      <c r="H179" s="42" t="s">
        <v>32</v>
      </c>
      <c r="I179" s="43" t="s">
        <v>26</v>
      </c>
      <c r="J179" s="237">
        <f>K179/E178</f>
        <v>6.0499999999999991E-2</v>
      </c>
      <c r="K179" s="45">
        <f>((E178*0.05))*1.21</f>
        <v>19.983149999999998</v>
      </c>
      <c r="L179" s="237"/>
      <c r="M179" s="34">
        <f t="shared" si="6"/>
        <v>0</v>
      </c>
    </row>
    <row r="180" spans="1:91" s="18" customFormat="1" ht="15.75" x14ac:dyDescent="0.25">
      <c r="B180" s="307"/>
      <c r="C180" s="314"/>
      <c r="D180" s="317"/>
      <c r="E180" s="320"/>
      <c r="F180" s="320"/>
      <c r="G180" s="323"/>
      <c r="H180" s="42" t="s">
        <v>34</v>
      </c>
      <c r="I180" s="43" t="s">
        <v>35</v>
      </c>
      <c r="J180" s="44">
        <f>K180/E178</f>
        <v>0.21000000000000005</v>
      </c>
      <c r="K180" s="45">
        <f>K178*1.5/100*1000</f>
        <v>69.363000000000014</v>
      </c>
      <c r="L180" s="237"/>
      <c r="M180" s="34">
        <f t="shared" si="6"/>
        <v>0</v>
      </c>
    </row>
    <row r="181" spans="1:91" s="18" customFormat="1" ht="15.75" x14ac:dyDescent="0.25">
      <c r="B181" s="289"/>
      <c r="C181" s="315"/>
      <c r="D181" s="318"/>
      <c r="E181" s="321"/>
      <c r="F181" s="321"/>
      <c r="G181" s="324"/>
      <c r="H181" s="42" t="s">
        <v>36</v>
      </c>
      <c r="I181" s="43" t="s">
        <v>37</v>
      </c>
      <c r="J181" s="241">
        <v>0.2</v>
      </c>
      <c r="K181" s="48">
        <f>E178*J181</f>
        <v>66.06</v>
      </c>
      <c r="L181" s="241"/>
      <c r="M181" s="34">
        <f t="shared" si="6"/>
        <v>0</v>
      </c>
    </row>
    <row r="182" spans="1:91" s="18" customFormat="1" ht="15.75" x14ac:dyDescent="0.25">
      <c r="B182" s="219">
        <v>4</v>
      </c>
      <c r="C182" s="220" t="s">
        <v>121</v>
      </c>
      <c r="D182" s="221" t="s">
        <v>19</v>
      </c>
      <c r="E182" s="222">
        <f>E173</f>
        <v>330.3</v>
      </c>
      <c r="F182" s="222"/>
      <c r="G182" s="222">
        <f>F182*E182</f>
        <v>0</v>
      </c>
      <c r="H182" s="168" t="s">
        <v>122</v>
      </c>
      <c r="I182" s="169" t="s">
        <v>21</v>
      </c>
      <c r="J182" s="129">
        <v>1.1499999999999999</v>
      </c>
      <c r="K182" s="32">
        <f>E182*J182</f>
        <v>379.84499999999997</v>
      </c>
      <c r="L182" s="129"/>
      <c r="M182" s="92">
        <f t="shared" si="6"/>
        <v>0</v>
      </c>
    </row>
    <row r="183" spans="1:91" s="18" customFormat="1" ht="15.75" x14ac:dyDescent="0.25">
      <c r="B183" s="219">
        <v>5</v>
      </c>
      <c r="C183" s="50" t="s">
        <v>123</v>
      </c>
      <c r="D183" s="37" t="s">
        <v>19</v>
      </c>
      <c r="E183" s="229">
        <f>E173</f>
        <v>330.3</v>
      </c>
      <c r="F183" s="229"/>
      <c r="G183" s="229">
        <f>F183*E183</f>
        <v>0</v>
      </c>
      <c r="H183" s="170" t="s">
        <v>124</v>
      </c>
      <c r="I183" s="135" t="s">
        <v>21</v>
      </c>
      <c r="J183" s="248">
        <v>1.1499999999999999</v>
      </c>
      <c r="K183" s="32">
        <f>E183*J183</f>
        <v>379.84499999999997</v>
      </c>
      <c r="L183" s="237"/>
      <c r="M183" s="92">
        <f t="shared" si="6"/>
        <v>0</v>
      </c>
    </row>
    <row r="184" spans="1:91" s="18" customFormat="1" ht="15.75" x14ac:dyDescent="0.25">
      <c r="B184" s="278">
        <v>6</v>
      </c>
      <c r="C184" s="309" t="s">
        <v>147</v>
      </c>
      <c r="D184" s="310" t="s">
        <v>23</v>
      </c>
      <c r="E184" s="311">
        <f>E186</f>
        <v>122.2</v>
      </c>
      <c r="F184" s="312"/>
      <c r="G184" s="312">
        <f>E184*F184</f>
        <v>0</v>
      </c>
      <c r="H184" s="36" t="s">
        <v>126</v>
      </c>
      <c r="I184" s="37" t="s">
        <v>26</v>
      </c>
      <c r="J184" s="38">
        <f>K184/E184</f>
        <v>3.09E-2</v>
      </c>
      <c r="K184" s="32">
        <f>(E184)*0.1*0.3*1.03</f>
        <v>3.7759800000000001</v>
      </c>
      <c r="L184" s="237"/>
      <c r="M184" s="171">
        <f t="shared" si="6"/>
        <v>0</v>
      </c>
    </row>
    <row r="185" spans="1:91" s="18" customFormat="1" ht="15.75" x14ac:dyDescent="0.25">
      <c r="B185" s="289"/>
      <c r="C185" s="291"/>
      <c r="D185" s="293"/>
      <c r="E185" s="295"/>
      <c r="F185" s="297"/>
      <c r="G185" s="297"/>
      <c r="H185" s="76" t="s">
        <v>127</v>
      </c>
      <c r="I185" s="77" t="s">
        <v>28</v>
      </c>
      <c r="J185" s="78">
        <f>K185/E184</f>
        <v>2.8641571194762685</v>
      </c>
      <c r="K185" s="32">
        <f>ROUNDUP(E184/0.35,0)</f>
        <v>350</v>
      </c>
      <c r="L185" s="237"/>
      <c r="M185" s="171">
        <f t="shared" si="6"/>
        <v>0</v>
      </c>
    </row>
    <row r="186" spans="1:91" s="18" customFormat="1" ht="15.75" x14ac:dyDescent="0.25">
      <c r="B186" s="278">
        <v>7</v>
      </c>
      <c r="C186" s="280" t="s">
        <v>148</v>
      </c>
      <c r="D186" s="282" t="s">
        <v>23</v>
      </c>
      <c r="E186" s="284">
        <v>122.2</v>
      </c>
      <c r="F186" s="284"/>
      <c r="G186" s="284">
        <f>F186*E186</f>
        <v>0</v>
      </c>
      <c r="H186" s="170" t="s">
        <v>124</v>
      </c>
      <c r="I186" s="172" t="s">
        <v>21</v>
      </c>
      <c r="J186" s="173">
        <f>K186/E186</f>
        <v>0.68999999999999984</v>
      </c>
      <c r="K186" s="174">
        <f>E186*0.6*1.15</f>
        <v>84.317999999999984</v>
      </c>
      <c r="L186" s="237"/>
      <c r="M186" s="92">
        <f t="shared" si="6"/>
        <v>0</v>
      </c>
    </row>
    <row r="187" spans="1:91" s="18" customFormat="1" ht="15.75" x14ac:dyDescent="0.25">
      <c r="B187" s="307"/>
      <c r="C187" s="308"/>
      <c r="D187" s="300"/>
      <c r="E187" s="301"/>
      <c r="F187" s="301"/>
      <c r="G187" s="301"/>
      <c r="H187" s="168" t="s">
        <v>122</v>
      </c>
      <c r="I187" s="169" t="s">
        <v>21</v>
      </c>
      <c r="J187" s="175">
        <f>K187/E186</f>
        <v>0.91999999999999993</v>
      </c>
      <c r="K187" s="32">
        <f>E186*0.8*1.15</f>
        <v>112.42399999999999</v>
      </c>
      <c r="L187" s="129"/>
      <c r="M187" s="92">
        <f t="shared" si="6"/>
        <v>0</v>
      </c>
    </row>
    <row r="188" spans="1:91" s="18" customFormat="1" ht="15.75" x14ac:dyDescent="0.25">
      <c r="B188" s="307"/>
      <c r="C188" s="308"/>
      <c r="D188" s="300"/>
      <c r="E188" s="301"/>
      <c r="F188" s="301"/>
      <c r="G188" s="301"/>
      <c r="H188" s="128" t="s">
        <v>129</v>
      </c>
      <c r="I188" s="172" t="s">
        <v>23</v>
      </c>
      <c r="J188" s="174">
        <v>1.1499999999999999</v>
      </c>
      <c r="K188" s="174">
        <f>E186*J188</f>
        <v>140.53</v>
      </c>
      <c r="L188" s="81"/>
      <c r="M188" s="92">
        <f t="shared" si="6"/>
        <v>0</v>
      </c>
    </row>
    <row r="189" spans="1:91" s="18" customFormat="1" ht="15.75" x14ac:dyDescent="0.25">
      <c r="B189" s="307"/>
      <c r="C189" s="308"/>
      <c r="D189" s="300"/>
      <c r="E189" s="301"/>
      <c r="F189" s="301"/>
      <c r="G189" s="301"/>
      <c r="H189" s="128" t="s">
        <v>130</v>
      </c>
      <c r="I189" s="172" t="s">
        <v>23</v>
      </c>
      <c r="J189" s="174">
        <v>1.05</v>
      </c>
      <c r="K189" s="174">
        <f>E186*J189</f>
        <v>128.31</v>
      </c>
      <c r="L189" s="81"/>
      <c r="M189" s="92">
        <f t="shared" si="6"/>
        <v>0</v>
      </c>
    </row>
    <row r="190" spans="1:91" s="18" customFormat="1" ht="15.75" x14ac:dyDescent="0.25">
      <c r="B190" s="307"/>
      <c r="C190" s="308"/>
      <c r="D190" s="300"/>
      <c r="E190" s="301"/>
      <c r="F190" s="301"/>
      <c r="G190" s="301"/>
      <c r="H190" s="176" t="s">
        <v>131</v>
      </c>
      <c r="I190" s="177" t="s">
        <v>28</v>
      </c>
      <c r="J190" s="178">
        <v>10</v>
      </c>
      <c r="K190" s="174">
        <f>E186*J190</f>
        <v>1222</v>
      </c>
      <c r="L190" s="81"/>
      <c r="M190" s="92">
        <f t="shared" si="6"/>
        <v>0</v>
      </c>
    </row>
    <row r="191" spans="1:91" s="18" customFormat="1" ht="15.75" x14ac:dyDescent="0.25">
      <c r="B191" s="307"/>
      <c r="C191" s="308"/>
      <c r="D191" s="300"/>
      <c r="E191" s="301"/>
      <c r="F191" s="301"/>
      <c r="G191" s="301"/>
      <c r="H191" s="226" t="s">
        <v>60</v>
      </c>
      <c r="I191" s="227" t="s">
        <v>47</v>
      </c>
      <c r="J191" s="79">
        <v>0.1</v>
      </c>
      <c r="K191" s="80">
        <f>E186*J191</f>
        <v>12.22</v>
      </c>
      <c r="L191" s="179"/>
      <c r="M191" s="92">
        <f t="shared" si="6"/>
        <v>0</v>
      </c>
    </row>
    <row r="192" spans="1:91" s="18" customFormat="1" ht="31.5" x14ac:dyDescent="0.25">
      <c r="B192" s="302">
        <v>8</v>
      </c>
      <c r="C192" s="303" t="s">
        <v>132</v>
      </c>
      <c r="D192" s="304" t="s">
        <v>47</v>
      </c>
      <c r="E192" s="305">
        <v>2</v>
      </c>
      <c r="F192" s="305"/>
      <c r="G192" s="306">
        <f>E192*F192</f>
        <v>0</v>
      </c>
      <c r="H192" s="128" t="s">
        <v>133</v>
      </c>
      <c r="I192" s="227" t="s">
        <v>47</v>
      </c>
      <c r="J192" s="228">
        <v>1</v>
      </c>
      <c r="K192" s="228">
        <f>E192*J192</f>
        <v>2</v>
      </c>
      <c r="L192" s="237"/>
      <c r="M192" s="92">
        <f t="shared" si="6"/>
        <v>0</v>
      </c>
    </row>
    <row r="193" spans="1:91" s="18" customFormat="1" ht="15.75" x14ac:dyDescent="0.25">
      <c r="B193" s="302"/>
      <c r="C193" s="303"/>
      <c r="D193" s="304"/>
      <c r="E193" s="305"/>
      <c r="F193" s="305"/>
      <c r="G193" s="306"/>
      <c r="H193" s="128" t="s">
        <v>134</v>
      </c>
      <c r="I193" s="227" t="s">
        <v>47</v>
      </c>
      <c r="J193" s="228">
        <v>1</v>
      </c>
      <c r="K193" s="228">
        <f>E192*J193</f>
        <v>2</v>
      </c>
      <c r="L193" s="237"/>
      <c r="M193" s="92">
        <f t="shared" si="6"/>
        <v>0</v>
      </c>
    </row>
    <row r="194" spans="1:91" s="46" customFormat="1" ht="31.5" customHeight="1" x14ac:dyDescent="0.25">
      <c r="B194" s="302"/>
      <c r="C194" s="303"/>
      <c r="D194" s="304"/>
      <c r="E194" s="305"/>
      <c r="F194" s="305"/>
      <c r="G194" s="306"/>
      <c r="H194" s="148" t="s">
        <v>102</v>
      </c>
      <c r="I194" s="177" t="s">
        <v>28</v>
      </c>
      <c r="J194" s="180">
        <v>8</v>
      </c>
      <c r="K194" s="181">
        <f>E192*J194</f>
        <v>16</v>
      </c>
      <c r="L194" s="81"/>
      <c r="M194" s="171">
        <f t="shared" si="6"/>
        <v>0</v>
      </c>
    </row>
    <row r="195" spans="1:91" s="46" customFormat="1" ht="16.5" customHeight="1" x14ac:dyDescent="0.25">
      <c r="B195" s="302"/>
      <c r="C195" s="303"/>
      <c r="D195" s="304"/>
      <c r="E195" s="305"/>
      <c r="F195" s="305"/>
      <c r="G195" s="306"/>
      <c r="H195" s="150" t="s">
        <v>103</v>
      </c>
      <c r="I195" s="182" t="s">
        <v>28</v>
      </c>
      <c r="J195" s="183">
        <v>8</v>
      </c>
      <c r="K195" s="149">
        <f>E192*J195</f>
        <v>16</v>
      </c>
      <c r="L195" s="227"/>
      <c r="M195" s="184">
        <f t="shared" si="6"/>
        <v>0</v>
      </c>
    </row>
    <row r="196" spans="1:91" s="18" customFormat="1" ht="19.5" customHeight="1" x14ac:dyDescent="0.25">
      <c r="B196" s="302"/>
      <c r="C196" s="303"/>
      <c r="D196" s="304"/>
      <c r="E196" s="305"/>
      <c r="F196" s="305"/>
      <c r="G196" s="306"/>
      <c r="H196" s="226" t="s">
        <v>63</v>
      </c>
      <c r="I196" s="185" t="s">
        <v>28</v>
      </c>
      <c r="J196" s="186">
        <v>0.5</v>
      </c>
      <c r="K196" s="228">
        <f>E192*J196</f>
        <v>1</v>
      </c>
      <c r="L196" s="187"/>
      <c r="M196" s="92">
        <f t="shared" si="6"/>
        <v>0</v>
      </c>
    </row>
    <row r="197" spans="1:91" s="18" customFormat="1" ht="15.75" x14ac:dyDescent="0.25">
      <c r="B197" s="278">
        <f>B192+1</f>
        <v>9</v>
      </c>
      <c r="C197" s="298" t="s">
        <v>135</v>
      </c>
      <c r="D197" s="282" t="s">
        <v>19</v>
      </c>
      <c r="E197" s="284">
        <f>E183+(E186)*0.1</f>
        <v>342.52000000000004</v>
      </c>
      <c r="F197" s="284"/>
      <c r="G197" s="284">
        <f>F197*E197</f>
        <v>0</v>
      </c>
      <c r="H197" s="137" t="s">
        <v>136</v>
      </c>
      <c r="I197" s="135" t="s">
        <v>21</v>
      </c>
      <c r="J197" s="129">
        <v>1.2</v>
      </c>
      <c r="K197" s="32">
        <f>E197*J197</f>
        <v>411.02400000000006</v>
      </c>
      <c r="L197" s="129"/>
      <c r="M197" s="92">
        <f t="shared" si="6"/>
        <v>0</v>
      </c>
    </row>
    <row r="198" spans="1:91" s="18" customFormat="1" ht="15.75" x14ac:dyDescent="0.25">
      <c r="B198" s="289"/>
      <c r="C198" s="299"/>
      <c r="D198" s="300"/>
      <c r="E198" s="301"/>
      <c r="F198" s="301"/>
      <c r="G198" s="301"/>
      <c r="H198" s="168" t="s">
        <v>122</v>
      </c>
      <c r="I198" s="169" t="s">
        <v>21</v>
      </c>
      <c r="J198" s="129">
        <f>K198/E197</f>
        <v>1.1499999999999999</v>
      </c>
      <c r="K198" s="32">
        <f>(E197)*1.15</f>
        <v>393.89800000000002</v>
      </c>
      <c r="L198" s="129"/>
      <c r="M198" s="92">
        <f t="shared" si="6"/>
        <v>0</v>
      </c>
    </row>
    <row r="199" spans="1:91" s="18" customFormat="1" ht="19.5" customHeight="1" x14ac:dyDescent="0.25">
      <c r="B199" s="225">
        <f>B197+1</f>
        <v>10</v>
      </c>
      <c r="C199" s="50" t="s">
        <v>137</v>
      </c>
      <c r="D199" s="37" t="s">
        <v>19</v>
      </c>
      <c r="E199" s="229">
        <f>E183</f>
        <v>330.3</v>
      </c>
      <c r="F199" s="229"/>
      <c r="G199" s="229">
        <f>F199*E199</f>
        <v>0</v>
      </c>
      <c r="H199" s="128" t="s">
        <v>138</v>
      </c>
      <c r="I199" s="227" t="s">
        <v>26</v>
      </c>
      <c r="J199" s="228">
        <v>0.06</v>
      </c>
      <c r="K199" s="188">
        <f>ROUNDUP(E199*J199,0)</f>
        <v>20</v>
      </c>
      <c r="L199" s="189"/>
      <c r="M199" s="74">
        <f t="shared" si="6"/>
        <v>0</v>
      </c>
    </row>
    <row r="200" spans="1:91" s="75" customFormat="1" ht="16.5" thickBot="1" x14ac:dyDescent="0.3">
      <c r="A200" s="70"/>
      <c r="B200" s="286" t="s">
        <v>149</v>
      </c>
      <c r="C200" s="287"/>
      <c r="D200" s="287"/>
      <c r="E200" s="223" t="s">
        <v>86</v>
      </c>
      <c r="F200" s="114">
        <f>SUM(G169:G199)</f>
        <v>0</v>
      </c>
      <c r="G200" s="115"/>
      <c r="H200" s="288" t="s">
        <v>150</v>
      </c>
      <c r="I200" s="288"/>
      <c r="J200" s="288"/>
      <c r="K200" s="116" t="s">
        <v>86</v>
      </c>
      <c r="L200" s="117">
        <f>SUBTOTAL(9,M169:M199)</f>
        <v>0</v>
      </c>
      <c r="M200" s="118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</row>
    <row r="201" spans="1:91" s="75" customFormat="1" ht="16.5" x14ac:dyDescent="0.25">
      <c r="A201" s="70"/>
      <c r="B201" s="190"/>
      <c r="C201" s="191" t="s">
        <v>151</v>
      </c>
      <c r="D201" s="192"/>
      <c r="E201" s="192"/>
      <c r="F201" s="192"/>
      <c r="G201" s="192"/>
      <c r="H201" s="192"/>
      <c r="I201" s="192"/>
      <c r="J201" s="192"/>
      <c r="K201" s="192"/>
      <c r="L201" s="192"/>
      <c r="M201" s="193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</row>
    <row r="202" spans="1:91" s="75" customFormat="1" ht="31.5" x14ac:dyDescent="0.25">
      <c r="A202" s="70"/>
      <c r="B202" s="278">
        <v>1</v>
      </c>
      <c r="C202" s="290" t="s">
        <v>152</v>
      </c>
      <c r="D202" s="292" t="s">
        <v>23</v>
      </c>
      <c r="E202" s="294">
        <v>91</v>
      </c>
      <c r="F202" s="296"/>
      <c r="G202" s="296">
        <f>E202*F202</f>
        <v>0</v>
      </c>
      <c r="H202" s="194" t="s">
        <v>153</v>
      </c>
      <c r="I202" s="195" t="s">
        <v>23</v>
      </c>
      <c r="J202" s="229">
        <v>1.06</v>
      </c>
      <c r="K202" s="32">
        <f>E202*J202</f>
        <v>96.460000000000008</v>
      </c>
      <c r="L202" s="232"/>
      <c r="M202" s="92">
        <f>K202*L202</f>
        <v>0</v>
      </c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</row>
    <row r="203" spans="1:91" s="75" customFormat="1" ht="15.75" x14ac:dyDescent="0.25">
      <c r="A203" s="70"/>
      <c r="B203" s="289"/>
      <c r="C203" s="291"/>
      <c r="D203" s="293"/>
      <c r="E203" s="295"/>
      <c r="F203" s="297"/>
      <c r="G203" s="297"/>
      <c r="H203" s="76" t="s">
        <v>59</v>
      </c>
      <c r="I203" s="77" t="s">
        <v>28</v>
      </c>
      <c r="J203" s="78">
        <v>5</v>
      </c>
      <c r="K203" s="32">
        <f>ROUNDUP(E202*J203,0)</f>
        <v>455</v>
      </c>
      <c r="L203" s="237"/>
      <c r="M203" s="92">
        <f>K203*L203</f>
        <v>0</v>
      </c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</row>
    <row r="204" spans="1:91" s="75" customFormat="1" ht="31.5" x14ac:dyDescent="0.25">
      <c r="A204" s="70"/>
      <c r="B204" s="225">
        <v>2</v>
      </c>
      <c r="C204" s="235" t="s">
        <v>154</v>
      </c>
      <c r="D204" s="236" t="s">
        <v>19</v>
      </c>
      <c r="E204" s="237">
        <v>30</v>
      </c>
      <c r="F204" s="237"/>
      <c r="G204" s="237">
        <f>F204*E204</f>
        <v>0</v>
      </c>
      <c r="H204" s="62" t="s">
        <v>49</v>
      </c>
      <c r="I204" s="227" t="s">
        <v>35</v>
      </c>
      <c r="J204" s="228">
        <v>0.4</v>
      </c>
      <c r="K204" s="228">
        <f>E204*J204</f>
        <v>12</v>
      </c>
      <c r="L204" s="78"/>
      <c r="M204" s="74">
        <f t="shared" ref="M204" si="7">K204*L204</f>
        <v>0</v>
      </c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</row>
    <row r="205" spans="1:91" s="75" customFormat="1" ht="15.75" x14ac:dyDescent="0.25">
      <c r="A205" s="70"/>
      <c r="B205" s="278">
        <v>3</v>
      </c>
      <c r="C205" s="280" t="s">
        <v>155</v>
      </c>
      <c r="D205" s="282" t="s">
        <v>19</v>
      </c>
      <c r="E205" s="284">
        <v>30</v>
      </c>
      <c r="F205" s="284"/>
      <c r="G205" s="284">
        <f>F205*E205</f>
        <v>0</v>
      </c>
      <c r="H205" s="71" t="s">
        <v>101</v>
      </c>
      <c r="I205" s="227" t="s">
        <v>21</v>
      </c>
      <c r="J205" s="228">
        <v>1.2</v>
      </c>
      <c r="K205" s="228">
        <f>E205*J205</f>
        <v>36</v>
      </c>
      <c r="L205" s="232"/>
      <c r="M205" s="92">
        <f>K205*L205</f>
        <v>0</v>
      </c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</row>
    <row r="206" spans="1:91" s="75" customFormat="1" ht="16.5" thickBot="1" x14ac:dyDescent="0.3">
      <c r="A206" s="70"/>
      <c r="B206" s="279"/>
      <c r="C206" s="281"/>
      <c r="D206" s="283"/>
      <c r="E206" s="285"/>
      <c r="F206" s="285"/>
      <c r="G206" s="285"/>
      <c r="H206" s="196" t="s">
        <v>52</v>
      </c>
      <c r="I206" s="197" t="s">
        <v>37</v>
      </c>
      <c r="J206" s="198">
        <v>1</v>
      </c>
      <c r="K206" s="198">
        <f>E205*J206</f>
        <v>30</v>
      </c>
      <c r="L206" s="199"/>
      <c r="M206" s="200">
        <f>K206*L206</f>
        <v>0</v>
      </c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</row>
    <row r="207" spans="1:91" s="75" customFormat="1" ht="16.5" thickBot="1" x14ac:dyDescent="0.3">
      <c r="A207" s="70"/>
      <c r="B207" s="262" t="s">
        <v>156</v>
      </c>
      <c r="C207" s="263"/>
      <c r="D207" s="264"/>
      <c r="E207" s="201" t="s">
        <v>86</v>
      </c>
      <c r="F207" s="202"/>
      <c r="G207" s="203"/>
      <c r="H207" s="265" t="s">
        <v>157</v>
      </c>
      <c r="I207" s="266"/>
      <c r="J207" s="267"/>
      <c r="K207" s="204" t="s">
        <v>86</v>
      </c>
      <c r="L207" s="205">
        <f>SUBTOTAL(9,M202:M206)</f>
        <v>0</v>
      </c>
      <c r="M207" s="206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</row>
    <row r="208" spans="1:91" s="75" customFormat="1" ht="15.75" x14ac:dyDescent="0.25">
      <c r="A208" s="70"/>
      <c r="B208" s="268"/>
      <c r="C208" s="269"/>
      <c r="D208" s="270"/>
      <c r="E208" s="247"/>
      <c r="F208" s="247"/>
      <c r="G208" s="229"/>
      <c r="H208" s="271"/>
      <c r="I208" s="272"/>
      <c r="J208" s="273"/>
      <c r="K208" s="129"/>
      <c r="L208" s="129"/>
      <c r="M208" s="171">
        <f>SUBTOTAL(9,M18:M207)*L208/100</f>
        <v>0</v>
      </c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</row>
    <row r="209" spans="1:91" s="75" customFormat="1" ht="19.5" thickBot="1" x14ac:dyDescent="0.3">
      <c r="A209" s="70"/>
      <c r="B209" s="252" t="s">
        <v>158</v>
      </c>
      <c r="C209" s="253"/>
      <c r="D209" s="253"/>
      <c r="E209" s="254"/>
      <c r="F209" s="255">
        <f>SUBTOTAL(9,G17:G207)+G208</f>
        <v>0</v>
      </c>
      <c r="G209" s="274"/>
      <c r="H209" s="275" t="s">
        <v>159</v>
      </c>
      <c r="I209" s="276"/>
      <c r="J209" s="276"/>
      <c r="K209" s="277"/>
      <c r="L209" s="250">
        <f>SUBTOTAL(9,M18:M207)+M208</f>
        <v>0</v>
      </c>
      <c r="M209" s="251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</row>
    <row r="210" spans="1:91" s="75" customFormat="1" ht="18.75" x14ac:dyDescent="0.25">
      <c r="A210" s="70"/>
      <c r="B210" s="252" t="s">
        <v>160</v>
      </c>
      <c r="C210" s="253"/>
      <c r="D210" s="253"/>
      <c r="E210" s="254"/>
      <c r="F210" s="255">
        <f>F209+L209</f>
        <v>0</v>
      </c>
      <c r="G210" s="256"/>
      <c r="H210" s="46"/>
      <c r="I210" s="46"/>
      <c r="J210" s="46"/>
      <c r="K210" s="46"/>
      <c r="L210" s="46"/>
      <c r="M210" s="46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</row>
    <row r="211" spans="1:91" s="75" customFormat="1" ht="19.5" thickBot="1" x14ac:dyDescent="0.3">
      <c r="A211" s="70"/>
      <c r="B211" s="257" t="s">
        <v>161</v>
      </c>
      <c r="C211" s="258"/>
      <c r="D211" s="258"/>
      <c r="E211" s="258"/>
      <c r="F211" s="259">
        <f>F210/6</f>
        <v>0</v>
      </c>
      <c r="G211" s="260"/>
      <c r="H211" s="46"/>
      <c r="I211" s="46"/>
      <c r="J211" s="46"/>
      <c r="K211" s="46"/>
      <c r="L211" s="46"/>
      <c r="M211" s="46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</row>
    <row r="212" spans="1:91" s="75" customFormat="1" ht="15.75" x14ac:dyDescent="0.25">
      <c r="A212" s="70"/>
      <c r="B212" s="18"/>
      <c r="C212" s="18"/>
      <c r="D212" s="18"/>
      <c r="E212" s="18"/>
      <c r="F212" s="18"/>
      <c r="G212" s="18"/>
      <c r="H212" s="46"/>
      <c r="I212" s="46"/>
      <c r="J212" s="46"/>
      <c r="K212" s="46"/>
      <c r="L212" s="46"/>
      <c r="M212" s="46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</row>
    <row r="213" spans="1:91" s="75" customFormat="1" ht="15.75" x14ac:dyDescent="0.25">
      <c r="A213" s="70"/>
      <c r="B213" s="207" t="s">
        <v>162</v>
      </c>
      <c r="C213" s="46"/>
      <c r="D213" s="46"/>
      <c r="E213" s="46"/>
      <c r="F213" s="261"/>
      <c r="G213" s="261"/>
      <c r="H213" s="46"/>
      <c r="I213" s="46"/>
      <c r="J213" s="46"/>
      <c r="K213" s="46"/>
      <c r="L213" s="46"/>
      <c r="M213" s="46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</row>
    <row r="214" spans="1:91" s="75" customFormat="1" ht="15.75" x14ac:dyDescent="0.25">
      <c r="A214" s="70"/>
      <c r="B214" s="207" t="s">
        <v>163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</row>
    <row r="215" spans="1:91" s="75" customFormat="1" ht="18.75" x14ac:dyDescent="0.25">
      <c r="A215" s="70"/>
      <c r="B215" s="207" t="s">
        <v>164</v>
      </c>
      <c r="C215" s="208"/>
      <c r="D215" s="208"/>
      <c r="E215" s="208"/>
      <c r="F215" s="208"/>
      <c r="G215" s="209"/>
      <c r="H215" s="210"/>
      <c r="I215" s="210"/>
      <c r="J215" s="210"/>
      <c r="K215" s="210"/>
      <c r="L215" s="210"/>
      <c r="M215" s="21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</row>
    <row r="216" spans="1:91" s="75" customFormat="1" ht="15.75" x14ac:dyDescent="0.25">
      <c r="A216" s="70"/>
      <c r="B216" s="249" t="s">
        <v>165</v>
      </c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</row>
    <row r="217" spans="1:91" s="75" customFormat="1" ht="15.75" x14ac:dyDescent="0.25">
      <c r="A217" s="70"/>
      <c r="B217" s="217" t="s">
        <v>166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</row>
    <row r="218" spans="1:91" s="75" customFormat="1" ht="15.75" x14ac:dyDescent="0.25">
      <c r="A218" s="70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</row>
    <row r="219" spans="1:91" s="75" customFormat="1" ht="15.75" x14ac:dyDescent="0.25">
      <c r="A219" s="70"/>
      <c r="B219" s="133"/>
      <c r="C219" s="211"/>
      <c r="D219" s="133"/>
      <c r="E219" s="212"/>
      <c r="F219" s="213"/>
      <c r="G219" s="133"/>
      <c r="H219" s="214"/>
      <c r="I219" s="133"/>
      <c r="J219" s="133"/>
      <c r="K219" s="133"/>
      <c r="L219" s="133"/>
      <c r="M219" s="133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</row>
    <row r="220" spans="1:91" s="75" customFormat="1" ht="30" customHeight="1" x14ac:dyDescent="0.25">
      <c r="A220" s="70"/>
      <c r="B220" s="133"/>
      <c r="C220" s="211"/>
      <c r="D220" s="133"/>
      <c r="E220" s="212"/>
      <c r="F220" s="133"/>
      <c r="G220" s="133"/>
      <c r="H220" s="133"/>
      <c r="I220" s="133"/>
      <c r="J220" s="133"/>
      <c r="K220" s="133"/>
      <c r="L220" s="133"/>
      <c r="M220" s="133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</row>
    <row r="221" spans="1:91" s="75" customFormat="1" ht="15.75" x14ac:dyDescent="0.25">
      <c r="A221" s="70"/>
      <c r="B221" s="133"/>
      <c r="C221" s="215"/>
      <c r="D221" s="133"/>
      <c r="E221" s="212"/>
      <c r="F221" s="133"/>
      <c r="G221" s="133"/>
      <c r="H221" s="133"/>
      <c r="I221" s="133"/>
      <c r="J221" s="133"/>
      <c r="K221" s="133"/>
      <c r="L221" s="133"/>
      <c r="M221" s="133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</row>
    <row r="222" spans="1:91" s="75" customFormat="1" x14ac:dyDescent="0.25">
      <c r="A222" s="70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</row>
    <row r="223" spans="1:91" s="75" customFormat="1" ht="18.75" x14ac:dyDescent="0.25">
      <c r="A223" s="70"/>
      <c r="B223" s="207"/>
      <c r="C223" s="208"/>
      <c r="D223" s="208"/>
      <c r="E223" s="208"/>
      <c r="F223" s="208"/>
      <c r="G223" s="209"/>
      <c r="H223" s="210"/>
      <c r="I223" s="210"/>
      <c r="J223" s="210"/>
      <c r="K223" s="210"/>
      <c r="L223" s="210"/>
      <c r="M223" s="21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</row>
  </sheetData>
  <mergeCells count="337">
    <mergeCell ref="H13:H14"/>
    <mergeCell ref="I13:I14"/>
    <mergeCell ref="J13:J14"/>
    <mergeCell ref="K13:K14"/>
    <mergeCell ref="B1:G4"/>
    <mergeCell ref="H1:M1"/>
    <mergeCell ref="H2:M2"/>
    <mergeCell ref="H3:M3"/>
    <mergeCell ref="H4:M4"/>
    <mergeCell ref="B8:M8"/>
    <mergeCell ref="B9:M9"/>
    <mergeCell ref="B10:M10"/>
    <mergeCell ref="B11:M11"/>
    <mergeCell ref="L13:M13"/>
    <mergeCell ref="B13:B14"/>
    <mergeCell ref="C13:C14"/>
    <mergeCell ref="D13:D14"/>
    <mergeCell ref="E13:E14"/>
    <mergeCell ref="F13:G13"/>
    <mergeCell ref="B18:B19"/>
    <mergeCell ref="C18:C19"/>
    <mergeCell ref="D18:D19"/>
    <mergeCell ref="E18:E19"/>
    <mergeCell ref="F18:F19"/>
    <mergeCell ref="G18:G19"/>
    <mergeCell ref="B22:B26"/>
    <mergeCell ref="C22:C26"/>
    <mergeCell ref="D22:D26"/>
    <mergeCell ref="E22:E26"/>
    <mergeCell ref="F22:F26"/>
    <mergeCell ref="G22:G26"/>
    <mergeCell ref="B20:B21"/>
    <mergeCell ref="C20:C21"/>
    <mergeCell ref="D20:D21"/>
    <mergeCell ref="E20:E21"/>
    <mergeCell ref="F20:F21"/>
    <mergeCell ref="G20:G21"/>
    <mergeCell ref="B32:B34"/>
    <mergeCell ref="C32:C34"/>
    <mergeCell ref="D32:D34"/>
    <mergeCell ref="E32:E34"/>
    <mergeCell ref="F32:F34"/>
    <mergeCell ref="G32:G34"/>
    <mergeCell ref="B27:B30"/>
    <mergeCell ref="C27:C30"/>
    <mergeCell ref="D27:D30"/>
    <mergeCell ref="E27:E30"/>
    <mergeCell ref="F27:F30"/>
    <mergeCell ref="G27:G30"/>
    <mergeCell ref="B38:B39"/>
    <mergeCell ref="C38:C39"/>
    <mergeCell ref="D38:D39"/>
    <mergeCell ref="E38:E39"/>
    <mergeCell ref="F38:F39"/>
    <mergeCell ref="G38:G39"/>
    <mergeCell ref="B36:B37"/>
    <mergeCell ref="C36:C37"/>
    <mergeCell ref="D36:D37"/>
    <mergeCell ref="E36:E37"/>
    <mergeCell ref="F36:F37"/>
    <mergeCell ref="G36:G37"/>
    <mergeCell ref="B42:B45"/>
    <mergeCell ref="C42:C45"/>
    <mergeCell ref="D42:D45"/>
    <mergeCell ref="E42:E45"/>
    <mergeCell ref="F42:F45"/>
    <mergeCell ref="G42:G45"/>
    <mergeCell ref="B40:B41"/>
    <mergeCell ref="C40:C41"/>
    <mergeCell ref="D40:D41"/>
    <mergeCell ref="E40:E41"/>
    <mergeCell ref="F40:F41"/>
    <mergeCell ref="G40:G41"/>
    <mergeCell ref="B48:B50"/>
    <mergeCell ref="C48:C50"/>
    <mergeCell ref="D48:D50"/>
    <mergeCell ref="E48:E50"/>
    <mergeCell ref="F48:F50"/>
    <mergeCell ref="G48:G50"/>
    <mergeCell ref="B46:B47"/>
    <mergeCell ref="C46:C47"/>
    <mergeCell ref="D46:D47"/>
    <mergeCell ref="E46:E47"/>
    <mergeCell ref="F46:F47"/>
    <mergeCell ref="G46:G47"/>
    <mergeCell ref="B56:B59"/>
    <mergeCell ref="C56:C59"/>
    <mergeCell ref="D56:D59"/>
    <mergeCell ref="E56:E59"/>
    <mergeCell ref="F56:F59"/>
    <mergeCell ref="G56:G59"/>
    <mergeCell ref="B51:B52"/>
    <mergeCell ref="C51:C52"/>
    <mergeCell ref="D51:D52"/>
    <mergeCell ref="E51:E52"/>
    <mergeCell ref="F51:F52"/>
    <mergeCell ref="G51:G52"/>
    <mergeCell ref="B65:B66"/>
    <mergeCell ref="C65:C66"/>
    <mergeCell ref="D65:D66"/>
    <mergeCell ref="E65:E66"/>
    <mergeCell ref="F65:F66"/>
    <mergeCell ref="G65:G66"/>
    <mergeCell ref="B61:D61"/>
    <mergeCell ref="H61:J61"/>
    <mergeCell ref="B63:B64"/>
    <mergeCell ref="C63:C64"/>
    <mergeCell ref="D63:D64"/>
    <mergeCell ref="E63:E64"/>
    <mergeCell ref="F63:F64"/>
    <mergeCell ref="G63:G64"/>
    <mergeCell ref="B73:B76"/>
    <mergeCell ref="C73:C76"/>
    <mergeCell ref="D73:D76"/>
    <mergeCell ref="E73:E76"/>
    <mergeCell ref="F73:F76"/>
    <mergeCell ref="G73:G76"/>
    <mergeCell ref="B68:B72"/>
    <mergeCell ref="C68:C72"/>
    <mergeCell ref="D68:D72"/>
    <mergeCell ref="E68:E72"/>
    <mergeCell ref="F68:F72"/>
    <mergeCell ref="G68:G72"/>
    <mergeCell ref="B84:B86"/>
    <mergeCell ref="C84:C86"/>
    <mergeCell ref="D84:D86"/>
    <mergeCell ref="E84:E86"/>
    <mergeCell ref="F84:F86"/>
    <mergeCell ref="G84:G86"/>
    <mergeCell ref="B79:B83"/>
    <mergeCell ref="C79:C83"/>
    <mergeCell ref="D79:D83"/>
    <mergeCell ref="E79:E83"/>
    <mergeCell ref="F79:F83"/>
    <mergeCell ref="G79:G83"/>
    <mergeCell ref="B89:B91"/>
    <mergeCell ref="C89:C91"/>
    <mergeCell ref="D89:D91"/>
    <mergeCell ref="E89:E91"/>
    <mergeCell ref="F89:F91"/>
    <mergeCell ref="G89:G91"/>
    <mergeCell ref="B87:B88"/>
    <mergeCell ref="C87:C88"/>
    <mergeCell ref="D87:D88"/>
    <mergeCell ref="E87:E88"/>
    <mergeCell ref="F87:F88"/>
    <mergeCell ref="G87:G88"/>
    <mergeCell ref="B95:B100"/>
    <mergeCell ref="C95:C100"/>
    <mergeCell ref="D95:D100"/>
    <mergeCell ref="E95:E100"/>
    <mergeCell ref="F95:F100"/>
    <mergeCell ref="G95:G100"/>
    <mergeCell ref="B92:B94"/>
    <mergeCell ref="C92:C94"/>
    <mergeCell ref="D92:D94"/>
    <mergeCell ref="E92:E94"/>
    <mergeCell ref="F92:F94"/>
    <mergeCell ref="G92:G94"/>
    <mergeCell ref="B105:B106"/>
    <mergeCell ref="C105:C106"/>
    <mergeCell ref="D105:D106"/>
    <mergeCell ref="E105:E106"/>
    <mergeCell ref="F105:F106"/>
    <mergeCell ref="G105:G106"/>
    <mergeCell ref="B101:D101"/>
    <mergeCell ref="H101:J101"/>
    <mergeCell ref="B103:B104"/>
    <mergeCell ref="C103:C104"/>
    <mergeCell ref="D103:D104"/>
    <mergeCell ref="E103:E104"/>
    <mergeCell ref="F103:F104"/>
    <mergeCell ref="G103:G104"/>
    <mergeCell ref="B112:B115"/>
    <mergeCell ref="C112:C115"/>
    <mergeCell ref="D112:D115"/>
    <mergeCell ref="E112:E115"/>
    <mergeCell ref="F112:F115"/>
    <mergeCell ref="G112:G115"/>
    <mergeCell ref="B107:B111"/>
    <mergeCell ref="C107:C111"/>
    <mergeCell ref="D107:D111"/>
    <mergeCell ref="E107:E111"/>
    <mergeCell ref="F107:F111"/>
    <mergeCell ref="G107:G111"/>
    <mergeCell ref="B120:B125"/>
    <mergeCell ref="C120:C125"/>
    <mergeCell ref="D120:D125"/>
    <mergeCell ref="E120:E125"/>
    <mergeCell ref="F120:F125"/>
    <mergeCell ref="G120:G125"/>
    <mergeCell ref="B118:B119"/>
    <mergeCell ref="C118:C119"/>
    <mergeCell ref="D118:D119"/>
    <mergeCell ref="E118:E119"/>
    <mergeCell ref="F118:F119"/>
    <mergeCell ref="G118:G119"/>
    <mergeCell ref="B131:B132"/>
    <mergeCell ref="C131:C132"/>
    <mergeCell ref="D131:D132"/>
    <mergeCell ref="E131:E132"/>
    <mergeCell ref="F131:F132"/>
    <mergeCell ref="G131:G132"/>
    <mergeCell ref="B126:B130"/>
    <mergeCell ref="C126:C130"/>
    <mergeCell ref="D126:D130"/>
    <mergeCell ref="E126:E130"/>
    <mergeCell ref="F126:F130"/>
    <mergeCell ref="G126:G130"/>
    <mergeCell ref="B138:B139"/>
    <mergeCell ref="C138:C139"/>
    <mergeCell ref="D138:D139"/>
    <mergeCell ref="E138:E139"/>
    <mergeCell ref="F138:F139"/>
    <mergeCell ref="G138:G139"/>
    <mergeCell ref="B134:D134"/>
    <mergeCell ref="H134:J134"/>
    <mergeCell ref="B136:B137"/>
    <mergeCell ref="C136:C137"/>
    <mergeCell ref="D136:D137"/>
    <mergeCell ref="E136:E137"/>
    <mergeCell ref="F136:F137"/>
    <mergeCell ref="G136:G137"/>
    <mergeCell ref="B145:B148"/>
    <mergeCell ref="C145:C148"/>
    <mergeCell ref="D145:D148"/>
    <mergeCell ref="E145:E148"/>
    <mergeCell ref="F145:F148"/>
    <mergeCell ref="G145:G148"/>
    <mergeCell ref="B140:B144"/>
    <mergeCell ref="C140:C144"/>
    <mergeCell ref="D140:D144"/>
    <mergeCell ref="E140:E144"/>
    <mergeCell ref="F140:F144"/>
    <mergeCell ref="G140:G144"/>
    <mergeCell ref="B153:B158"/>
    <mergeCell ref="C153:C158"/>
    <mergeCell ref="D153:D158"/>
    <mergeCell ref="E153:E158"/>
    <mergeCell ref="F153:F158"/>
    <mergeCell ref="G153:G158"/>
    <mergeCell ref="B151:B152"/>
    <mergeCell ref="C151:C152"/>
    <mergeCell ref="D151:D152"/>
    <mergeCell ref="E151:E152"/>
    <mergeCell ref="F151:F152"/>
    <mergeCell ref="G151:G152"/>
    <mergeCell ref="B164:B165"/>
    <mergeCell ref="C164:C165"/>
    <mergeCell ref="D164:D165"/>
    <mergeCell ref="E164:E165"/>
    <mergeCell ref="F164:F165"/>
    <mergeCell ref="G164:G165"/>
    <mergeCell ref="B159:B163"/>
    <mergeCell ref="C159:C163"/>
    <mergeCell ref="D159:D163"/>
    <mergeCell ref="E159:E163"/>
    <mergeCell ref="F159:F163"/>
    <mergeCell ref="G159:G163"/>
    <mergeCell ref="B171:B172"/>
    <mergeCell ref="C171:C172"/>
    <mergeCell ref="D171:D172"/>
    <mergeCell ref="E171:E172"/>
    <mergeCell ref="F171:F172"/>
    <mergeCell ref="G171:G172"/>
    <mergeCell ref="B167:D167"/>
    <mergeCell ref="H167:J167"/>
    <mergeCell ref="B169:B170"/>
    <mergeCell ref="C169:C170"/>
    <mergeCell ref="D169:D170"/>
    <mergeCell ref="E169:E170"/>
    <mergeCell ref="F169:F170"/>
    <mergeCell ref="G169:G170"/>
    <mergeCell ref="B178:B181"/>
    <mergeCell ref="C178:C181"/>
    <mergeCell ref="D178:D181"/>
    <mergeCell ref="E178:E181"/>
    <mergeCell ref="F178:F181"/>
    <mergeCell ref="G178:G181"/>
    <mergeCell ref="B173:B177"/>
    <mergeCell ref="C173:C177"/>
    <mergeCell ref="D173:D177"/>
    <mergeCell ref="E173:E177"/>
    <mergeCell ref="F173:F177"/>
    <mergeCell ref="G173:G177"/>
    <mergeCell ref="B186:B191"/>
    <mergeCell ref="C186:C191"/>
    <mergeCell ref="D186:D191"/>
    <mergeCell ref="E186:E191"/>
    <mergeCell ref="F186:F191"/>
    <mergeCell ref="G186:G191"/>
    <mergeCell ref="B184:B185"/>
    <mergeCell ref="C184:C185"/>
    <mergeCell ref="D184:D185"/>
    <mergeCell ref="E184:E185"/>
    <mergeCell ref="F184:F185"/>
    <mergeCell ref="G184:G185"/>
    <mergeCell ref="B197:B198"/>
    <mergeCell ref="C197:C198"/>
    <mergeCell ref="D197:D198"/>
    <mergeCell ref="E197:E198"/>
    <mergeCell ref="F197:F198"/>
    <mergeCell ref="G197:G198"/>
    <mergeCell ref="B192:B196"/>
    <mergeCell ref="C192:C196"/>
    <mergeCell ref="D192:D196"/>
    <mergeCell ref="E192:E196"/>
    <mergeCell ref="F192:F196"/>
    <mergeCell ref="G192:G196"/>
    <mergeCell ref="B205:B206"/>
    <mergeCell ref="C205:C206"/>
    <mergeCell ref="D205:D206"/>
    <mergeCell ref="E205:E206"/>
    <mergeCell ref="F205:F206"/>
    <mergeCell ref="G205:G206"/>
    <mergeCell ref="B200:D200"/>
    <mergeCell ref="H200:J200"/>
    <mergeCell ref="B202:B203"/>
    <mergeCell ref="C202:C203"/>
    <mergeCell ref="D202:D203"/>
    <mergeCell ref="E202:E203"/>
    <mergeCell ref="F202:F203"/>
    <mergeCell ref="G202:G203"/>
    <mergeCell ref="B216:M216"/>
    <mergeCell ref="L209:M209"/>
    <mergeCell ref="B210:E210"/>
    <mergeCell ref="F210:G210"/>
    <mergeCell ref="B211:E211"/>
    <mergeCell ref="F211:G211"/>
    <mergeCell ref="F213:G213"/>
    <mergeCell ref="B207:D207"/>
    <mergeCell ref="H207:J207"/>
    <mergeCell ref="B208:D208"/>
    <mergeCell ref="H208:J208"/>
    <mergeCell ref="B209:E209"/>
    <mergeCell ref="F209:G209"/>
    <mergeCell ref="H209:K209"/>
  </mergeCells>
  <pageMargins left="0.52" right="0.21" top="0.44" bottom="0.38" header="0.3" footer="0.3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2023-11-21T10:52:30Z</dcterms:modified>
  <cp:category/>
  <cp:contentStatus/>
</cp:coreProperties>
</file>