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hq\UsersRTL\olekivanov\Desktop\"/>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Лист1!$A$7:$I$187</definedName>
    <definedName name="Виконується">#REF!</definedName>
  </definedNames>
  <calcPr calcId="162913" refMode="R1C1"/>
</workbook>
</file>

<file path=xl/calcChain.xml><?xml version="1.0" encoding="utf-8"?>
<calcChain xmlns="http://schemas.openxmlformats.org/spreadsheetml/2006/main">
  <c r="I136" i="51" l="1"/>
  <c r="I135" i="51"/>
  <c r="F74" i="51"/>
  <c r="I73" i="51"/>
  <c r="K73" i="51" s="1"/>
  <c r="I72" i="51" l="1"/>
  <c r="F72" i="51"/>
  <c r="F116" i="51" l="1"/>
  <c r="K32" i="51"/>
  <c r="K48" i="51" l="1"/>
  <c r="K47" i="51"/>
  <c r="K46" i="51"/>
  <c r="K45" i="51"/>
  <c r="K44" i="51"/>
  <c r="K43" i="51"/>
  <c r="F43" i="51"/>
  <c r="K122" i="51" l="1"/>
  <c r="I117" i="51"/>
  <c r="K117" i="51" s="1"/>
  <c r="I116" i="51"/>
  <c r="K116" i="51" s="1"/>
  <c r="K121" i="51"/>
  <c r="K120" i="51"/>
  <c r="K119" i="51"/>
  <c r="K118" i="51"/>
  <c r="J71" i="51" l="1"/>
  <c r="K71" i="51" s="1"/>
  <c r="J70" i="51"/>
  <c r="K70" i="51" s="1"/>
  <c r="K64" i="51"/>
  <c r="K68" i="51"/>
  <c r="K67" i="51"/>
  <c r="K69" i="51"/>
  <c r="I65" i="51"/>
  <c r="K65" i="51" s="1"/>
  <c r="K66" i="51"/>
  <c r="K63" i="51"/>
  <c r="K62" i="51"/>
  <c r="J61" i="51"/>
  <c r="K61" i="51" s="1"/>
  <c r="F61" i="51"/>
  <c r="K60" i="51" l="1"/>
  <c r="J59" i="51"/>
  <c r="K59" i="51" s="1"/>
  <c r="F59" i="51"/>
  <c r="I113" i="51"/>
  <c r="K113" i="51" s="1"/>
  <c r="D112" i="51"/>
  <c r="I112" i="51" s="1"/>
  <c r="K115" i="51"/>
  <c r="K114" i="51"/>
  <c r="I111" i="51"/>
  <c r="K111" i="51" s="1"/>
  <c r="F111" i="51"/>
  <c r="K50" i="51" l="1"/>
  <c r="I18" i="51"/>
  <c r="K18" i="51" s="1"/>
  <c r="K89" i="51" l="1"/>
  <c r="K88" i="51"/>
  <c r="K87" i="51"/>
  <c r="F87" i="51"/>
  <c r="K86" i="51"/>
  <c r="K85" i="51"/>
  <c r="K84" i="51"/>
  <c r="K83" i="51"/>
  <c r="K82" i="51"/>
  <c r="K81" i="51"/>
  <c r="F81" i="51"/>
  <c r="I91" i="51"/>
  <c r="K91" i="51" s="1"/>
  <c r="K93" i="51"/>
  <c r="K92" i="51"/>
  <c r="J102" i="51"/>
  <c r="K128" i="51"/>
  <c r="K127" i="51"/>
  <c r="I126" i="51"/>
  <c r="K146" i="51" l="1"/>
  <c r="K42" i="51"/>
  <c r="F112" i="51" l="1"/>
  <c r="K112" i="51"/>
  <c r="D90" i="51"/>
  <c r="J90" i="51"/>
  <c r="J145" i="51"/>
  <c r="F144" i="51"/>
  <c r="I90" i="51" l="1"/>
  <c r="K90" i="51" s="1"/>
  <c r="F90" i="51"/>
  <c r="D137" i="51"/>
  <c r="I134" i="51"/>
  <c r="F134" i="51"/>
  <c r="D55" i="51"/>
  <c r="D57" i="51"/>
  <c r="D53" i="51"/>
  <c r="D51" i="51"/>
  <c r="I49" i="51"/>
  <c r="J49" i="51"/>
  <c r="D49" i="51"/>
  <c r="F49" i="51" s="1"/>
  <c r="I40" i="51"/>
  <c r="K41" i="51"/>
  <c r="J40" i="51"/>
  <c r="D33" i="51"/>
  <c r="I37" i="51" s="1"/>
  <c r="K37" i="51" s="1"/>
  <c r="K39" i="51"/>
  <c r="K36" i="51"/>
  <c r="K35" i="51"/>
  <c r="K34" i="51"/>
  <c r="K31" i="51"/>
  <c r="K30" i="51"/>
  <c r="K29" i="51"/>
  <c r="K28" i="51"/>
  <c r="K27" i="51"/>
  <c r="F27" i="51"/>
  <c r="K22" i="51"/>
  <c r="K21" i="51"/>
  <c r="I53" i="51" l="1"/>
  <c r="K53" i="51" s="1"/>
  <c r="I54" i="51"/>
  <c r="K54" i="51" s="1"/>
  <c r="F53" i="51"/>
  <c r="K49" i="51"/>
  <c r="K40" i="51"/>
  <c r="I33" i="51"/>
  <c r="K33" i="51" s="1"/>
  <c r="I38" i="51"/>
  <c r="K38" i="51" s="1"/>
  <c r="F33" i="51"/>
  <c r="I20" i="51" l="1"/>
  <c r="K20" i="51" s="1"/>
  <c r="K26" i="51"/>
  <c r="I25" i="51"/>
  <c r="K25" i="51" s="1"/>
  <c r="I24" i="51"/>
  <c r="K24" i="51" s="1"/>
  <c r="K23" i="51"/>
  <c r="F20" i="51"/>
  <c r="F12" i="51" l="1"/>
  <c r="I105" i="51" l="1"/>
  <c r="I104" i="51"/>
  <c r="K124" i="51"/>
  <c r="K125" i="51"/>
  <c r="K126" i="51"/>
  <c r="F124" i="51"/>
  <c r="F97" i="51" l="1"/>
  <c r="F10" i="51"/>
  <c r="F11" i="51"/>
  <c r="I137" i="51" l="1"/>
  <c r="F137" i="51" l="1"/>
  <c r="K137" i="51"/>
  <c r="F138" i="51"/>
  <c r="I138" i="51"/>
  <c r="K138" i="51" s="1"/>
  <c r="F139" i="51"/>
  <c r="I139" i="51"/>
  <c r="K139" i="51" s="1"/>
  <c r="I140" i="51"/>
  <c r="K140" i="51" s="1"/>
  <c r="I123" i="51"/>
  <c r="I101" i="51"/>
  <c r="I103" i="51"/>
  <c r="I100" i="51"/>
  <c r="K141" i="51" l="1"/>
  <c r="F141" i="51"/>
  <c r="K78" i="51"/>
  <c r="K77" i="51"/>
  <c r="F77" i="51" l="1"/>
  <c r="I76" i="51"/>
  <c r="K76" i="51" s="1"/>
  <c r="I75" i="51"/>
  <c r="F75" i="51"/>
  <c r="K15" i="51"/>
  <c r="K101" i="51" l="1"/>
  <c r="K102" i="51"/>
  <c r="K106" i="51"/>
  <c r="K107" i="51"/>
  <c r="K108" i="51"/>
  <c r="K110" i="51"/>
  <c r="K123" i="51"/>
  <c r="K129" i="51"/>
  <c r="F16" i="51"/>
  <c r="F130" i="51" l="1"/>
  <c r="K104" i="51"/>
  <c r="I52" i="51"/>
  <c r="K52" i="51" s="1"/>
  <c r="I51" i="51"/>
  <c r="K51" i="51" s="1"/>
  <c r="F51" i="51"/>
  <c r="I19" i="51" l="1"/>
  <c r="I17" i="51"/>
  <c r="I16" i="51"/>
  <c r="F129" i="51" l="1"/>
  <c r="F13" i="51" l="1"/>
  <c r="F14" i="51"/>
  <c r="F123" i="51" l="1"/>
  <c r="I55" i="51" l="1"/>
  <c r="K100" i="51"/>
  <c r="I99" i="51"/>
  <c r="K99" i="51" s="1"/>
  <c r="F99" i="51"/>
  <c r="F9" i="51"/>
  <c r="F15" i="51" l="1"/>
  <c r="K105" i="51"/>
  <c r="K147" i="51"/>
  <c r="F145" i="51"/>
  <c r="F147" i="51"/>
  <c r="F148" i="51"/>
  <c r="F149" i="51"/>
  <c r="F131" i="51"/>
  <c r="F96" i="51"/>
  <c r="F55" i="51"/>
  <c r="F57" i="51"/>
  <c r="F79" i="51" l="1"/>
  <c r="K16" i="51"/>
  <c r="F94" i="51" l="1"/>
  <c r="F95" i="51"/>
  <c r="F100" i="51"/>
  <c r="F103" i="51"/>
  <c r="F104" i="51"/>
  <c r="F107" i="51"/>
  <c r="F143" i="51"/>
  <c r="F150" i="51" s="1"/>
  <c r="K145" i="51"/>
  <c r="K150" i="51" s="1"/>
  <c r="F132" i="51" l="1"/>
  <c r="F152" i="51" s="1"/>
  <c r="I58" i="51"/>
  <c r="K58" i="51" s="1"/>
  <c r="K55" i="51" l="1"/>
  <c r="I56" i="51" l="1"/>
  <c r="K56" i="51" s="1"/>
  <c r="I57" i="51"/>
  <c r="K57" i="51" s="1"/>
  <c r="K19" i="51" l="1"/>
  <c r="I94" i="51"/>
  <c r="K94" i="51" s="1"/>
  <c r="I95" i="51" l="1"/>
  <c r="K103" i="51"/>
  <c r="I109" i="51"/>
  <c r="K109" i="51" s="1"/>
  <c r="K132" i="51" s="1"/>
  <c r="K17" i="51" l="1"/>
  <c r="K79" i="51" s="1"/>
  <c r="K151" i="51" s="1"/>
  <c r="K152" i="51" l="1"/>
  <c r="K153" i="51" s="1"/>
  <c r="F154" i="51"/>
  <c r="K154" i="51" l="1"/>
  <c r="K156" i="51" s="1"/>
  <c r="K155" i="51" s="1"/>
</calcChain>
</file>

<file path=xl/sharedStrings.xml><?xml version="1.0" encoding="utf-8"?>
<sst xmlns="http://schemas.openxmlformats.org/spreadsheetml/2006/main" count="471" uniqueCount="280">
  <si>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</si>
  <si>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</si>
  <si>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</si>
  <si>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</si>
  <si>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</si>
  <si>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</si>
  <si>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</si>
  <si>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</si>
  <si>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</si>
  <si>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</si>
  <si>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</si>
  <si>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</si>
  <si>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</si>
  <si>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</si>
  <si>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</si>
  <si>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</si>
  <si>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</si>
  <si>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</si>
  <si>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</si>
  <si>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</si>
  <si>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</si>
  <si>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</si>
  <si>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</si>
  <si>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</si>
  <si>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</si>
  <si>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</si>
  <si>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</si>
  <si>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</si>
  <si>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</si>
  <si>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</si>
  <si>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</si>
  <si>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</si>
  <si>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</si>
  <si>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</si>
  <si>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</si>
  <si>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</si>
  <si>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</si>
  <si>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</si>
  <si>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</si>
  <si>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</si>
  <si>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</si>
  <si>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</si>
  <si>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</si>
  <si>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</si>
  <si>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</si>
  <si>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</si>
  <si>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</si>
  <si>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</si>
  <si>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</si>
  <si>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</si>
  <si>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</si>
  <si>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</si>
  <si>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</si>
  <si>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</si>
  <si>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</si>
  <si>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</si>
  <si>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</si>
  <si>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</si>
  <si>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</si>
  <si>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</si>
  <si>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</si>
  <si>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</si>
  <si>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</si>
  <si>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</si>
  <si>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</si>
  <si>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</si>
  <si>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</si>
  <si>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</si>
  <si>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</si>
  <si>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</si>
  <si>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</si>
  <si>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</si>
  <si>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</si>
  <si>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</si>
  <si>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</si>
  <si>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</si>
  <si>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</si>
  <si>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</si>
  <si>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</si>
  <si>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</si>
  <si>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</si>
  <si>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</si>
  <si>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</si>
  <si>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</si>
  <si>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</si>
  <si>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</si>
  <si>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</si>
  <si>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</si>
  <si>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</si>
  <si>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</si>
  <si>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</si>
  <si>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</si>
  <si>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</si>
  <si>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</si>
  <si>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</si>
  <si>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</si>
  <si>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</si>
  <si>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</si>
  <si>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</si>
  <si>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</si>
  <si>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</si>
  <si>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</si>
  <si>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</si>
  <si>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поставка замовника</t>
  </si>
  <si>
    <t>Монтаж вимикачів з підрозетником</t>
  </si>
  <si>
    <t>поставка Замовника</t>
  </si>
  <si>
    <t>Прокладання кабелю вітой пари UTP</t>
  </si>
  <si>
    <t xml:space="preserve">Обжим UTP кабелю </t>
  </si>
  <si>
    <t>Монтаж інформаційної розетки</t>
  </si>
  <si>
    <t>Конектор RJ-45</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</si>
  <si>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</si>
  <si>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</si>
  <si>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</si>
  <si>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</si>
  <si>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</si>
  <si>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</si>
  <si>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</si>
  <si>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</si>
  <si>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</si>
  <si>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</si>
  <si>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</si>
  <si>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</si>
  <si>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</si>
  <si>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</si>
  <si>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</si>
  <si>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</si>
  <si>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</si>
  <si>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</si>
  <si>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</si>
  <si>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</si>
  <si>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</si>
  <si>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</si>
  <si>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</si>
  <si>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</si>
  <si>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</si>
  <si>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</si>
  <si>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</si>
  <si>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Коробка розподільча E.NEXT 100x100x45 IP20 s027026</t>
  </si>
  <si>
    <t>Прокладання кабеля для колонок</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</si>
  <si>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</si>
  <si>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</si>
  <si>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</si>
  <si>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</si>
  <si>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</si>
  <si>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м2</t>
  </si>
  <si>
    <t xml:space="preserve">Фуга Ceresit CE 40 aguastatic </t>
  </si>
  <si>
    <t>Склострічка самоклейка BauGut 50мм х 20м</t>
  </si>
  <si>
    <t>Фарбування стін (за 2 рази + грунт) ral 7047</t>
  </si>
  <si>
    <t>Ізострічка EMT 0,13x15 мм 10 м чорна ПВХ 12-0403 BK</t>
  </si>
  <si>
    <t>Розетка із заземленням Schneider Electric Asfora 16 А 250 В без шторок білий</t>
  </si>
  <si>
    <t>Вимикач одноклавішний Schneider Electric Asfora самозажиммаючий 10 А 220В IP20 білий EPH0300121</t>
  </si>
  <si>
    <t>Кабель силовой монолит ЗЗЦМ ВВГнгд 3х2,5 медь</t>
  </si>
  <si>
    <t>Вимикач двоклавішний Schneider Electric Asfora самозажиммаючий 10 А 220В IP20 білий EPH0300122</t>
  </si>
  <si>
    <t>Кабель акустичний Одескабель Loudspeaker Cable Hi-Fi, 2х1,5 кв.мм</t>
  </si>
  <si>
    <t>Клей для плитки Ceresit СМ11</t>
  </si>
  <si>
    <t>Демонтаж електрофурнітури (вимикачі, розетки, датчики)</t>
  </si>
  <si>
    <t>Демонтажні роботи</t>
  </si>
  <si>
    <t>ВСЬОГО  ВАРТІСТЬ МАТЕРІАЛІВ ПО Демонтажним роботам, грн.( без ПДВ):</t>
  </si>
  <si>
    <t xml:space="preserve">Підключення кабелю електроживлення від виведення (зі стелі) до столу відкритої викладки через колодку на 6 гнізд </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</si>
  <si>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</si>
  <si>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</si>
  <si>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</si>
  <si>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Доставка меблів (Бориспільский р-н с. Мартусівка Моїсеєва 72)</t>
  </si>
  <si>
    <t>Вивіз сміття (машина до 5 т)</t>
  </si>
  <si>
    <t>Демонтаж електропроводки до 100м2 ( прибрати кабель по стелі,знеструмити, обризати кабель в стінах,прибрати кабель)</t>
  </si>
  <si>
    <t>Кабель спиральный OLFLEX SPIRAL 400 P 3G1/1000</t>
  </si>
  <si>
    <t>LED світильник LightMaster LLT201, потужність 30Вт,  4000K</t>
  </si>
  <si>
    <t>Фарба інтер'єрна акрилова  RAL 7047 ( в акті розписати)</t>
  </si>
  <si>
    <t>Фарба інтер'єрна акрилова  RAL 3020 ( в акті розписати)</t>
  </si>
  <si>
    <t>км</t>
  </si>
  <si>
    <t>Монтаж прожекторів</t>
  </si>
  <si>
    <t>трос оцинкований д3 мм 3 п.м. din3055</t>
  </si>
  <si>
    <t>кутник перфорований profstal асиметричний 100*50*35</t>
  </si>
  <si>
    <t>ВСЬОГО  ВАРТІСТЬ Демонтажні роботи, грн.( без ПДВ):</t>
  </si>
  <si>
    <t xml:space="preserve">Ceresit СТ 17/10 Глибокопроникаюча грунтовка </t>
  </si>
  <si>
    <t>Шпаклівка Knauf НР FINISH 25 кг</t>
  </si>
  <si>
    <t xml:space="preserve">Автоматичний вимикач Schneider Electric 16 A </t>
  </si>
  <si>
    <t xml:space="preserve">Автоматичний вимикач Schneider Electric 10 A </t>
  </si>
  <si>
    <t>Монтаж світильних растрових 600х600 (аваріних від ДГ)</t>
  </si>
  <si>
    <t>копм</t>
  </si>
  <si>
    <t>Стрічка самоклейка 48*300м*40мік</t>
  </si>
  <si>
    <t>Монтаж вогнегасника</t>
  </si>
  <si>
    <t>Вогнегасник ВП5 (матеріал замовника)</t>
  </si>
  <si>
    <t xml:space="preserve">Дюбель для гіпсокартону MOLLY 5x65 мм 4 шт. Expert Fix </t>
  </si>
  <si>
    <t xml:space="preserve">Монтаж ТВ на підвісах </t>
  </si>
  <si>
    <t xml:space="preserve">дефектний акт </t>
  </si>
  <si>
    <t xml:space="preserve">Монтаж автматичного вимикача </t>
  </si>
  <si>
    <t>Монтаж шинопроводу</t>
  </si>
  <si>
    <t xml:space="preserve">Зєднувач лінійний, </t>
  </si>
  <si>
    <t>Найменування будови та її адреса : Відкриття магазину за адресою, м.Бровари, вул. Київська 241</t>
  </si>
  <si>
    <t>Демонтаж внутішнього блоку кондиціонеру</t>
  </si>
  <si>
    <t>демонтаж міжкімнатних дверей</t>
  </si>
  <si>
    <t>Саморез со сверлом по металу 3.5x9 мм 50 шт</t>
  </si>
  <si>
    <t>Дюбель ударний потай 6x60 мм 100 шт.</t>
  </si>
  <si>
    <t>Шпаклівка Knauf FUGENFULLER 25 кг</t>
  </si>
  <si>
    <t>Лист 8мм</t>
  </si>
  <si>
    <t>Профіль BauGut ARMOSTEEL CW 75/4 м</t>
  </si>
  <si>
    <t xml:space="preserve">Профіль BauGut ARMOSTEEL UW 75/3 м </t>
  </si>
  <si>
    <t xml:space="preserve">Встановлення дерев'яних дверних блоків  </t>
  </si>
  <si>
    <t>Дверне полотно ОМіС Cortex глухе (гладке) ПГ 800 мм білий silk matt</t>
  </si>
  <si>
    <t>Дверна коробка ОМіС Cortex 2070х100 мм білий silk matt</t>
  </si>
  <si>
    <t>комл</t>
  </si>
  <si>
    <t>Лиштва прямокутна Cortex ПВХ (компл 2,5 шт.) ОМіС 8х70х2200 мм білий silk matt</t>
  </si>
  <si>
    <t>компл</t>
  </si>
  <si>
    <t>Комплект фурнітури циліндровий MVM A-2004 PZ SN/CP 62,5 мм матовий нікель/полірований хром без петель</t>
  </si>
  <si>
    <t>Петля для дверей накладна</t>
  </si>
  <si>
    <t>Пергородка битової із ГКЛ в один шар з обох боків</t>
  </si>
  <si>
    <t>Гіпсокартон  Knauf 2500x1200х12,5 мм 3 кв. м</t>
  </si>
  <si>
    <t>труба 100х50х3</t>
  </si>
  <si>
    <t>Влаштування отвору в цегляній перегородкці з підсиленням</t>
  </si>
  <si>
    <t>кутик 50х50х3</t>
  </si>
  <si>
    <t xml:space="preserve">Шпаклювання стін і перегородок  (2 разова шпаклівка  грунтовка і шліфування) </t>
  </si>
  <si>
    <t xml:space="preserve"> Шпаклювання стін і перегородок з розчишенням  до 30% (1-но разова шпаклівка  грунтовка і шліфування)</t>
  </si>
  <si>
    <t>Шпаклівка akril-putzs 27 кг</t>
  </si>
  <si>
    <t>Монтаж шафи СКС</t>
  </si>
  <si>
    <t>Комутаційна шафа</t>
  </si>
  <si>
    <t>Миття скляних вітрин з обох боків з їх очищенням  (вартість моючих входить в вартість)</t>
  </si>
  <si>
    <t>Післябудівельне прибирання</t>
  </si>
  <si>
    <t>Закриття плівкою стелі і фасаду</t>
  </si>
  <si>
    <t>Плівка поліетиленова 100 мк 1,5 м 100 пог.м 300 кв. м Прозорий</t>
  </si>
  <si>
    <t>Лоток перфорований 100х50х3000 ДКС</t>
  </si>
  <si>
    <t>Монтаж кабельного лотку</t>
  </si>
  <si>
    <t xml:space="preserve">Підключення кабелю електроживлення від виведення (зі стіни) до столу відкритої викладки </t>
  </si>
  <si>
    <t>Монтаж лінійних світильників на підвісах</t>
  </si>
  <si>
    <t>Світильник лінійний в комплекті (в акті розписати)</t>
  </si>
  <si>
    <t>Анкер распорный 10x77 мм EXPERT FIX</t>
  </si>
  <si>
    <t>Роботи по заміру опору ізоляції електропроводки з наданням технічного звіту (2 екз.)</t>
  </si>
  <si>
    <t>Електротехнічний проект (виконавча документація) 2 екз.</t>
  </si>
  <si>
    <t>Шинопровід 1-фазний LightMaster CAB2000 200 см білий</t>
  </si>
  <si>
    <t>Підвіс для профнастилу</t>
  </si>
  <si>
    <t>комплект кріплень</t>
  </si>
  <si>
    <t xml:space="preserve">LED світильник 600x600 </t>
  </si>
  <si>
    <t>Монтаж розетки накладної</t>
  </si>
  <si>
    <t>Колодка 16 А 230 В с заземлением 6 гн. белый 90118600</t>
  </si>
  <si>
    <t>Трос оцинкованный 2 мм </t>
  </si>
  <si>
    <t>Кабель ВВГ нгд 3х10</t>
  </si>
  <si>
    <t>Стяжка для кабелю UP! (Underprice) нейлоновий 3.6x300 (100 шт./уп.) білий</t>
  </si>
  <si>
    <t>Труба гофрована UP! (Underprice) 350H 20 мм / 50 м</t>
  </si>
  <si>
    <t>Плитка Cersanit Henley  Grey 30x60</t>
  </si>
  <si>
    <t>Пергородка приміщення із ГКЛ в один шар з обох боків з металевим підсиленням</t>
  </si>
  <si>
    <t>лист 3мм</t>
  </si>
  <si>
    <t>Скляна вхідна група</t>
  </si>
  <si>
    <t>Роздвижна система</t>
  </si>
  <si>
    <t>комп</t>
  </si>
  <si>
    <t>Виготовлення декоративного карнізу по периметру зали для монтажу освітлення</t>
  </si>
  <si>
    <t>Гіпсокартон Тітан 2500*1200*12,5мм</t>
  </si>
  <si>
    <t>Саморез по металлу для гипсокартона 3,5x25 мм 1000 шт FS-3525 Koelner</t>
  </si>
  <si>
    <t>Кут оздоблювальний 25x15x2750 мм білий</t>
  </si>
  <si>
    <t>Клей-герметик Tytan FIX² Elastic</t>
  </si>
  <si>
    <t>профіль з лінзою ЛПУ 17 03002</t>
  </si>
  <si>
    <t>Кабель ШВВП 2*1</t>
  </si>
  <si>
    <t>Монтажна двостороння стрічка 3M VHB надміцна сіра 9 мм х 2 м товщина 1,1 мм</t>
  </si>
  <si>
    <t>Світлодіодна стрічка BIOM Стандарт 1 м Холодний білий (ST-12-2835-120-CW-20-V2)</t>
  </si>
  <si>
    <t>Вилка електрична кутова Makel із заземленням 250В 16А ABS</t>
  </si>
  <si>
    <t>Блок питания Ecolight 12 В 36 Вт IP20 SLIM</t>
  </si>
  <si>
    <t>Кабель силовий  3х1,5 мідь</t>
  </si>
  <si>
    <t>Монтаж та підключення  профілей з світлодіодною стрічкою</t>
  </si>
  <si>
    <t xml:space="preserve">Монтаж ПВХ плінтуса на саморізи </t>
  </si>
  <si>
    <t>Плінтус ПВХ TIS 18х56х2500 мм</t>
  </si>
  <si>
    <t>мп</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</si>
  <si>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</si>
  <si>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</si>
  <si>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</si>
  <si>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</si>
  <si>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</si>
  <si>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</si>
  <si>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Піна монтажна BauGut PRO 750 мл</t>
  </si>
  <si>
    <t>Сейф</t>
  </si>
  <si>
    <t>Анкер розпірний з болтом 10х80 EU 10x80 мм</t>
  </si>
  <si>
    <t>Розетка із заземленням Schneider Electric Прима без шторок білий WDE001080</t>
  </si>
  <si>
    <t>Рамка 4 посту Schneider Electric Asfora горизонтальна, білий</t>
  </si>
  <si>
    <t>Монтаж та кріплення анкерами сейфа/металлевої шкафи до стіни</t>
  </si>
  <si>
    <t>Комплект стільців</t>
  </si>
  <si>
    <t xml:space="preserve">Занос стільців </t>
  </si>
  <si>
    <t>Монтаж фільтра мережового 19"</t>
  </si>
  <si>
    <t>19" Patch Panel</t>
  </si>
  <si>
    <t>Блок 19" на 9 роз.</t>
  </si>
  <si>
    <t>Демонтаж світильників потолочних.</t>
  </si>
  <si>
    <t>Демонтаж керамічної плитки</t>
  </si>
  <si>
    <t xml:space="preserve">Укладання плитки с прирізкою (підготвка, грунтування, укладання,затирання швів)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</si>
</sst>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0">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u/>
      <sz val="11"/>
      <color theme="1"/>
      <name val="Times New Roman"/>
      <family val="1"/>
      <charset val="204"/>
    </font>
    <font>
      <sz val="11"/>
      <color indexed="8"/>
      <name val="Times New Roman"/>
      <family val="1"/>
      <charset val="204"/>
    </font>
    <font>
      <b/>
      <u/>
      <sz val="11"/>
      <color theme="1"/>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61">
    <xf numFmtId="0" fontId="0" fillId="0" borderId="0"/>
    <xf numFmtId="0" fontId="18" fillId="0" borderId="0"/>
    <xf numFmtId="0" fontId="16" fillId="0" borderId="0">
      <alignment horizontal="center" vertical="center"/>
    </xf>
    <xf numFmtId="164" fontId="1" fillId="0" borderId="0" applyFont="0" applyFill="0" applyBorder="0" applyAlignment="0" applyProtection="0"/>
    <xf numFmtId="0" fontId="3" fillId="0" borderId="0"/>
    <xf numFmtId="0" fontId="27" fillId="0" borderId="0">
      <alignment horizontal="left" vertical="top"/>
    </xf>
    <xf numFmtId="0" fontId="15" fillId="0" borderId="0" applyNumberFormat="0" applyFill="0" applyBorder="0" applyAlignment="0" applyProtection="0"/>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2"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3" fillId="0" borderId="0"/>
    <xf numFmtId="0" fontId="26" fillId="0" borderId="0">
      <alignment horizontal="left" vertical="top"/>
    </xf>
    <xf numFmtId="0" fontId="21" fillId="0" borderId="0">
      <alignment horizontal="center" vertical="top"/>
    </xf>
    <xf numFmtId="0" fontId="31" fillId="0" borderId="0"/>
    <xf numFmtId="0" fontId="3"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1"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3"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1" fillId="0" borderId="0" applyFont="0" applyFill="0" applyBorder="0" applyAlignment="0" applyProtection="0"/>
    <xf numFmtId="0" fontId="43" fillId="0" borderId="0">
      <protection locked="0"/>
    </xf>
    <xf numFmtId="0" fontId="43" fillId="0" borderId="0"/>
    <xf numFmtId="0" fontId="45" fillId="0" borderId="0"/>
  </cellStyleXfs>
  <cellXfs count="239">
    <xf numFmtId="0" fontId="0" fillId="0" borderId="0" xfId="0"/>
    <xf numFmtId="0" fontId="3" fillId="0" borderId="0" xfId="4" applyFont="1" applyFill="1" applyBorder="1"/>
    <xf numFmtId="0" fontId="4" fillId="0" borderId="0" xfId="49"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10" applyFont="1"/>
    <xf numFmtId="0" fontId="10" fillId="0" borderId="0" xfId="10" applyFont="1"/>
    <xf numFmtId="0" fontId="4" fillId="0" borderId="0" xfId="49" applyFont="1" applyFill="1" applyAlignment="1">
      <alignment horizontal="center" vertical="top" wrapText="1"/>
    </xf>
    <xf numFmtId="0" fontId="10" fillId="0" borderId="0" xfId="10" applyFont="1" applyAlignment="1">
      <alignment horizontal="center" vertical="top" wrapText="1"/>
    </xf>
    <xf numFmtId="0" fontId="10" fillId="0" borderId="0" xfId="10" applyFont="1" applyAlignment="1">
      <alignment wrapText="1"/>
    </xf>
    <xf numFmtId="0" fontId="8" fillId="0" borderId="1" xfId="10" applyFont="1" applyBorder="1"/>
    <xf numFmtId="0" fontId="5" fillId="0" borderId="1" xfId="10" applyFont="1" applyBorder="1" applyAlignment="1">
      <alignment horizontal="center" vertical="center"/>
    </xf>
    <xf numFmtId="0" fontId="10" fillId="0" borderId="13" xfId="10" applyFont="1" applyBorder="1"/>
    <xf numFmtId="0" fontId="10" fillId="0" borderId="0" xfId="10" applyFont="1" applyBorder="1"/>
    <xf numFmtId="0" fontId="10" fillId="0" borderId="0" xfId="10" applyFont="1" applyBorder="1" applyAlignment="1">
      <alignment horizontal="left" wrapText="1"/>
    </xf>
    <xf numFmtId="0" fontId="10" fillId="0" borderId="0" xfId="10" applyFont="1" applyBorder="1" applyAlignment="1">
      <alignment horizontal="left"/>
    </xf>
    <xf numFmtId="0" fontId="8" fillId="0" borderId="0" xfId="10" applyFont="1" applyBorder="1"/>
    <xf numFmtId="0" fontId="42" fillId="4" borderId="1" xfId="49" applyFont="1" applyFill="1" applyBorder="1" applyAlignment="1">
      <alignment horizontal="left" wrapText="1"/>
    </xf>
    <xf numFmtId="4" fontId="42" fillId="4" borderId="1" xfId="49" applyNumberFormat="1" applyFont="1" applyFill="1" applyBorder="1" applyAlignment="1">
      <alignment horizontal="left" wrapText="1"/>
    </xf>
    <xf numFmtId="4" fontId="42" fillId="4" borderId="1" xfId="49" applyNumberFormat="1" applyFont="1" applyFill="1" applyBorder="1" applyAlignment="1">
      <alignment horizontal="left"/>
    </xf>
    <xf numFmtId="0" fontId="42" fillId="4" borderId="1" xfId="49" applyFont="1" applyFill="1" applyBorder="1" applyAlignment="1">
      <alignment horizontal="center" vertical="center" wrapText="1"/>
    </xf>
    <xf numFmtId="4" fontId="42" fillId="4" borderId="1" xfId="49" applyNumberFormat="1" applyFont="1" applyFill="1" applyBorder="1" applyAlignment="1">
      <alignment horizontal="center" vertical="center" wrapText="1"/>
    </xf>
    <xf numFmtId="4" fontId="42" fillId="4" borderId="1" xfId="49" applyNumberFormat="1" applyFont="1" applyFill="1" applyBorder="1" applyAlignment="1">
      <alignment horizontal="center" vertical="center"/>
    </xf>
    <xf numFmtId="49" fontId="42" fillId="4" borderId="1" xfId="49" applyNumberFormat="1" applyFont="1" applyFill="1" applyBorder="1" applyAlignment="1" applyProtection="1">
      <alignment horizontal="left" wrapText="1"/>
      <protection locked="0"/>
    </xf>
    <xf numFmtId="49" fontId="42" fillId="4" borderId="1" xfId="49" applyNumberFormat="1" applyFont="1" applyFill="1" applyBorder="1" applyAlignment="1" applyProtection="1">
      <alignment horizontal="center" vertical="center" wrapText="1"/>
      <protection locked="0"/>
    </xf>
    <xf numFmtId="0" fontId="44" fillId="9" borderId="1" xfId="20" applyFont="1" applyFill="1" applyBorder="1" applyAlignment="1" applyProtection="1">
      <alignment horizontal="left" wrapText="1"/>
    </xf>
    <xf numFmtId="0" fontId="44" fillId="9" borderId="1" xfId="29" applyFont="1" applyFill="1" applyBorder="1" applyAlignment="1" applyProtection="1">
      <alignment horizontal="center" vertical="center" wrapText="1"/>
    </xf>
    <xf numFmtId="4" fontId="44" fillId="9" borderId="1" xfId="49" applyNumberFormat="1" applyFont="1" applyFill="1" applyBorder="1" applyAlignment="1">
      <alignment horizontal="center" vertical="center" wrapText="1"/>
    </xf>
    <xf numFmtId="0" fontId="44" fillId="9" borderId="1" xfId="20" applyFont="1" applyFill="1" applyBorder="1" applyAlignment="1" applyProtection="1">
      <alignment horizontal="left" vertical="center" wrapText="1"/>
    </xf>
    <xf numFmtId="49" fontId="44" fillId="9" borderId="1" xfId="49" applyNumberFormat="1" applyFont="1" applyFill="1" applyBorder="1" applyAlignment="1" applyProtection="1">
      <alignment horizontal="center" vertical="center" wrapText="1"/>
      <protection locked="0"/>
    </xf>
    <xf numFmtId="4" fontId="44" fillId="9" borderId="1" xfId="49" applyNumberFormat="1" applyFont="1" applyFill="1" applyBorder="1" applyAlignment="1">
      <alignment horizontal="center" vertical="center"/>
    </xf>
    <xf numFmtId="0" fontId="44" fillId="9" borderId="1" xfId="49" applyFont="1" applyFill="1" applyBorder="1" applyAlignment="1">
      <alignment horizontal="left" wrapText="1"/>
    </xf>
    <xf numFmtId="0" fontId="42" fillId="0" borderId="0" xfId="0" applyFont="1"/>
    <xf numFmtId="0" fontId="44" fillId="3" borderId="1" xfId="49" applyFont="1" applyFill="1" applyBorder="1" applyAlignment="1">
      <alignment horizontal="center" wrapText="1"/>
    </xf>
    <xf numFmtId="0" fontId="44" fillId="3" borderId="1" xfId="49" applyFont="1" applyFill="1" applyBorder="1" applyAlignment="1">
      <alignment horizontal="left"/>
    </xf>
    <xf numFmtId="0" fontId="44" fillId="3" borderId="1" xfId="49" applyFont="1" applyFill="1" applyBorder="1" applyAlignment="1">
      <alignment horizontal="left" wrapText="1"/>
    </xf>
    <xf numFmtId="4" fontId="44" fillId="3" borderId="1" xfId="49" applyNumberFormat="1" applyFont="1" applyFill="1" applyBorder="1" applyAlignment="1">
      <alignment horizontal="left" wrapText="1"/>
    </xf>
    <xf numFmtId="4" fontId="44" fillId="3" borderId="1" xfId="49" applyNumberFormat="1" applyFont="1" applyFill="1" applyBorder="1" applyAlignment="1">
      <alignment horizontal="center" wrapText="1"/>
    </xf>
    <xf numFmtId="0" fontId="42" fillId="0" borderId="0" xfId="0" applyFont="1" applyFill="1"/>
    <xf numFmtId="4" fontId="42" fillId="4" borderId="1" xfId="49" applyNumberFormat="1" applyFont="1" applyFill="1" applyBorder="1" applyAlignment="1">
      <alignment horizontal="center" wrapText="1"/>
    </xf>
    <xf numFmtId="0" fontId="42" fillId="4" borderId="0" xfId="0" applyFont="1" applyFill="1"/>
    <xf numFmtId="0" fontId="42" fillId="4" borderId="1" xfId="0" applyFont="1" applyFill="1" applyBorder="1" applyAlignment="1">
      <alignment horizontal="left" vertical="top"/>
    </xf>
    <xf numFmtId="0" fontId="42" fillId="2" borderId="0" xfId="60" applyFont="1" applyFill="1" applyAlignment="1">
      <alignment horizontal="left" vertical="top"/>
    </xf>
    <xf numFmtId="4" fontId="42" fillId="0" borderId="0" xfId="0" applyNumberFormat="1" applyFont="1"/>
    <xf numFmtId="0" fontId="42" fillId="0" borderId="0" xfId="0" applyFont="1" applyAlignment="1">
      <alignment horizontal="center" vertical="center"/>
    </xf>
    <xf numFmtId="0" fontId="42" fillId="0" borderId="0" xfId="0" applyFont="1" applyAlignment="1">
      <alignment horizontal="center"/>
    </xf>
    <xf numFmtId="1" fontId="42" fillId="4" borderId="1" xfId="49" applyNumberFormat="1" applyFont="1" applyFill="1" applyBorder="1" applyAlignment="1">
      <alignment horizontal="center" vertical="center"/>
    </xf>
    <xf numFmtId="0" fontId="46" fillId="4" borderId="0" xfId="0" applyFont="1" applyFill="1"/>
    <xf numFmtId="0" fontId="46" fillId="0" borderId="0" xfId="0" applyFont="1"/>
    <xf numFmtId="0" fontId="46" fillId="0" borderId="0" xfId="0" applyFont="1" applyFill="1"/>
    <xf numFmtId="166" fontId="44" fillId="4" borderId="0" xfId="0" applyNumberFormat="1" applyFont="1" applyFill="1" applyAlignment="1">
      <alignment horizontal="center" vertical="center" wrapText="1"/>
    </xf>
    <xf numFmtId="0" fontId="42" fillId="0" borderId="1" xfId="0" applyFont="1" applyFill="1" applyBorder="1" applyAlignment="1">
      <alignment horizontal="left"/>
    </xf>
    <xf numFmtId="0" fontId="42" fillId="0" borderId="1" xfId="0" applyFont="1" applyBorder="1" applyAlignment="1">
      <alignment horizontal="center" vertical="center"/>
    </xf>
    <xf numFmtId="0" fontId="42" fillId="0" borderId="1" xfId="0" applyFont="1" applyBorder="1" applyAlignment="1">
      <alignment horizontal="left"/>
    </xf>
    <xf numFmtId="0" fontId="42" fillId="0" borderId="1" xfId="0" applyFont="1" applyBorder="1" applyAlignment="1">
      <alignment horizontal="center"/>
    </xf>
    <xf numFmtId="4" fontId="42" fillId="2" borderId="1" xfId="49" applyNumberFormat="1" applyFont="1" applyFill="1" applyBorder="1" applyAlignment="1">
      <alignment horizontal="center" vertical="center"/>
    </xf>
    <xf numFmtId="0" fontId="44" fillId="2" borderId="1" xfId="49" applyFont="1" applyFill="1" applyBorder="1" applyAlignment="1">
      <alignment horizontal="left" wrapText="1"/>
    </xf>
    <xf numFmtId="0" fontId="44" fillId="2" borderId="1" xfId="49" applyFont="1" applyFill="1" applyBorder="1" applyAlignment="1">
      <alignment horizontal="center" vertical="center" wrapText="1"/>
    </xf>
    <xf numFmtId="166" fontId="42" fillId="2" borderId="1" xfId="49" applyNumberFormat="1" applyFont="1" applyFill="1" applyBorder="1" applyAlignment="1">
      <alignment horizontal="center" vertical="center"/>
    </xf>
    <xf numFmtId="166" fontId="44" fillId="2" borderId="1" xfId="49" applyNumberFormat="1" applyFont="1" applyFill="1" applyBorder="1" applyAlignment="1">
      <alignment horizontal="center" vertical="center"/>
    </xf>
    <xf numFmtId="4" fontId="42" fillId="2" borderId="1" xfId="49" applyNumberFormat="1" applyFont="1" applyFill="1" applyBorder="1" applyAlignment="1">
      <alignment horizontal="left" wrapText="1"/>
    </xf>
    <xf numFmtId="4" fontId="42" fillId="2" borderId="1" xfId="49" applyNumberFormat="1" applyFont="1" applyFill="1" applyBorder="1" applyAlignment="1">
      <alignment horizontal="center" wrapText="1"/>
    </xf>
    <xf numFmtId="4" fontId="44" fillId="2" borderId="1" xfId="49" applyNumberFormat="1" applyFont="1" applyFill="1" applyBorder="1" applyAlignment="1">
      <alignment horizontal="center" vertical="center"/>
    </xf>
    <xf numFmtId="0" fontId="44" fillId="2" borderId="1" xfId="29" applyFont="1" applyFill="1" applyBorder="1" applyAlignment="1">
      <alignment horizontal="left" wrapText="1"/>
    </xf>
    <xf numFmtId="10" fontId="44" fillId="2" borderId="1" xfId="49" applyNumberFormat="1" applyFont="1" applyFill="1" applyBorder="1" applyAlignment="1">
      <alignment horizontal="center" vertical="center" wrapText="1"/>
    </xf>
    <xf numFmtId="9" fontId="44" fillId="2" borderId="1" xfId="49" applyNumberFormat="1" applyFont="1" applyFill="1" applyBorder="1" applyAlignment="1">
      <alignment horizontal="center" vertical="center" wrapText="1"/>
    </xf>
    <xf numFmtId="4" fontId="42" fillId="2" borderId="1" xfId="49" applyNumberFormat="1" applyFont="1" applyFill="1" applyBorder="1" applyAlignment="1">
      <alignment horizontal="left"/>
    </xf>
    <xf numFmtId="4" fontId="42" fillId="2" borderId="1" xfId="49" applyNumberFormat="1" applyFont="1" applyFill="1" applyBorder="1" applyAlignment="1">
      <alignment horizontal="center"/>
    </xf>
    <xf numFmtId="0" fontId="44" fillId="2" borderId="1" xfId="49" applyFont="1" applyFill="1" applyBorder="1" applyAlignment="1">
      <alignment horizontal="left"/>
    </xf>
    <xf numFmtId="0" fontId="42" fillId="2" borderId="1" xfId="49" applyFont="1" applyFill="1" applyBorder="1" applyAlignment="1">
      <alignment horizontal="center" vertical="center"/>
    </xf>
    <xf numFmtId="0" fontId="42" fillId="2" borderId="1" xfId="49" applyFont="1" applyFill="1" applyBorder="1" applyAlignment="1">
      <alignment horizontal="left"/>
    </xf>
    <xf numFmtId="0" fontId="42" fillId="2" borderId="1" xfId="49" applyFont="1" applyFill="1" applyBorder="1" applyAlignment="1">
      <alignment horizontal="center"/>
    </xf>
    <xf numFmtId="0" fontId="42" fillId="0" borderId="0" xfId="49" applyFont="1" applyAlignment="1">
      <alignment horizontal="left" vertical="top"/>
    </xf>
    <xf numFmtId="0" fontId="42" fillId="0" borderId="0" xfId="49" applyFont="1" applyAlignment="1">
      <alignment horizontal="center" vertical="top"/>
    </xf>
    <xf numFmtId="0" fontId="42" fillId="0" borderId="0" xfId="49" applyFont="1" applyAlignment="1">
      <alignment vertical="top"/>
    </xf>
    <xf numFmtId="166" fontId="42" fillId="0" borderId="0" xfId="49" applyNumberFormat="1" applyFont="1" applyAlignment="1">
      <alignment horizontal="center" vertical="center"/>
    </xf>
    <xf numFmtId="0" fontId="44" fillId="4" borderId="1" xfId="49" applyFont="1" applyFill="1" applyBorder="1" applyAlignment="1">
      <alignment horizontal="center" wrapText="1"/>
    </xf>
    <xf numFmtId="166" fontId="42" fillId="0" borderId="1" xfId="49" applyNumberFormat="1" applyFont="1" applyFill="1" applyBorder="1" applyAlignment="1">
      <alignment horizontal="center" vertical="center" wrapText="1"/>
    </xf>
    <xf numFmtId="2" fontId="42" fillId="4" borderId="1" xfId="0" applyNumberFormat="1" applyFont="1" applyFill="1" applyBorder="1" applyAlignment="1">
      <alignment horizontal="center" vertical="top"/>
    </xf>
    <xf numFmtId="0" fontId="42" fillId="4" borderId="1" xfId="0" applyFont="1" applyFill="1" applyBorder="1" applyAlignment="1">
      <alignment horizontal="center" vertical="top"/>
    </xf>
    <xf numFmtId="0" fontId="42" fillId="4" borderId="17" xfId="49" applyFont="1" applyFill="1" applyBorder="1" applyAlignment="1">
      <alignment horizontal="center" vertical="center" wrapText="1"/>
    </xf>
    <xf numFmtId="4" fontId="42" fillId="4" borderId="17" xfId="49" applyNumberFormat="1" applyFont="1" applyFill="1" applyBorder="1" applyAlignment="1">
      <alignment horizontal="center" vertical="center" wrapText="1"/>
    </xf>
    <xf numFmtId="0" fontId="42" fillId="4" borderId="1" xfId="9" applyFont="1" applyFill="1" applyBorder="1" applyAlignment="1">
      <alignment horizontal="left" wrapText="1"/>
    </xf>
    <xf numFmtId="0" fontId="42" fillId="4" borderId="1" xfId="9" applyFont="1" applyFill="1" applyBorder="1" applyAlignment="1">
      <alignment horizontal="center" vertical="center" wrapText="1"/>
    </xf>
    <xf numFmtId="166" fontId="42" fillId="4" borderId="1" xfId="9" applyNumberFormat="1" applyFont="1" applyFill="1" applyBorder="1" applyAlignment="1">
      <alignment horizontal="center" vertical="center"/>
    </xf>
    <xf numFmtId="166" fontId="42" fillId="4" borderId="1" xfId="49" applyNumberFormat="1" applyFont="1" applyFill="1" applyBorder="1" applyAlignment="1">
      <alignment horizontal="center" vertical="center" wrapText="1"/>
    </xf>
    <xf numFmtId="0" fontId="42" fillId="4" borderId="1" xfId="0" applyFont="1" applyFill="1" applyBorder="1" applyAlignment="1">
      <alignment horizontal="left" vertical="top" wrapText="1"/>
    </xf>
    <xf numFmtId="166" fontId="42" fillId="9" borderId="1" xfId="9" applyNumberFormat="1" applyFont="1" applyFill="1" applyBorder="1" applyAlignment="1" applyProtection="1">
      <alignment horizontal="center" vertical="center" wrapText="1"/>
      <protection locked="0"/>
    </xf>
    <xf numFmtId="166" fontId="44" fillId="9" borderId="1" xfId="9" applyNumberFormat="1" applyFont="1" applyFill="1" applyBorder="1" applyAlignment="1" applyProtection="1">
      <alignment horizontal="center" vertical="center" wrapText="1"/>
      <protection locked="0"/>
    </xf>
    <xf numFmtId="0" fontId="44" fillId="4" borderId="1" xfId="49" applyFont="1" applyFill="1" applyBorder="1" applyAlignment="1">
      <alignment horizontal="left" wrapText="1"/>
    </xf>
    <xf numFmtId="49" fontId="42" fillId="0" borderId="1" xfId="49" applyNumberFormat="1" applyFont="1" applyFill="1" applyBorder="1" applyAlignment="1" applyProtection="1">
      <alignment horizontal="center" vertical="center" wrapText="1"/>
      <protection locked="0"/>
    </xf>
    <xf numFmtId="166" fontId="42" fillId="4" borderId="1" xfId="0" applyNumberFormat="1" applyFont="1" applyFill="1" applyBorder="1" applyAlignment="1">
      <alignment horizontal="center" vertical="center"/>
    </xf>
    <xf numFmtId="166" fontId="42" fillId="4" borderId="1" xfId="49" applyNumberFormat="1" applyFont="1" applyFill="1" applyBorder="1" applyAlignment="1">
      <alignment horizontal="center" vertical="center"/>
    </xf>
    <xf numFmtId="166" fontId="42" fillId="0" borderId="1" xfId="49" applyNumberFormat="1" applyFont="1" applyFill="1" applyBorder="1" applyAlignment="1">
      <alignment horizontal="center" vertical="center"/>
    </xf>
    <xf numFmtId="166" fontId="42" fillId="4" borderId="1" xfId="0" applyNumberFormat="1" applyFont="1" applyFill="1" applyBorder="1" applyAlignment="1">
      <alignment horizontal="left" vertical="center" wrapText="1"/>
    </xf>
    <xf numFmtId="166" fontId="42" fillId="4" borderId="1" xfId="9" applyNumberFormat="1" applyFont="1" applyFill="1" applyBorder="1" applyAlignment="1" applyProtection="1">
      <alignment horizontal="center" vertical="center" wrapText="1"/>
      <protection locked="0"/>
    </xf>
    <xf numFmtId="49" fontId="42" fillId="4" borderId="1" xfId="49" applyNumberFormat="1" applyFont="1" applyFill="1" applyBorder="1" applyAlignment="1" applyProtection="1">
      <alignment horizontal="left" vertical="center" wrapText="1"/>
      <protection locked="0"/>
    </xf>
    <xf numFmtId="49" fontId="42" fillId="4" borderId="1" xfId="49" applyNumberFormat="1" applyFont="1" applyFill="1" applyBorder="1" applyAlignment="1" applyProtection="1">
      <alignment horizontal="left" vertical="top"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29" applyFont="1" applyFill="1" applyBorder="1" applyAlignment="1" applyProtection="1">
      <alignment horizontal="center" vertical="center" wrapText="1"/>
    </xf>
    <xf numFmtId="166" fontId="42" fillId="9" borderId="1" xfId="49" applyNumberFormat="1" applyFont="1" applyFill="1" applyBorder="1" applyAlignment="1">
      <alignment horizontal="center" vertical="center" wrapText="1"/>
    </xf>
    <xf numFmtId="0" fontId="42" fillId="4" borderId="0" xfId="49" applyFont="1" applyFill="1" applyBorder="1" applyAlignment="1">
      <alignment horizontal="left" wrapText="1"/>
    </xf>
    <xf numFmtId="0" fontId="42" fillId="4" borderId="1" xfId="49"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7" fillId="0" borderId="0" xfId="6" applyFont="1"/>
    <xf numFmtId="2" fontId="42" fillId="4" borderId="1" xfId="49" applyNumberFormat="1" applyFont="1" applyFill="1" applyBorder="1" applyAlignment="1" applyProtection="1">
      <alignment horizontal="center" vertical="center" wrapText="1"/>
      <protection locked="0"/>
    </xf>
    <xf numFmtId="0" fontId="42" fillId="4" borderId="1" xfId="0" applyFont="1" applyFill="1" applyBorder="1" applyAlignment="1">
      <alignment horizontal="left" vertical="center" wrapText="1"/>
    </xf>
    <xf numFmtId="0" fontId="46" fillId="0" borderId="0" xfId="0" applyFont="1" applyFill="1" applyAlignment="1">
      <alignment horizontal="left" vertical="center"/>
    </xf>
    <xf numFmtId="0" fontId="46" fillId="4" borderId="1" xfId="49" applyFont="1" applyFill="1" applyBorder="1" applyAlignment="1">
      <alignment horizontal="center" vertical="center" wrapText="1"/>
    </xf>
    <xf numFmtId="0" fontId="42" fillId="4" borderId="1" xfId="0" applyFont="1" applyFill="1" applyBorder="1" applyAlignment="1">
      <alignment wrapText="1"/>
    </xf>
    <xf numFmtId="0" fontId="42" fillId="4" borderId="16" xfId="49" applyFont="1" applyFill="1" applyBorder="1" applyAlignment="1">
      <alignment horizontal="center" vertical="center" wrapText="1"/>
    </xf>
    <xf numFmtId="0" fontId="42" fillId="0" borderId="1" xfId="0" applyFont="1" applyFill="1" applyBorder="1" applyAlignment="1">
      <alignment horizontal="left" vertical="center" wrapText="1"/>
    </xf>
    <xf numFmtId="166" fontId="46" fillId="0" borderId="1" xfId="49" applyNumberFormat="1" applyFont="1" applyFill="1" applyBorder="1" applyAlignment="1">
      <alignment horizontal="center" vertical="center" wrapText="1"/>
    </xf>
    <xf numFmtId="166" fontId="48" fillId="4" borderId="1" xfId="49" applyNumberFormat="1" applyFont="1" applyFill="1" applyBorder="1" applyAlignment="1">
      <alignment horizontal="center" vertical="center" wrapText="1"/>
    </xf>
    <xf numFmtId="166" fontId="46" fillId="4" borderId="1" xfId="49" applyNumberFormat="1" applyFont="1" applyFill="1" applyBorder="1" applyAlignment="1">
      <alignment horizontal="center" vertical="center" wrapText="1"/>
    </xf>
    <xf numFmtId="0" fontId="42" fillId="0" borderId="0" xfId="0" applyFont="1" applyFill="1" applyAlignment="1">
      <alignment horizontal="left" vertical="center"/>
    </xf>
    <xf numFmtId="0" fontId="44" fillId="9" borderId="1" xfId="49" applyFont="1" applyFill="1" applyBorder="1" applyAlignment="1">
      <alignment horizontal="center" wrapText="1"/>
    </xf>
    <xf numFmtId="166" fontId="44" fillId="9" borderId="1" xfId="49" applyNumberFormat="1" applyFont="1" applyFill="1" applyBorder="1" applyAlignment="1">
      <alignment horizontal="center" vertical="center" wrapText="1"/>
    </xf>
    <xf numFmtId="0" fontId="42" fillId="4" borderId="1" xfId="58" applyFont="1" applyFill="1" applyBorder="1" applyAlignment="1" applyProtection="1">
      <alignment horizontal="left" vertical="center" wrapText="1"/>
    </xf>
    <xf numFmtId="0" fontId="42" fillId="4" borderId="1" xfId="59" applyFont="1" applyFill="1" applyBorder="1" applyAlignment="1" applyProtection="1">
      <alignment horizontal="center" vertical="center" wrapText="1"/>
    </xf>
    <xf numFmtId="166" fontId="42" fillId="4" borderId="1" xfId="3" applyNumberFormat="1" applyFont="1" applyFill="1" applyBorder="1" applyAlignment="1">
      <alignment horizontal="center" vertical="center" wrapText="1"/>
    </xf>
    <xf numFmtId="9" fontId="42" fillId="4" borderId="1" xfId="49" applyNumberFormat="1" applyFont="1" applyFill="1" applyBorder="1" applyAlignment="1">
      <alignment horizontal="center" vertical="center" wrapText="1"/>
    </xf>
    <xf numFmtId="166" fontId="42" fillId="9" borderId="1" xfId="49" applyNumberFormat="1" applyFont="1" applyFill="1" applyBorder="1" applyAlignment="1">
      <alignment horizontal="center" vertical="center"/>
    </xf>
    <xf numFmtId="0" fontId="49" fillId="2" borderId="0" xfId="49" applyFont="1" applyFill="1" applyBorder="1" applyAlignment="1">
      <alignment horizontal="left"/>
    </xf>
    <xf numFmtId="0" fontId="49" fillId="0" borderId="0" xfId="49" applyFont="1" applyFill="1" applyBorder="1" applyAlignment="1">
      <alignment horizontal="left" vertical="top" wrapText="1"/>
    </xf>
    <xf numFmtId="0" fontId="46" fillId="4" borderId="1" xfId="0" applyFont="1" applyFill="1" applyBorder="1" applyAlignment="1">
      <alignment vertical="center" wrapText="1"/>
    </xf>
    <xf numFmtId="0" fontId="44" fillId="9" borderId="14" xfId="49" applyFont="1" applyFill="1" applyBorder="1" applyAlignment="1">
      <alignment horizontal="left" wrapText="1"/>
    </xf>
    <xf numFmtId="0" fontId="46" fillId="4" borderId="0" xfId="0" applyFont="1" applyFill="1" applyAlignment="1">
      <alignment horizontal="left" vertical="center"/>
    </xf>
    <xf numFmtId="4" fontId="46" fillId="4" borderId="1" xfId="49" applyNumberFormat="1" applyFont="1" applyFill="1" applyBorder="1" applyAlignment="1">
      <alignment horizontal="center" vertical="center" wrapText="1"/>
    </xf>
    <xf numFmtId="0" fontId="42" fillId="0" borderId="0" xfId="0" applyFont="1" applyFill="1" applyBorder="1" applyAlignment="1">
      <alignment horizontal="left"/>
    </xf>
    <xf numFmtId="166" fontId="46" fillId="4" borderId="1" xfId="49"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0" fontId="46" fillId="4" borderId="1" xfId="0" applyFont="1" applyFill="1" applyBorder="1"/>
    <xf numFmtId="0" fontId="44" fillId="4" borderId="17" xfId="49" applyFont="1" applyFill="1" applyBorder="1" applyAlignment="1">
      <alignment horizontal="left" wrapText="1"/>
    </xf>
    <xf numFmtId="0" fontId="44" fillId="4" borderId="17" xfId="49" applyFont="1" applyFill="1" applyBorder="1" applyAlignment="1">
      <alignment horizontal="center" wrapText="1"/>
    </xf>
    <xf numFmtId="166" fontId="44" fillId="4" borderId="17" xfId="49" applyNumberFormat="1" applyFont="1" applyFill="1" applyBorder="1" applyAlignment="1">
      <alignment horizontal="center" wrapText="1"/>
    </xf>
    <xf numFmtId="166" fontId="44" fillId="4" borderId="17" xfId="49" applyNumberFormat="1" applyFont="1" applyFill="1" applyBorder="1" applyAlignment="1">
      <alignment horizontal="left" wrapText="1"/>
    </xf>
    <xf numFmtId="166" fontId="42" fillId="4" borderId="1" xfId="49" applyNumberFormat="1" applyFont="1" applyFill="1" applyBorder="1" applyAlignment="1">
      <alignment horizontal="left" vertical="center" wrapText="1"/>
    </xf>
    <xf numFmtId="166" fontId="46" fillId="4" borderId="1" xfId="49" applyNumberFormat="1" applyFont="1" applyFill="1" applyBorder="1" applyAlignment="1">
      <alignment horizontal="left" vertical="center"/>
    </xf>
    <xf numFmtId="166" fontId="42" fillId="4" borderId="1" xfId="49" applyNumberFormat="1" applyFont="1" applyFill="1" applyBorder="1" applyAlignment="1">
      <alignment horizontal="left" vertical="center"/>
    </xf>
    <xf numFmtId="166" fontId="46" fillId="4" borderId="1" xfId="49" applyNumberFormat="1" applyFont="1" applyFill="1" applyBorder="1" applyAlignment="1">
      <alignment horizontal="left" vertical="center" wrapText="1"/>
    </xf>
    <xf numFmtId="0" fontId="46" fillId="4" borderId="1" xfId="0" applyFont="1" applyFill="1" applyBorder="1" applyAlignment="1">
      <alignment horizontal="left" vertical="center"/>
    </xf>
    <xf numFmtId="0" fontId="42" fillId="4" borderId="1" xfId="49" applyFont="1" applyFill="1" applyBorder="1" applyAlignment="1">
      <alignment horizontal="center" wrapText="1"/>
    </xf>
    <xf numFmtId="0" fontId="42" fillId="0" borderId="0" xfId="0" applyFont="1" applyFill="1" applyBorder="1"/>
    <xf numFmtId="0" fontId="42" fillId="0" borderId="0" xfId="0" applyFont="1" applyBorder="1" applyAlignment="1">
      <alignment horizontal="center" vertic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2" fontId="46" fillId="4" borderId="1" xfId="49" applyNumberFormat="1" applyFont="1" applyFill="1" applyBorder="1" applyAlignment="1">
      <alignment horizontal="center" vertical="center" wrapText="1"/>
    </xf>
    <xf numFmtId="0" fontId="46" fillId="4" borderId="1" xfId="0" applyFont="1" applyFill="1" applyBorder="1" applyAlignment="1">
      <alignment horizontal="center" vertical="center"/>
    </xf>
    <xf numFmtId="2" fontId="42" fillId="4" borderId="16" xfId="49" applyNumberFormat="1" applyFont="1" applyFill="1" applyBorder="1" applyAlignment="1" applyProtection="1">
      <alignment horizontal="center" vertical="center" wrapText="1"/>
      <protection locked="0"/>
    </xf>
    <xf numFmtId="0" fontId="46" fillId="4" borderId="1" xfId="49" applyFont="1" applyFill="1" applyBorder="1" applyAlignment="1">
      <alignment horizontal="left" vertical="center" wrapText="1"/>
    </xf>
    <xf numFmtId="2" fontId="46" fillId="4" borderId="1" xfId="0" applyNumberFormat="1" applyFont="1" applyFill="1" applyBorder="1" applyAlignment="1">
      <alignment horizontal="left" vertical="center"/>
    </xf>
    <xf numFmtId="0" fontId="48" fillId="4" borderId="1" xfId="49" applyFont="1" applyFill="1" applyBorder="1" applyAlignment="1">
      <alignment horizontal="left" vertical="center" wrapText="1"/>
    </xf>
    <xf numFmtId="0" fontId="42" fillId="0" borderId="16" xfId="29" applyFont="1" applyFill="1" applyBorder="1" applyAlignment="1" applyProtection="1">
      <alignment horizontal="center" vertical="center" wrapText="1"/>
    </xf>
    <xf numFmtId="49" fontId="46" fillId="4" borderId="1" xfId="49" applyNumberFormat="1" applyFont="1" applyFill="1" applyBorder="1" applyAlignment="1" applyProtection="1">
      <alignment horizontal="left" vertical="center" wrapText="1"/>
      <protection locked="0"/>
    </xf>
    <xf numFmtId="0" fontId="42" fillId="4" borderId="16" xfId="20" applyFont="1" applyFill="1" applyBorder="1" applyAlignment="1" applyProtection="1">
      <alignment horizontal="left" vertical="top" wrapText="1"/>
    </xf>
    <xf numFmtId="49" fontId="46" fillId="4" borderId="1" xfId="49" applyNumberFormat="1" applyFont="1" applyFill="1" applyBorder="1" applyAlignment="1" applyProtection="1">
      <alignment horizontal="center" vertical="center" wrapText="1"/>
      <protection locked="0"/>
    </xf>
    <xf numFmtId="0" fontId="46" fillId="4" borderId="1" xfId="9" applyFont="1" applyFill="1" applyBorder="1" applyAlignment="1">
      <alignment horizontal="left" vertical="center" wrapText="1"/>
    </xf>
    <xf numFmtId="0" fontId="46" fillId="4" borderId="1" xfId="9" applyFont="1" applyFill="1" applyBorder="1" applyAlignment="1">
      <alignment horizontal="center" vertical="center" wrapText="1"/>
    </xf>
    <xf numFmtId="166" fontId="46" fillId="4" borderId="1" xfId="9" applyNumberFormat="1" applyFont="1" applyFill="1" applyBorder="1" applyAlignment="1">
      <alignment horizontal="left" vertical="center"/>
    </xf>
    <xf numFmtId="1" fontId="46" fillId="4" borderId="1" xfId="49" applyNumberFormat="1" applyFont="1" applyFill="1" applyBorder="1" applyAlignment="1">
      <alignment horizontal="left" vertical="center" wrapText="1"/>
    </xf>
    <xf numFmtId="1" fontId="46" fillId="4" borderId="1" xfId="49" applyNumberFormat="1" applyFont="1" applyFill="1" applyBorder="1" applyAlignment="1">
      <alignment horizontal="center" vertical="center" wrapText="1"/>
    </xf>
    <xf numFmtId="0" fontId="42" fillId="4" borderId="1" xfId="0" applyFont="1" applyFill="1" applyBorder="1" applyAlignment="1">
      <alignment horizontal="left" vertical="center"/>
    </xf>
    <xf numFmtId="0" fontId="46" fillId="4" borderId="1" xfId="20" applyFont="1" applyFill="1" applyBorder="1" applyAlignment="1" applyProtection="1">
      <alignment horizontal="left" vertical="center" wrapText="1"/>
    </xf>
    <xf numFmtId="0" fontId="46" fillId="4" borderId="1" xfId="20" applyFont="1" applyFill="1" applyBorder="1" applyAlignment="1" applyProtection="1">
      <alignment horizontal="center" vertical="center" wrapText="1"/>
    </xf>
    <xf numFmtId="0" fontId="46" fillId="4" borderId="1" xfId="29" applyFont="1" applyFill="1" applyBorder="1" applyAlignment="1" applyProtection="1">
      <alignment horizontal="center" vertical="center" wrapText="1"/>
    </xf>
    <xf numFmtId="166" fontId="42" fillId="4" borderId="1" xfId="49" applyNumberFormat="1" applyFont="1" applyFill="1" applyBorder="1" applyAlignment="1" applyProtection="1">
      <alignment horizontal="center" vertical="center" wrapText="1"/>
      <protection locked="0"/>
    </xf>
    <xf numFmtId="166" fontId="46" fillId="4" borderId="1" xfId="49" applyNumberFormat="1" applyFont="1" applyFill="1" applyBorder="1" applyAlignment="1" applyProtection="1">
      <alignment horizontal="center" vertical="center" wrapText="1"/>
      <protection locked="0"/>
    </xf>
    <xf numFmtId="0" fontId="46" fillId="4" borderId="1" xfId="49" applyFont="1" applyFill="1" applyBorder="1" applyAlignment="1">
      <alignment horizontal="left" vertical="center"/>
    </xf>
    <xf numFmtId="0" fontId="46" fillId="4" borderId="1" xfId="49" applyFont="1" applyFill="1" applyBorder="1" applyAlignment="1">
      <alignment horizontal="center" vertical="center"/>
    </xf>
    <xf numFmtId="166" fontId="46" fillId="4" borderId="1" xfId="9" applyNumberFormat="1" applyFont="1" applyFill="1" applyBorder="1" applyAlignment="1" applyProtection="1">
      <alignment horizontal="center" vertical="center" wrapText="1"/>
      <protection locked="0"/>
    </xf>
    <xf numFmtId="166" fontId="46" fillId="4" borderId="16" xfId="0" applyNumberFormat="1" applyFont="1" applyFill="1" applyBorder="1" applyAlignment="1">
      <alignment horizontal="center" vertical="center"/>
    </xf>
    <xf numFmtId="0" fontId="42" fillId="4" borderId="16" xfId="29" applyFont="1" applyFill="1" applyBorder="1" applyAlignment="1" applyProtection="1">
      <alignment horizontal="left" vertical="top" wrapText="1"/>
    </xf>
    <xf numFmtId="0" fontId="42" fillId="4" borderId="16" xfId="29" applyFont="1" applyFill="1" applyBorder="1" applyAlignment="1" applyProtection="1">
      <alignment horizontal="center" vertical="top" wrapText="1"/>
    </xf>
    <xf numFmtId="0" fontId="42" fillId="4" borderId="16" xfId="29" applyFont="1" applyFill="1" applyBorder="1" applyAlignment="1" applyProtection="1">
      <alignment horizontal="center" vertical="center" wrapText="1"/>
    </xf>
    <xf numFmtId="0" fontId="42" fillId="4" borderId="1" xfId="20" applyFont="1" applyFill="1" applyBorder="1" applyAlignment="1" applyProtection="1">
      <alignment horizontal="left" vertical="center" wrapText="1"/>
    </xf>
    <xf numFmtId="4" fontId="46" fillId="4" borderId="1" xfId="49" applyNumberFormat="1" applyFont="1" applyFill="1" applyBorder="1" applyAlignment="1">
      <alignment horizontal="center" vertical="center"/>
    </xf>
    <xf numFmtId="0" fontId="42" fillId="4" borderId="1" xfId="0" applyFont="1" applyFill="1" applyBorder="1" applyAlignment="1">
      <alignment horizontal="left" wrapText="1"/>
    </xf>
    <xf numFmtId="0" fontId="14" fillId="0" borderId="1" xfId="10" applyFont="1" applyBorder="1" applyAlignment="1">
      <alignment horizontal="left" vertical="top" wrapText="1"/>
    </xf>
    <xf numFmtId="0" fontId="14" fillId="0" borderId="1" xfId="10" applyFont="1" applyBorder="1" applyAlignment="1">
      <alignment horizontal="left" vertical="top"/>
    </xf>
    <xf numFmtId="0" fontId="14" fillId="0" borderId="1" xfId="10" applyFont="1" applyBorder="1" applyAlignment="1">
      <alignment horizontal="left" vertical="center" wrapText="1"/>
    </xf>
    <xf numFmtId="0" fontId="14" fillId="0" borderId="1" xfId="10" applyFont="1" applyBorder="1" applyAlignment="1">
      <alignment horizontal="center" vertical="center" wrapText="1"/>
    </xf>
    <xf numFmtId="0" fontId="14" fillId="0" borderId="1" xfId="10" applyFont="1" applyBorder="1" applyAlignment="1">
      <alignment horizontal="center" vertical="center"/>
    </xf>
    <xf numFmtId="0" fontId="14" fillId="0" borderId="1" xfId="10" applyFont="1" applyBorder="1" applyAlignment="1">
      <alignment horizontal="left" wrapText="1"/>
    </xf>
    <xf numFmtId="0" fontId="4" fillId="0" borderId="1" xfId="10" applyFont="1" applyBorder="1" applyAlignment="1">
      <alignment horizontal="center"/>
    </xf>
    <xf numFmtId="0" fontId="4" fillId="0" borderId="1" xfId="10" applyFont="1" applyBorder="1" applyAlignment="1">
      <alignment horizontal="left" vertical="top" wrapText="1"/>
    </xf>
    <xf numFmtId="0" fontId="14" fillId="0" borderId="1" xfId="10" applyFont="1" applyBorder="1" applyAlignment="1">
      <alignment horizontal="center"/>
    </xf>
    <xf numFmtId="0" fontId="5" fillId="0" borderId="1" xfId="10" applyFont="1" applyBorder="1" applyAlignment="1">
      <alignment horizontal="center"/>
    </xf>
    <xf numFmtId="0" fontId="14" fillId="0" borderId="1" xfId="10" applyFont="1" applyBorder="1" applyAlignment="1">
      <alignment horizontal="left"/>
    </xf>
    <xf numFmtId="0" fontId="10" fillId="0" borderId="2" xfId="10" applyFont="1" applyBorder="1" applyAlignment="1">
      <alignment horizontal="left" wrapText="1"/>
    </xf>
    <xf numFmtId="0" fontId="10" fillId="0" borderId="12" xfId="10" applyFont="1" applyBorder="1" applyAlignment="1">
      <alignment horizontal="left"/>
    </xf>
    <xf numFmtId="0" fontId="10" fillId="0" borderId="14" xfId="10" applyFont="1" applyBorder="1" applyAlignment="1">
      <alignment horizontal="left"/>
    </xf>
    <xf numFmtId="0" fontId="10" fillId="0" borderId="2" xfId="10" applyFont="1" applyFill="1" applyBorder="1" applyAlignment="1">
      <alignment horizontal="left" wrapText="1"/>
    </xf>
    <xf numFmtId="0" fontId="10" fillId="0" borderId="12" xfId="10" applyFont="1" applyFill="1" applyBorder="1" applyAlignment="1">
      <alignment horizontal="left"/>
    </xf>
    <xf numFmtId="0" fontId="10" fillId="0" borderId="14" xfId="10" applyFont="1" applyFill="1" applyBorder="1" applyAlignment="1">
      <alignment horizontal="left"/>
    </xf>
    <xf numFmtId="0" fontId="10" fillId="0" borderId="13" xfId="10" applyFont="1" applyBorder="1" applyAlignment="1">
      <alignment horizontal="left" wrapText="1"/>
    </xf>
    <xf numFmtId="0" fontId="10" fillId="0" borderId="13" xfId="10" applyFont="1" applyBorder="1" applyAlignment="1">
      <alignment horizontal="left"/>
    </xf>
    <xf numFmtId="0" fontId="9" fillId="0" borderId="0" xfId="10" applyFont="1" applyAlignment="1">
      <alignment horizontal="right" vertical="top" wrapText="1"/>
    </xf>
    <xf numFmtId="0" fontId="9" fillId="0" borderId="0" xfId="10" applyFont="1" applyAlignment="1">
      <alignment horizontal="right" vertical="top"/>
    </xf>
    <xf numFmtId="0" fontId="5" fillId="0" borderId="0" xfId="10" applyFont="1" applyAlignment="1">
      <alignment horizontal="right" wrapText="1"/>
    </xf>
    <xf numFmtId="0" fontId="5" fillId="0" borderId="0" xfId="10" applyFont="1" applyAlignment="1">
      <alignment horizontal="right"/>
    </xf>
    <xf numFmtId="0" fontId="11" fillId="0" borderId="0" xfId="49" applyFont="1" applyFill="1" applyAlignment="1">
      <alignment horizontal="center" vertical="top" wrapText="1"/>
    </xf>
    <xf numFmtId="0" fontId="12" fillId="0" borderId="0" xfId="10" applyFont="1" applyAlignment="1">
      <alignment horizontal="center" vertical="top" wrapText="1"/>
    </xf>
    <xf numFmtId="0" fontId="12" fillId="0" borderId="0" xfId="10" applyFont="1" applyAlignment="1">
      <alignment wrapText="1"/>
    </xf>
    <xf numFmtId="0" fontId="13" fillId="0" borderId="2" xfId="49" applyFont="1" applyBorder="1" applyAlignment="1">
      <alignment horizontal="left" vertical="top" wrapText="1"/>
    </xf>
    <xf numFmtId="0" fontId="13" fillId="0" borderId="12" xfId="10" applyFont="1" applyBorder="1" applyAlignment="1">
      <alignment horizontal="left" wrapText="1"/>
    </xf>
    <xf numFmtId="0" fontId="13" fillId="0" borderId="14" xfId="10" applyFont="1" applyBorder="1" applyAlignment="1">
      <alignment horizontal="left" wrapText="1"/>
    </xf>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 fillId="5" borderId="3" xfId="49" applyFont="1" applyFill="1" applyBorder="1" applyAlignment="1">
      <alignment horizontal="left" vertical="center"/>
    </xf>
    <xf numFmtId="0" fontId="4" fillId="5" borderId="4" xfId="49" applyFont="1" applyFill="1" applyBorder="1" applyAlignment="1">
      <alignment horizontal="left" vertical="center"/>
    </xf>
    <xf numFmtId="0" fontId="4" fillId="5" borderId="8" xfId="49" applyFont="1" applyFill="1" applyBorder="1" applyAlignment="1">
      <alignment horizontal="left" vertical="center"/>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6" fillId="5" borderId="3" xfId="49" applyFont="1" applyFill="1" applyBorder="1" applyAlignment="1">
      <alignment horizontal="center" vertical="center" wrapText="1"/>
    </xf>
    <xf numFmtId="0" fontId="6" fillId="5" borderId="4" xfId="49" applyFont="1" applyFill="1" applyBorder="1" applyAlignment="1">
      <alignment horizontal="center" vertical="center"/>
    </xf>
    <xf numFmtId="0" fontId="6" fillId="5" borderId="8" xfId="49" applyFont="1" applyFill="1" applyBorder="1" applyAlignment="1">
      <alignment horizontal="center"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44" fillId="4" borderId="0" xfId="0" applyFont="1" applyFill="1" applyAlignment="1">
      <alignment horizontal="left" vertical="top" wrapText="1"/>
    </xf>
    <xf numFmtId="0" fontId="44" fillId="0" borderId="0" xfId="60" applyFont="1" applyAlignment="1">
      <alignment horizontal="left"/>
    </xf>
    <xf numFmtId="0" fontId="44" fillId="4" borderId="0" xfId="0" applyFont="1" applyFill="1" applyBorder="1" applyAlignment="1">
      <alignment horizontal="center" vertic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03" t="s">
        <v>0</v>
      </c>
      <c r="B1" s="204"/>
      <c r="C1" s="204"/>
      <c r="D1" s="204"/>
      <c r="E1" s="204"/>
      <c r="F1" s="204"/>
      <c r="G1" s="204"/>
      <c r="H1" s="204"/>
      <c r="I1" s="204"/>
      <c r="J1" s="204"/>
      <c r="K1" s="204"/>
      <c r="L1" s="204"/>
      <c r="M1" s="204"/>
      <c r="N1" s="204"/>
      <c r="O1" s="204"/>
      <c r="P1" s="204"/>
      <c r="Q1" s="204"/>
    </row>
    <row r="2" spans="1:18" ht="30" customHeight="1">
      <c r="A2" s="205" t="s">
        <v>1</v>
      </c>
      <c r="B2" s="206"/>
      <c r="C2" s="206"/>
      <c r="D2" s="206"/>
      <c r="E2" s="206"/>
      <c r="F2" s="206"/>
      <c r="G2" s="206"/>
      <c r="H2" s="206"/>
      <c r="I2" s="206"/>
      <c r="J2" s="206"/>
      <c r="K2" s="206"/>
      <c r="L2" s="206"/>
      <c r="M2" s="206"/>
      <c r="N2" s="206"/>
      <c r="O2" s="206"/>
      <c r="P2" s="206"/>
      <c r="Q2" s="206"/>
    </row>
    <row r="3" spans="1:18" ht="20.25" customHeight="1">
      <c r="B3" s="11"/>
      <c r="C3" s="11"/>
      <c r="D3" s="11"/>
      <c r="E3" s="207" t="s">
        <v>2</v>
      </c>
      <c r="F3" s="208"/>
      <c r="G3" s="209"/>
      <c r="H3" s="209"/>
      <c r="I3" s="209"/>
      <c r="J3" s="209"/>
      <c r="K3" s="209"/>
      <c r="L3" s="209"/>
      <c r="M3" s="209"/>
      <c r="N3" s="209"/>
      <c r="O3" s="11"/>
      <c r="P3" s="11"/>
      <c r="Q3" s="11"/>
    </row>
    <row r="4" spans="1:18">
      <c r="B4" s="11"/>
      <c r="C4" s="11"/>
      <c r="D4" s="11"/>
      <c r="E4" s="12"/>
      <c r="F4" s="13"/>
      <c r="G4" s="14"/>
      <c r="H4" s="14"/>
      <c r="I4" s="14"/>
      <c r="J4" s="14"/>
      <c r="K4" s="14"/>
      <c r="L4" s="14"/>
      <c r="M4" s="14"/>
      <c r="N4" s="14"/>
      <c r="O4" s="11"/>
      <c r="P4" s="11"/>
      <c r="Q4" s="11"/>
    </row>
    <row r="5" spans="1:18" ht="59.25" customHeight="1">
      <c r="A5" s="15"/>
      <c r="B5" s="210" t="s">
        <v>3</v>
      </c>
      <c r="C5" s="211"/>
      <c r="D5" s="211"/>
      <c r="E5" s="211"/>
      <c r="F5" s="211"/>
      <c r="G5" s="211"/>
      <c r="H5" s="211"/>
      <c r="I5" s="211"/>
      <c r="J5" s="211"/>
      <c r="K5" s="211"/>
      <c r="L5" s="211"/>
      <c r="M5" s="211"/>
      <c r="N5" s="211"/>
      <c r="O5" s="211"/>
      <c r="P5" s="211"/>
      <c r="Q5" s="212"/>
    </row>
    <row r="6" spans="1:18" ht="64.5" customHeight="1">
      <c r="A6" s="16">
        <v>1</v>
      </c>
      <c r="B6" s="195" t="s">
        <v>4</v>
      </c>
      <c r="C6" s="196"/>
      <c r="D6" s="196"/>
      <c r="E6" s="196"/>
      <c r="F6" s="196"/>
      <c r="G6" s="196"/>
      <c r="H6" s="196"/>
      <c r="I6" s="196"/>
      <c r="J6" s="196"/>
      <c r="K6" s="196"/>
      <c r="L6" s="196"/>
      <c r="M6" s="196"/>
      <c r="N6" s="196"/>
      <c r="O6" s="196"/>
      <c r="P6" s="196"/>
      <c r="Q6" s="197"/>
    </row>
    <row r="7" spans="1:18" ht="18" customHeight="1">
      <c r="A7" s="16">
        <v>2</v>
      </c>
      <c r="B7" s="195" t="s">
        <v>5</v>
      </c>
      <c r="C7" s="196"/>
      <c r="D7" s="196"/>
      <c r="E7" s="196"/>
      <c r="F7" s="196"/>
      <c r="G7" s="196"/>
      <c r="H7" s="196"/>
      <c r="I7" s="196"/>
      <c r="J7" s="196"/>
      <c r="K7" s="196"/>
      <c r="L7" s="196"/>
      <c r="M7" s="196"/>
      <c r="N7" s="196"/>
      <c r="O7" s="196"/>
      <c r="P7" s="196"/>
      <c r="Q7" s="197"/>
    </row>
    <row r="8" spans="1:18" ht="45" customHeight="1">
      <c r="A8" s="16">
        <v>3</v>
      </c>
      <c r="B8" s="198" t="s">
        <v>6</v>
      </c>
      <c r="C8" s="199"/>
      <c r="D8" s="199"/>
      <c r="E8" s="199"/>
      <c r="F8" s="199"/>
      <c r="G8" s="199"/>
      <c r="H8" s="199"/>
      <c r="I8" s="199"/>
      <c r="J8" s="199"/>
      <c r="K8" s="199"/>
      <c r="L8" s="199"/>
      <c r="M8" s="199"/>
      <c r="N8" s="199"/>
      <c r="O8" s="199"/>
      <c r="P8" s="199"/>
      <c r="Q8" s="200"/>
    </row>
    <row r="9" spans="1:18" ht="24" customHeight="1">
      <c r="A9" s="16">
        <v>4</v>
      </c>
      <c r="B9" s="195" t="s">
        <v>7</v>
      </c>
      <c r="C9" s="196"/>
      <c r="D9" s="196"/>
      <c r="E9" s="196"/>
      <c r="F9" s="196"/>
      <c r="G9" s="196"/>
      <c r="H9" s="196"/>
      <c r="I9" s="196"/>
      <c r="J9" s="196"/>
      <c r="K9" s="196"/>
      <c r="L9" s="196"/>
      <c r="M9" s="196"/>
      <c r="N9" s="196"/>
      <c r="O9" s="196"/>
      <c r="P9" s="196"/>
      <c r="Q9" s="197"/>
    </row>
    <row r="10" spans="1:18" ht="19.5" customHeight="1">
      <c r="A10" s="16">
        <v>5</v>
      </c>
      <c r="B10" s="195" t="s">
        <v>8</v>
      </c>
      <c r="C10" s="196"/>
      <c r="D10" s="196"/>
      <c r="E10" s="196"/>
      <c r="F10" s="196"/>
      <c r="G10" s="196"/>
      <c r="H10" s="196"/>
      <c r="I10" s="196"/>
      <c r="J10" s="196"/>
      <c r="K10" s="196"/>
      <c r="L10" s="196"/>
      <c r="M10" s="196"/>
      <c r="N10" s="196"/>
      <c r="O10" s="196"/>
      <c r="P10" s="196"/>
      <c r="Q10" s="197"/>
    </row>
    <row r="11" spans="1:18" ht="21" customHeight="1">
      <c r="A11" s="17"/>
      <c r="B11" s="201" t="s">
        <v>9</v>
      </c>
      <c r="C11" s="202"/>
      <c r="D11" s="202"/>
      <c r="E11" s="202"/>
      <c r="F11" s="202"/>
      <c r="G11" s="202"/>
      <c r="H11" s="202"/>
      <c r="I11" s="202"/>
      <c r="J11" s="202"/>
      <c r="K11" s="202"/>
      <c r="L11" s="202"/>
      <c r="M11" s="202"/>
      <c r="N11" s="202"/>
      <c r="O11" s="202"/>
      <c r="P11" s="202"/>
      <c r="Q11" s="202"/>
      <c r="R11" s="21"/>
    </row>
    <row r="12" spans="1:18" ht="21" customHeight="1">
      <c r="A12" s="18"/>
      <c r="B12" s="19"/>
      <c r="C12" s="20"/>
      <c r="D12" s="20"/>
      <c r="E12" s="20"/>
      <c r="F12" s="20"/>
      <c r="G12" s="20"/>
      <c r="H12" s="20"/>
      <c r="I12" s="20"/>
      <c r="J12" s="20"/>
      <c r="K12" s="20"/>
      <c r="L12" s="20"/>
      <c r="M12" s="20"/>
      <c r="N12" s="20"/>
      <c r="O12" s="20"/>
      <c r="P12" s="20"/>
      <c r="Q12" s="20"/>
    </row>
    <row r="13" spans="1:18">
      <c r="A13" s="193" t="s">
        <v>10</v>
      </c>
      <c r="B13" s="193"/>
      <c r="C13" s="193"/>
      <c r="D13" s="193"/>
      <c r="E13" s="193"/>
      <c r="F13" s="193"/>
      <c r="G13" s="193"/>
      <c r="H13" s="193"/>
      <c r="I13" s="193"/>
      <c r="J13" s="193"/>
      <c r="K13" s="193"/>
      <c r="L13" s="193"/>
      <c r="M13" s="193"/>
      <c r="N13" s="193"/>
      <c r="O13" s="193"/>
      <c r="P13" s="193"/>
      <c r="Q13" s="193"/>
    </row>
    <row r="14" spans="1:18" ht="15.75" customHeight="1">
      <c r="A14" s="193" t="s">
        <v>11</v>
      </c>
      <c r="B14" s="193"/>
      <c r="C14" s="193"/>
      <c r="D14" s="193"/>
      <c r="E14" s="193" t="s">
        <v>12</v>
      </c>
      <c r="F14" s="193"/>
      <c r="G14" s="193"/>
      <c r="H14" s="193"/>
      <c r="I14" s="193"/>
      <c r="J14" s="193"/>
      <c r="K14" s="193"/>
      <c r="L14" s="193"/>
      <c r="M14" s="193"/>
      <c r="N14" s="193"/>
      <c r="O14" s="193"/>
      <c r="P14" s="193"/>
      <c r="Q14" s="193"/>
    </row>
    <row r="15" spans="1:18" ht="15.75" customHeight="1">
      <c r="A15" s="193" t="s">
        <v>13</v>
      </c>
      <c r="B15" s="193"/>
      <c r="C15" s="193"/>
      <c r="D15" s="193"/>
      <c r="E15" s="193"/>
      <c r="F15" s="193"/>
      <c r="G15" s="193"/>
      <c r="H15" s="193"/>
      <c r="I15" s="193"/>
      <c r="J15" s="193"/>
      <c r="K15" s="193"/>
      <c r="L15" s="193"/>
      <c r="M15" s="193"/>
      <c r="N15" s="193"/>
      <c r="O15" s="193"/>
      <c r="P15" s="193"/>
      <c r="Q15" s="193"/>
    </row>
    <row r="16" spans="1:18" ht="24" customHeight="1">
      <c r="A16" s="187" t="s">
        <v>14</v>
      </c>
      <c r="B16" s="187"/>
      <c r="C16" s="187"/>
      <c r="D16" s="187"/>
      <c r="E16" s="194" t="s">
        <v>15</v>
      </c>
      <c r="F16" s="194"/>
      <c r="G16" s="194"/>
      <c r="H16" s="194"/>
      <c r="I16" s="194"/>
      <c r="J16" s="194"/>
      <c r="K16" s="194"/>
      <c r="L16" s="194"/>
      <c r="M16" s="194"/>
      <c r="N16" s="194"/>
      <c r="O16" s="194"/>
      <c r="P16" s="194"/>
      <c r="Q16" s="194"/>
    </row>
    <row r="17" spans="1:17" ht="47.25" customHeight="1">
      <c r="A17" s="187"/>
      <c r="B17" s="187"/>
      <c r="C17" s="187"/>
      <c r="D17" s="187"/>
      <c r="E17" s="189" t="s">
        <v>16</v>
      </c>
      <c r="F17" s="189"/>
      <c r="G17" s="189"/>
      <c r="H17" s="189"/>
      <c r="I17" s="189"/>
      <c r="J17" s="189"/>
      <c r="K17" s="189"/>
      <c r="L17" s="189"/>
      <c r="M17" s="189"/>
      <c r="N17" s="189"/>
      <c r="O17" s="189"/>
      <c r="P17" s="189"/>
      <c r="Q17" s="189"/>
    </row>
    <row r="18" spans="1:17" ht="39.75" customHeight="1">
      <c r="A18" s="187"/>
      <c r="B18" s="187"/>
      <c r="C18" s="187"/>
      <c r="D18" s="187"/>
      <c r="E18" s="189" t="s">
        <v>17</v>
      </c>
      <c r="F18" s="189"/>
      <c r="G18" s="189"/>
      <c r="H18" s="189"/>
      <c r="I18" s="189"/>
      <c r="J18" s="189"/>
      <c r="K18" s="189"/>
      <c r="L18" s="189"/>
      <c r="M18" s="189"/>
      <c r="N18" s="189"/>
      <c r="O18" s="189"/>
      <c r="P18" s="189"/>
      <c r="Q18" s="189"/>
    </row>
    <row r="19" spans="1:17" ht="38.25" customHeight="1">
      <c r="A19" s="187"/>
      <c r="B19" s="187"/>
      <c r="C19" s="187"/>
      <c r="D19" s="187"/>
      <c r="E19" s="189" t="s">
        <v>18</v>
      </c>
      <c r="F19" s="189"/>
      <c r="G19" s="189"/>
      <c r="H19" s="189"/>
      <c r="I19" s="189"/>
      <c r="J19" s="189"/>
      <c r="K19" s="189"/>
      <c r="L19" s="189"/>
      <c r="M19" s="189"/>
      <c r="N19" s="189"/>
      <c r="O19" s="189"/>
      <c r="P19" s="189"/>
      <c r="Q19" s="189"/>
    </row>
    <row r="20" spans="1:17" ht="30" customHeight="1">
      <c r="A20" s="187"/>
      <c r="B20" s="187"/>
      <c r="C20" s="187"/>
      <c r="D20" s="187"/>
      <c r="E20" s="189" t="s">
        <v>19</v>
      </c>
      <c r="F20" s="189"/>
      <c r="G20" s="189"/>
      <c r="H20" s="189"/>
      <c r="I20" s="189"/>
      <c r="J20" s="189"/>
      <c r="K20" s="189"/>
      <c r="L20" s="189"/>
      <c r="M20" s="189"/>
      <c r="N20" s="189"/>
      <c r="O20" s="189"/>
      <c r="P20" s="189"/>
      <c r="Q20" s="189"/>
    </row>
    <row r="21" spans="1:17" ht="53.25" customHeight="1">
      <c r="A21" s="187"/>
      <c r="B21" s="187"/>
      <c r="C21" s="187"/>
      <c r="D21" s="187"/>
      <c r="E21" s="189" t="s">
        <v>20</v>
      </c>
      <c r="F21" s="189"/>
      <c r="G21" s="189"/>
      <c r="H21" s="189"/>
      <c r="I21" s="189"/>
      <c r="J21" s="189"/>
      <c r="K21" s="189"/>
      <c r="L21" s="189"/>
      <c r="M21" s="189"/>
      <c r="N21" s="189"/>
      <c r="O21" s="189"/>
      <c r="P21" s="189"/>
      <c r="Q21" s="189"/>
    </row>
    <row r="22" spans="1:17">
      <c r="A22" s="190" t="s">
        <v>21</v>
      </c>
      <c r="B22" s="192"/>
      <c r="C22" s="192"/>
      <c r="D22" s="192"/>
      <c r="E22" s="192"/>
      <c r="F22" s="192"/>
      <c r="G22" s="192"/>
      <c r="H22" s="192"/>
      <c r="I22" s="192"/>
      <c r="J22" s="192"/>
      <c r="K22" s="192"/>
      <c r="L22" s="192"/>
      <c r="M22" s="192"/>
      <c r="N22" s="192"/>
      <c r="O22" s="192"/>
      <c r="P22" s="192"/>
      <c r="Q22" s="192"/>
    </row>
    <row r="23" spans="1:17" ht="48" customHeight="1">
      <c r="A23" s="187" t="s">
        <v>22</v>
      </c>
      <c r="B23" s="188"/>
      <c r="C23" s="188"/>
      <c r="D23" s="188"/>
      <c r="E23" s="189" t="s">
        <v>23</v>
      </c>
      <c r="F23" s="189"/>
      <c r="G23" s="189"/>
      <c r="H23" s="189"/>
      <c r="I23" s="189"/>
      <c r="J23" s="189"/>
      <c r="K23" s="189"/>
      <c r="L23" s="189"/>
      <c r="M23" s="189"/>
      <c r="N23" s="189"/>
      <c r="O23" s="189"/>
      <c r="P23" s="189"/>
      <c r="Q23" s="189"/>
    </row>
    <row r="24" spans="1:17" ht="46.5" customHeight="1">
      <c r="A24" s="188"/>
      <c r="B24" s="188"/>
      <c r="C24" s="188"/>
      <c r="D24" s="188"/>
      <c r="E24" s="189" t="s">
        <v>24</v>
      </c>
      <c r="F24" s="189"/>
      <c r="G24" s="189"/>
      <c r="H24" s="189"/>
      <c r="I24" s="189"/>
      <c r="J24" s="189"/>
      <c r="K24" s="189"/>
      <c r="L24" s="189"/>
      <c r="M24" s="189"/>
      <c r="N24" s="189"/>
      <c r="O24" s="189"/>
      <c r="P24" s="189"/>
      <c r="Q24" s="189"/>
    </row>
    <row r="25" spans="1:17" ht="46.5" customHeight="1">
      <c r="A25" s="188"/>
      <c r="B25" s="188"/>
      <c r="C25" s="188"/>
      <c r="D25" s="188"/>
      <c r="E25" s="189" t="s">
        <v>25</v>
      </c>
      <c r="F25" s="189"/>
      <c r="G25" s="189"/>
      <c r="H25" s="189"/>
      <c r="I25" s="189"/>
      <c r="J25" s="189"/>
      <c r="K25" s="189"/>
      <c r="L25" s="189"/>
      <c r="M25" s="189"/>
      <c r="N25" s="189"/>
      <c r="O25" s="189"/>
      <c r="P25" s="189"/>
      <c r="Q25" s="189"/>
    </row>
    <row r="26" spans="1:17">
      <c r="A26" s="188"/>
      <c r="B26" s="188"/>
      <c r="C26" s="188"/>
      <c r="D26" s="188"/>
      <c r="E26" s="189" t="s">
        <v>26</v>
      </c>
      <c r="F26" s="189"/>
      <c r="G26" s="189"/>
      <c r="H26" s="189"/>
      <c r="I26" s="189"/>
      <c r="J26" s="189"/>
      <c r="K26" s="189"/>
      <c r="L26" s="189"/>
      <c r="M26" s="189"/>
      <c r="N26" s="189"/>
      <c r="O26" s="189"/>
      <c r="P26" s="189"/>
      <c r="Q26" s="189"/>
    </row>
    <row r="27" spans="1:17">
      <c r="A27" s="190" t="s">
        <v>27</v>
      </c>
      <c r="B27" s="190"/>
      <c r="C27" s="190"/>
      <c r="D27" s="190"/>
      <c r="E27" s="190"/>
      <c r="F27" s="190"/>
      <c r="G27" s="190"/>
      <c r="H27" s="190"/>
      <c r="I27" s="190"/>
      <c r="J27" s="190"/>
      <c r="K27" s="190"/>
      <c r="L27" s="190"/>
      <c r="M27" s="190"/>
      <c r="N27" s="190"/>
      <c r="O27" s="190"/>
      <c r="P27" s="190"/>
      <c r="Q27" s="190"/>
    </row>
    <row r="28" spans="1:17" ht="58.5" customHeight="1">
      <c r="A28" s="187" t="s">
        <v>28</v>
      </c>
      <c r="B28" s="187"/>
      <c r="C28" s="187"/>
      <c r="D28" s="187"/>
      <c r="E28" s="189" t="s">
        <v>29</v>
      </c>
      <c r="F28" s="189"/>
      <c r="G28" s="189"/>
      <c r="H28" s="189"/>
      <c r="I28" s="189"/>
      <c r="J28" s="189"/>
      <c r="K28" s="189"/>
      <c r="L28" s="189"/>
      <c r="M28" s="189"/>
      <c r="N28" s="189"/>
      <c r="O28" s="189"/>
      <c r="P28" s="189"/>
      <c r="Q28" s="189"/>
    </row>
    <row r="29" spans="1:17" ht="24" customHeight="1">
      <c r="A29" s="190" t="s">
        <v>30</v>
      </c>
      <c r="B29" s="190"/>
      <c r="C29" s="190"/>
      <c r="D29" s="190"/>
      <c r="E29" s="190"/>
      <c r="F29" s="190"/>
      <c r="G29" s="190"/>
      <c r="H29" s="190"/>
      <c r="I29" s="190"/>
      <c r="J29" s="190"/>
      <c r="K29" s="190"/>
      <c r="L29" s="190"/>
      <c r="M29" s="190"/>
      <c r="N29" s="190"/>
      <c r="O29" s="190"/>
      <c r="P29" s="190"/>
      <c r="Q29" s="190"/>
    </row>
    <row r="30" spans="1:17" ht="50.25" customHeight="1">
      <c r="A30" s="188">
        <v>4</v>
      </c>
      <c r="B30" s="188"/>
      <c r="C30" s="188"/>
      <c r="D30" s="188"/>
      <c r="E30" s="189" t="s">
        <v>31</v>
      </c>
      <c r="F30" s="189"/>
      <c r="G30" s="189"/>
      <c r="H30" s="189"/>
      <c r="I30" s="189"/>
      <c r="J30" s="189"/>
      <c r="K30" s="189"/>
      <c r="L30" s="189"/>
      <c r="M30" s="189"/>
      <c r="N30" s="189"/>
      <c r="O30" s="189"/>
      <c r="P30" s="189"/>
      <c r="Q30" s="189"/>
    </row>
    <row r="31" spans="1:17" ht="45.75" customHeight="1">
      <c r="A31" s="188"/>
      <c r="B31" s="188"/>
      <c r="C31" s="188"/>
      <c r="D31" s="188"/>
      <c r="E31" s="189" t="s">
        <v>32</v>
      </c>
      <c r="F31" s="189"/>
      <c r="G31" s="189"/>
      <c r="H31" s="189"/>
      <c r="I31" s="189"/>
      <c r="J31" s="189"/>
      <c r="K31" s="189"/>
      <c r="L31" s="189"/>
      <c r="M31" s="189"/>
      <c r="N31" s="189"/>
      <c r="O31" s="189"/>
      <c r="P31" s="189"/>
      <c r="Q31" s="189"/>
    </row>
    <row r="32" spans="1:17" ht="30" customHeight="1">
      <c r="A32" s="190" t="s">
        <v>33</v>
      </c>
      <c r="B32" s="190"/>
      <c r="C32" s="190"/>
      <c r="D32" s="190"/>
      <c r="E32" s="190"/>
      <c r="F32" s="190"/>
      <c r="G32" s="190"/>
      <c r="H32" s="190"/>
      <c r="I32" s="190"/>
      <c r="J32" s="190"/>
      <c r="K32" s="190"/>
      <c r="L32" s="190"/>
      <c r="M32" s="190"/>
      <c r="N32" s="190"/>
      <c r="O32" s="190"/>
      <c r="P32" s="190"/>
      <c r="Q32" s="190"/>
    </row>
    <row r="33" spans="1:17" ht="19.5" customHeight="1">
      <c r="A33" s="188">
        <v>5</v>
      </c>
      <c r="B33" s="188"/>
      <c r="C33" s="188"/>
      <c r="D33" s="188"/>
      <c r="E33" s="191" t="s">
        <v>34</v>
      </c>
      <c r="F33" s="191"/>
      <c r="G33" s="191"/>
      <c r="H33" s="191"/>
      <c r="I33" s="191"/>
      <c r="J33" s="191"/>
      <c r="K33" s="191"/>
      <c r="L33" s="191"/>
      <c r="M33" s="191"/>
      <c r="N33" s="191"/>
      <c r="O33" s="191"/>
      <c r="P33" s="191"/>
      <c r="Q33" s="191"/>
    </row>
    <row r="34" spans="1:17" ht="201.75" customHeight="1">
      <c r="A34" s="188"/>
      <c r="B34" s="188"/>
      <c r="C34" s="188"/>
      <c r="D34" s="188"/>
      <c r="E34" s="184" t="s">
        <v>35</v>
      </c>
      <c r="F34" s="184"/>
      <c r="G34" s="184"/>
      <c r="H34" s="184"/>
      <c r="I34" s="184"/>
      <c r="J34" s="184"/>
      <c r="K34" s="184"/>
      <c r="L34" s="184"/>
      <c r="M34" s="184"/>
      <c r="N34" s="184"/>
      <c r="O34" s="184"/>
      <c r="P34" s="184"/>
      <c r="Q34" s="184"/>
    </row>
    <row r="35" spans="1:17" ht="18.75" customHeight="1">
      <c r="A35" s="188"/>
      <c r="B35" s="188"/>
      <c r="C35" s="188"/>
      <c r="D35" s="188"/>
      <c r="E35" s="191" t="s">
        <v>36</v>
      </c>
      <c r="F35" s="191"/>
      <c r="G35" s="191"/>
      <c r="H35" s="191"/>
      <c r="I35" s="191"/>
      <c r="J35" s="191"/>
      <c r="K35" s="191"/>
      <c r="L35" s="191"/>
      <c r="M35" s="191"/>
      <c r="N35" s="191"/>
      <c r="O35" s="191"/>
      <c r="P35" s="191"/>
      <c r="Q35" s="191"/>
    </row>
    <row r="36" spans="1:17" ht="186.75" customHeight="1">
      <c r="A36" s="188"/>
      <c r="B36" s="188"/>
      <c r="C36" s="188"/>
      <c r="D36" s="188"/>
      <c r="E36" s="184" t="s">
        <v>37</v>
      </c>
      <c r="F36" s="185"/>
      <c r="G36" s="185"/>
      <c r="H36" s="185"/>
      <c r="I36" s="185"/>
      <c r="J36" s="185"/>
      <c r="K36" s="185"/>
      <c r="L36" s="185"/>
      <c r="M36" s="185"/>
      <c r="N36" s="185"/>
      <c r="O36" s="185"/>
      <c r="P36" s="185"/>
      <c r="Q36" s="185"/>
    </row>
    <row r="37" spans="1:17" ht="115.5" customHeight="1">
      <c r="A37" s="188"/>
      <c r="B37" s="188"/>
      <c r="C37" s="188"/>
      <c r="D37" s="188"/>
      <c r="E37" s="186" t="s">
        <v>38</v>
      </c>
      <c r="F37" s="186"/>
      <c r="G37" s="186"/>
      <c r="H37" s="186"/>
      <c r="I37" s="186"/>
      <c r="J37" s="186"/>
      <c r="K37" s="186"/>
      <c r="L37" s="186"/>
      <c r="M37" s="186"/>
      <c r="N37" s="186"/>
      <c r="O37" s="186"/>
      <c r="P37" s="186"/>
      <c r="Q37" s="186"/>
    </row>
    <row r="38" spans="1:17" ht="66.75" customHeight="1">
      <c r="A38" s="188"/>
      <c r="B38" s="188"/>
      <c r="C38" s="188"/>
      <c r="D38" s="188"/>
      <c r="E38" s="184" t="s">
        <v>39</v>
      </c>
      <c r="F38" s="185"/>
      <c r="G38" s="185"/>
      <c r="H38" s="185"/>
      <c r="I38" s="185"/>
      <c r="J38" s="185"/>
      <c r="K38" s="185"/>
      <c r="L38" s="185"/>
      <c r="M38" s="185"/>
      <c r="N38" s="185"/>
      <c r="O38" s="185"/>
      <c r="P38" s="185"/>
      <c r="Q38" s="185"/>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31" t="s">
        <v>41</v>
      </c>
      <c r="B2" s="232"/>
      <c r="C2" s="232"/>
      <c r="D2" s="232"/>
      <c r="E2" s="232"/>
      <c r="F2" s="232"/>
      <c r="G2" s="232"/>
      <c r="H2" s="232"/>
      <c r="I2" s="232"/>
      <c r="J2" s="232"/>
      <c r="K2" s="232"/>
      <c r="L2" s="232"/>
      <c r="M2" s="232"/>
      <c r="N2" s="233"/>
    </row>
    <row r="3" spans="1:14">
      <c r="A3" s="216" t="s">
        <v>42</v>
      </c>
      <c r="B3" s="217"/>
      <c r="C3" s="217"/>
      <c r="D3" s="217"/>
      <c r="E3" s="217"/>
      <c r="F3" s="217"/>
      <c r="G3" s="217"/>
      <c r="H3" s="217"/>
      <c r="I3" s="217"/>
      <c r="J3" s="217"/>
      <c r="K3" s="217"/>
      <c r="L3" s="217"/>
      <c r="M3" s="217"/>
      <c r="N3" s="218"/>
    </row>
    <row r="4" spans="1:14" ht="46.5" customHeight="1">
      <c r="A4" s="4" t="s">
        <v>43</v>
      </c>
      <c r="B4" s="234" t="s">
        <v>44</v>
      </c>
      <c r="C4" s="234"/>
      <c r="D4" s="234"/>
      <c r="E4" s="234"/>
      <c r="F4" s="234"/>
      <c r="G4" s="234"/>
      <c r="H4" s="234"/>
      <c r="I4" s="234"/>
      <c r="J4" s="234"/>
      <c r="K4" s="234"/>
      <c r="L4" s="234"/>
      <c r="M4" s="234"/>
      <c r="N4" s="235"/>
    </row>
    <row r="5" spans="1:14" ht="45.75" customHeight="1">
      <c r="A5" s="219" t="s">
        <v>45</v>
      </c>
      <c r="B5" s="220"/>
      <c r="C5" s="220"/>
      <c r="D5" s="220"/>
      <c r="E5" s="220"/>
      <c r="F5" s="220"/>
      <c r="G5" s="220"/>
      <c r="H5" s="220"/>
      <c r="I5" s="220"/>
      <c r="J5" s="220"/>
      <c r="K5" s="220"/>
      <c r="L5" s="220"/>
      <c r="M5" s="220"/>
      <c r="N5" s="221"/>
    </row>
    <row r="6" spans="1:14" ht="29.25" customHeight="1">
      <c r="A6" s="219" t="s">
        <v>46</v>
      </c>
      <c r="B6" s="220"/>
      <c r="C6" s="220"/>
      <c r="D6" s="220"/>
      <c r="E6" s="220"/>
      <c r="F6" s="220"/>
      <c r="G6" s="220"/>
      <c r="H6" s="220"/>
      <c r="I6" s="220"/>
      <c r="J6" s="220"/>
      <c r="K6" s="220"/>
      <c r="L6" s="220"/>
      <c r="M6" s="220"/>
      <c r="N6" s="221"/>
    </row>
    <row r="7" spans="1:14" ht="17.25" customHeight="1">
      <c r="A7" s="5" t="s">
        <v>47</v>
      </c>
      <c r="B7" s="6"/>
      <c r="C7" s="6"/>
      <c r="D7" s="6"/>
      <c r="E7" s="6"/>
      <c r="F7" s="6"/>
      <c r="G7" s="6"/>
      <c r="H7" s="6"/>
      <c r="I7" s="6"/>
      <c r="J7" s="6"/>
      <c r="K7" s="6"/>
      <c r="L7" s="6"/>
      <c r="M7" s="6"/>
      <c r="N7" s="8"/>
    </row>
    <row r="8" spans="1:14" ht="51" customHeight="1">
      <c r="A8" s="219" t="s">
        <v>48</v>
      </c>
      <c r="B8" s="220"/>
      <c r="C8" s="220"/>
      <c r="D8" s="220"/>
      <c r="E8" s="220"/>
      <c r="F8" s="220"/>
      <c r="G8" s="220"/>
      <c r="H8" s="220"/>
      <c r="I8" s="220"/>
      <c r="J8" s="220"/>
      <c r="K8" s="220"/>
      <c r="L8" s="220"/>
      <c r="M8" s="220"/>
      <c r="N8" s="221"/>
    </row>
    <row r="9" spans="1:14" ht="36" customHeight="1">
      <c r="A9" s="219" t="s">
        <v>49</v>
      </c>
      <c r="B9" s="220"/>
      <c r="C9" s="220"/>
      <c r="D9" s="220"/>
      <c r="E9" s="220"/>
      <c r="F9" s="220"/>
      <c r="G9" s="220"/>
      <c r="H9" s="220"/>
      <c r="I9" s="220"/>
      <c r="J9" s="220"/>
      <c r="K9" s="220"/>
      <c r="L9" s="220"/>
      <c r="M9" s="220"/>
      <c r="N9" s="221"/>
    </row>
    <row r="10" spans="1:14" ht="30" customHeight="1">
      <c r="A10" s="219" t="s">
        <v>50</v>
      </c>
      <c r="B10" s="220"/>
      <c r="C10" s="220"/>
      <c r="D10" s="220"/>
      <c r="E10" s="220"/>
      <c r="F10" s="220"/>
      <c r="G10" s="220"/>
      <c r="H10" s="220"/>
      <c r="I10" s="220"/>
      <c r="J10" s="220"/>
      <c r="K10" s="220"/>
      <c r="L10" s="220"/>
      <c r="M10" s="220"/>
      <c r="N10" s="221"/>
    </row>
    <row r="11" spans="1:14" ht="18.75" customHeight="1">
      <c r="A11" s="219" t="s">
        <v>51</v>
      </c>
      <c r="B11" s="220"/>
      <c r="C11" s="220"/>
      <c r="D11" s="220"/>
      <c r="E11" s="220"/>
      <c r="F11" s="220"/>
      <c r="G11" s="220"/>
      <c r="H11" s="220"/>
      <c r="I11" s="220"/>
      <c r="J11" s="220"/>
      <c r="K11" s="220"/>
      <c r="L11" s="220"/>
      <c r="M11" s="220"/>
      <c r="N11" s="221"/>
    </row>
    <row r="12" spans="1:14">
      <c r="A12" s="216" t="s">
        <v>52</v>
      </c>
      <c r="B12" s="217"/>
      <c r="C12" s="217"/>
      <c r="D12" s="217"/>
      <c r="E12" s="217"/>
      <c r="F12" s="217"/>
      <c r="G12" s="217"/>
      <c r="H12" s="217"/>
      <c r="I12" s="217"/>
      <c r="J12" s="217"/>
      <c r="K12" s="217"/>
      <c r="L12" s="217"/>
      <c r="M12" s="217"/>
      <c r="N12" s="218"/>
    </row>
    <row r="13" spans="1:14">
      <c r="A13" s="7" t="s">
        <v>53</v>
      </c>
      <c r="N13" s="9"/>
    </row>
    <row r="14" spans="1:14" ht="117" customHeight="1">
      <c r="A14" s="222" t="s">
        <v>54</v>
      </c>
      <c r="B14" s="223"/>
      <c r="C14" s="223"/>
      <c r="D14" s="223"/>
      <c r="E14" s="223"/>
      <c r="F14" s="223"/>
      <c r="G14" s="223"/>
      <c r="H14" s="223"/>
      <c r="I14" s="223"/>
      <c r="J14" s="223"/>
      <c r="K14" s="223"/>
      <c r="L14" s="223"/>
      <c r="M14" s="223"/>
      <c r="N14" s="224"/>
    </row>
    <row r="15" spans="1:14" ht="28.5" customHeight="1">
      <c r="A15" s="225" t="s">
        <v>55</v>
      </c>
      <c r="B15" s="226"/>
      <c r="C15" s="226"/>
      <c r="D15" s="226"/>
      <c r="E15" s="226"/>
      <c r="F15" s="226"/>
      <c r="G15" s="226"/>
      <c r="H15" s="226"/>
      <c r="I15" s="226"/>
      <c r="J15" s="226"/>
      <c r="K15" s="226"/>
      <c r="L15" s="226"/>
      <c r="M15" s="226"/>
      <c r="N15" s="227"/>
    </row>
    <row r="16" spans="1:14" ht="120" customHeight="1">
      <c r="A16" s="228" t="s">
        <v>56</v>
      </c>
      <c r="B16" s="229"/>
      <c r="C16" s="229"/>
      <c r="D16" s="229"/>
      <c r="E16" s="229"/>
      <c r="F16" s="229"/>
      <c r="G16" s="229"/>
      <c r="H16" s="229"/>
      <c r="I16" s="229"/>
      <c r="J16" s="229"/>
      <c r="K16" s="229"/>
      <c r="L16" s="229"/>
      <c r="M16" s="229"/>
      <c r="N16" s="230"/>
    </row>
    <row r="17" spans="1:14" ht="13.5" customHeight="1">
      <c r="A17" s="219" t="s">
        <v>57</v>
      </c>
      <c r="B17" s="220"/>
      <c r="C17" s="220"/>
      <c r="D17" s="220"/>
      <c r="E17" s="220"/>
      <c r="F17" s="220"/>
      <c r="G17" s="220"/>
      <c r="H17" s="220"/>
      <c r="I17" s="220"/>
      <c r="J17" s="220"/>
      <c r="K17" s="220"/>
      <c r="L17" s="220"/>
      <c r="M17" s="220"/>
      <c r="N17" s="221"/>
    </row>
    <row r="18" spans="1:14" ht="15" customHeight="1">
      <c r="A18" s="219" t="s">
        <v>58</v>
      </c>
      <c r="B18" s="220"/>
      <c r="C18" s="220"/>
      <c r="D18" s="220"/>
      <c r="E18" s="220"/>
      <c r="F18" s="220"/>
      <c r="G18" s="220"/>
      <c r="H18" s="220"/>
      <c r="I18" s="220"/>
      <c r="J18" s="220"/>
      <c r="K18" s="220"/>
      <c r="L18" s="220"/>
      <c r="M18" s="220"/>
      <c r="N18" s="221"/>
    </row>
    <row r="19" spans="1:14" ht="49.5" customHeight="1">
      <c r="A19" s="219" t="s">
        <v>59</v>
      </c>
      <c r="B19" s="220"/>
      <c r="C19" s="220"/>
      <c r="D19" s="220"/>
      <c r="E19" s="220"/>
      <c r="F19" s="220"/>
      <c r="G19" s="220"/>
      <c r="H19" s="220"/>
      <c r="I19" s="220"/>
      <c r="J19" s="220"/>
      <c r="K19" s="220"/>
      <c r="L19" s="220"/>
      <c r="M19" s="220"/>
      <c r="N19" s="221"/>
    </row>
    <row r="20" spans="1:14">
      <c r="A20" s="216" t="s">
        <v>60</v>
      </c>
      <c r="B20" s="217"/>
      <c r="C20" s="217"/>
      <c r="D20" s="217"/>
      <c r="E20" s="217"/>
      <c r="F20" s="217"/>
      <c r="G20" s="217"/>
      <c r="H20" s="217"/>
      <c r="I20" s="217"/>
      <c r="J20" s="217"/>
      <c r="K20" s="217"/>
      <c r="L20" s="217"/>
      <c r="M20" s="217"/>
      <c r="N20" s="218"/>
    </row>
    <row r="21" spans="1:14" ht="77.25" customHeight="1">
      <c r="A21" s="213" t="s">
        <v>61</v>
      </c>
      <c r="B21" s="214"/>
      <c r="C21" s="214"/>
      <c r="D21" s="214"/>
      <c r="E21" s="214"/>
      <c r="F21" s="214"/>
      <c r="G21" s="214"/>
      <c r="H21" s="214"/>
      <c r="I21" s="214"/>
      <c r="J21" s="214"/>
      <c r="K21" s="214"/>
      <c r="L21" s="214"/>
      <c r="M21" s="214"/>
      <c r="N21" s="215"/>
    </row>
    <row r="22" spans="1:14">
      <c r="A22" s="216" t="s">
        <v>62</v>
      </c>
      <c r="B22" s="217"/>
      <c r="C22" s="217"/>
      <c r="D22" s="217"/>
      <c r="E22" s="217"/>
      <c r="F22" s="217"/>
      <c r="G22" s="217"/>
      <c r="H22" s="217"/>
      <c r="I22" s="217"/>
      <c r="J22" s="217"/>
      <c r="K22" s="217"/>
      <c r="L22" s="217"/>
      <c r="M22" s="217"/>
      <c r="N22" s="218"/>
    </row>
    <row r="23" spans="1:14" ht="51.75" customHeight="1">
      <c r="A23" s="213" t="s">
        <v>63</v>
      </c>
      <c r="B23" s="214"/>
      <c r="C23" s="214"/>
      <c r="D23" s="214"/>
      <c r="E23" s="214"/>
      <c r="F23" s="214"/>
      <c r="G23" s="214"/>
      <c r="H23" s="214"/>
      <c r="I23" s="214"/>
      <c r="J23" s="214"/>
      <c r="K23" s="214"/>
      <c r="L23" s="214"/>
      <c r="M23" s="214"/>
      <c r="N23" s="215"/>
    </row>
    <row r="24" spans="1:14">
      <c r="A24" s="216" t="s">
        <v>64</v>
      </c>
      <c r="B24" s="217"/>
      <c r="C24" s="217"/>
      <c r="D24" s="217"/>
      <c r="E24" s="217"/>
      <c r="F24" s="217"/>
      <c r="G24" s="217"/>
      <c r="H24" s="217"/>
      <c r="I24" s="217"/>
      <c r="J24" s="217"/>
      <c r="K24" s="217"/>
      <c r="L24" s="217"/>
      <c r="M24" s="217"/>
      <c r="N24" s="218"/>
    </row>
    <row r="25" spans="1:14" ht="14.25" customHeight="1">
      <c r="A25" s="213" t="s">
        <v>65</v>
      </c>
      <c r="B25" s="214"/>
      <c r="C25" s="214"/>
      <c r="D25" s="214"/>
      <c r="E25" s="214"/>
      <c r="F25" s="214"/>
      <c r="G25" s="214"/>
      <c r="H25" s="214"/>
      <c r="I25" s="214"/>
      <c r="J25" s="214"/>
      <c r="K25" s="214"/>
      <c r="L25" s="214"/>
      <c r="M25" s="214"/>
      <c r="N25" s="215"/>
    </row>
    <row r="26" spans="1:14">
      <c r="A26" s="216" t="s">
        <v>66</v>
      </c>
      <c r="B26" s="217"/>
      <c r="C26" s="217"/>
      <c r="D26" s="217"/>
      <c r="E26" s="217"/>
      <c r="F26" s="217"/>
      <c r="G26" s="217"/>
      <c r="H26" s="217"/>
      <c r="I26" s="217"/>
      <c r="J26" s="217"/>
      <c r="K26" s="217"/>
      <c r="L26" s="217"/>
      <c r="M26" s="217"/>
      <c r="N26" s="218"/>
    </row>
    <row r="27" spans="1:14" ht="63" customHeight="1">
      <c r="A27" s="213" t="s">
        <v>67</v>
      </c>
      <c r="B27" s="214"/>
      <c r="C27" s="214"/>
      <c r="D27" s="214"/>
      <c r="E27" s="214"/>
      <c r="F27" s="214"/>
      <c r="G27" s="214"/>
      <c r="H27" s="214"/>
      <c r="I27" s="214"/>
      <c r="J27" s="214"/>
      <c r="K27" s="214"/>
      <c r="L27" s="214"/>
      <c r="M27" s="214"/>
      <c r="N27" s="215"/>
    </row>
    <row r="28" spans="1:14">
      <c r="A28" s="216" t="s">
        <v>68</v>
      </c>
      <c r="B28" s="217"/>
      <c r="C28" s="217"/>
      <c r="D28" s="217"/>
      <c r="E28" s="217"/>
      <c r="F28" s="217"/>
      <c r="G28" s="217"/>
      <c r="H28" s="217"/>
      <c r="I28" s="217"/>
      <c r="J28" s="217"/>
      <c r="K28" s="217"/>
      <c r="L28" s="217"/>
      <c r="M28" s="217"/>
      <c r="N28" s="218"/>
    </row>
    <row r="29" spans="1:14" ht="17.25" customHeight="1">
      <c r="A29" s="213" t="s">
        <v>69</v>
      </c>
      <c r="B29" s="214"/>
      <c r="C29" s="214"/>
      <c r="D29" s="214"/>
      <c r="E29" s="214"/>
      <c r="F29" s="214"/>
      <c r="G29" s="214"/>
      <c r="H29" s="214"/>
      <c r="I29" s="214"/>
      <c r="J29" s="214"/>
      <c r="K29" s="214"/>
      <c r="L29" s="214"/>
      <c r="M29" s="214"/>
      <c r="N29" s="215"/>
    </row>
    <row r="30" spans="1:14" ht="36" customHeight="1">
      <c r="A30" s="213" t="s">
        <v>70</v>
      </c>
      <c r="B30" s="214"/>
      <c r="C30" s="214"/>
      <c r="D30" s="214"/>
      <c r="E30" s="214"/>
      <c r="F30" s="214"/>
      <c r="G30" s="214"/>
      <c r="H30" s="214"/>
      <c r="I30" s="214"/>
      <c r="J30" s="214"/>
      <c r="K30" s="214"/>
      <c r="L30" s="214"/>
      <c r="M30" s="214"/>
      <c r="N30" s="215"/>
    </row>
    <row r="31" spans="1:14">
      <c r="A31" s="216" t="s">
        <v>71</v>
      </c>
      <c r="B31" s="217"/>
      <c r="C31" s="217"/>
      <c r="D31" s="217"/>
      <c r="E31" s="217"/>
      <c r="F31" s="217"/>
      <c r="G31" s="217"/>
      <c r="H31" s="217"/>
      <c r="I31" s="217"/>
      <c r="J31" s="217"/>
      <c r="K31" s="217"/>
      <c r="L31" s="217"/>
      <c r="M31" s="217"/>
      <c r="N31" s="218"/>
    </row>
    <row r="32" spans="1:14">
      <c r="A32" s="216" t="s">
        <v>72</v>
      </c>
      <c r="B32" s="217"/>
      <c r="C32" s="217"/>
      <c r="D32" s="217"/>
      <c r="E32" s="217"/>
      <c r="F32" s="217"/>
      <c r="G32" s="217"/>
      <c r="H32" s="217"/>
      <c r="I32" s="217"/>
      <c r="J32" s="217"/>
      <c r="K32" s="217"/>
      <c r="L32" s="217"/>
      <c r="M32" s="217"/>
      <c r="N32" s="218"/>
    </row>
    <row r="33" spans="1:14" ht="34.5" customHeight="1">
      <c r="A33" s="213" t="s">
        <v>73</v>
      </c>
      <c r="B33" s="214"/>
      <c r="C33" s="214"/>
      <c r="D33" s="214"/>
      <c r="E33" s="214"/>
      <c r="F33" s="214"/>
      <c r="G33" s="214"/>
      <c r="H33" s="214"/>
      <c r="I33" s="214"/>
      <c r="J33" s="214"/>
      <c r="K33" s="214"/>
      <c r="L33" s="214"/>
      <c r="M33" s="214"/>
      <c r="N33" s="215"/>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3"/>
  <sheetViews>
    <sheetView tabSelected="1" topLeftCell="A55" zoomScale="90" zoomScaleNormal="90" workbookViewId="0">
      <selection activeCell="B61" sqref="B61"/>
    </sheetView>
  </sheetViews>
  <sheetFormatPr defaultColWidth="9.109375" defaultRowHeight="13.8"/>
  <cols>
    <col min="1" max="1" width="6.33203125" style="49" customWidth="1"/>
    <col min="2" max="2" width="45.5546875" style="37" customWidth="1"/>
    <col min="3" max="3" width="9.33203125" style="37" customWidth="1"/>
    <col min="4" max="4" width="9.88671875" style="37" customWidth="1"/>
    <col min="5" max="5" width="9.88671875" style="50" customWidth="1"/>
    <col min="6" max="6" width="12.44140625" style="37" customWidth="1"/>
    <col min="7" max="7" width="57.33203125" style="37" customWidth="1"/>
    <col min="8" max="8" width="9.109375" style="37" customWidth="1"/>
    <col min="9" max="9" width="9.5546875" style="37" customWidth="1"/>
    <col min="10" max="10" width="10.6640625" style="37" customWidth="1"/>
    <col min="11" max="11" width="13.109375" style="37" customWidth="1"/>
    <col min="12" max="12" width="9.109375" style="37"/>
    <col min="13" max="13" width="10" style="37" bestFit="1" customWidth="1"/>
    <col min="14" max="16384" width="9.109375" style="37"/>
  </cols>
  <sheetData>
    <row r="1" spans="1:11">
      <c r="A1" s="237"/>
      <c r="B1" s="237"/>
      <c r="C1" s="77"/>
      <c r="D1" s="77"/>
      <c r="E1" s="78"/>
      <c r="F1" s="77"/>
      <c r="G1" s="79"/>
      <c r="H1" s="79"/>
      <c r="I1" s="79"/>
      <c r="J1" s="80"/>
      <c r="K1" s="80"/>
    </row>
    <row r="2" spans="1:11">
      <c r="A2" s="237"/>
      <c r="B2" s="237"/>
      <c r="C2" s="77"/>
      <c r="D2" s="77"/>
      <c r="E2" s="78"/>
      <c r="F2" s="77"/>
      <c r="G2" s="77"/>
      <c r="H2" s="77"/>
      <c r="I2" s="80"/>
      <c r="J2" s="80"/>
      <c r="K2" s="80"/>
    </row>
    <row r="3" spans="1:11">
      <c r="A3" s="236"/>
      <c r="B3" s="236"/>
      <c r="C3" s="236"/>
      <c r="D3" s="236"/>
      <c r="E3" s="236"/>
      <c r="F3" s="236"/>
      <c r="G3" s="236"/>
      <c r="H3" s="236"/>
      <c r="I3" s="236"/>
      <c r="J3" s="236"/>
      <c r="K3" s="55"/>
    </row>
    <row r="4" spans="1:11">
      <c r="A4" s="236" t="s">
        <v>189</v>
      </c>
      <c r="B4" s="236"/>
      <c r="C4" s="236"/>
      <c r="D4" s="236"/>
      <c r="E4" s="236"/>
      <c r="F4" s="236"/>
      <c r="G4" s="236"/>
      <c r="H4" s="236"/>
      <c r="I4" s="236"/>
    </row>
    <row r="5" spans="1:11">
      <c r="A5" s="238" t="s">
        <v>185</v>
      </c>
      <c r="B5" s="238"/>
      <c r="C5" s="238"/>
      <c r="D5" s="238"/>
      <c r="E5" s="238"/>
      <c r="F5" s="238"/>
      <c r="G5" s="238"/>
      <c r="H5" s="238"/>
      <c r="I5" s="238"/>
      <c r="J5" s="238"/>
      <c r="K5" s="238"/>
    </row>
    <row r="6" spans="1:11">
      <c r="A6" s="238"/>
      <c r="B6" s="238"/>
      <c r="C6" s="238"/>
      <c r="D6" s="238"/>
      <c r="E6" s="238"/>
      <c r="F6" s="238"/>
      <c r="G6" s="238"/>
      <c r="H6" s="238"/>
      <c r="I6" s="238"/>
      <c r="J6" s="238"/>
      <c r="K6" s="238"/>
    </row>
    <row r="7" spans="1:11" s="43" customFormat="1" ht="82.8">
      <c r="A7" s="38" t="s">
        <v>74</v>
      </c>
      <c r="B7" s="39" t="s">
        <v>75</v>
      </c>
      <c r="C7" s="40" t="s">
        <v>76</v>
      </c>
      <c r="D7" s="41" t="s">
        <v>116</v>
      </c>
      <c r="E7" s="42" t="s">
        <v>120</v>
      </c>
      <c r="F7" s="41" t="s">
        <v>121</v>
      </c>
      <c r="G7" s="40" t="s">
        <v>77</v>
      </c>
      <c r="H7" s="40" t="s">
        <v>78</v>
      </c>
      <c r="I7" s="41" t="s">
        <v>79</v>
      </c>
      <c r="J7" s="41" t="s">
        <v>122</v>
      </c>
      <c r="K7" s="41" t="s">
        <v>123</v>
      </c>
    </row>
    <row r="8" spans="1:11" s="43" customFormat="1">
      <c r="A8" s="51">
        <v>1</v>
      </c>
      <c r="B8" s="81" t="s">
        <v>156</v>
      </c>
      <c r="C8" s="22"/>
      <c r="D8" s="23"/>
      <c r="E8" s="44"/>
      <c r="F8" s="23"/>
      <c r="G8" s="22"/>
      <c r="H8" s="22"/>
      <c r="I8" s="24"/>
      <c r="J8" s="24"/>
      <c r="K8" s="24"/>
    </row>
    <row r="9" spans="1:11" s="43" customFormat="1">
      <c r="A9" s="25">
        <v>2</v>
      </c>
      <c r="B9" s="87" t="s">
        <v>277</v>
      </c>
      <c r="C9" s="85" t="s">
        <v>80</v>
      </c>
      <c r="D9" s="86">
        <v>20</v>
      </c>
      <c r="E9" s="86">
        <v>35</v>
      </c>
      <c r="F9" s="90">
        <f t="shared" ref="F9:F12" si="0">E9*D9</f>
        <v>700</v>
      </c>
      <c r="G9" s="46"/>
      <c r="H9" s="46"/>
      <c r="I9" s="83"/>
      <c r="J9" s="84"/>
      <c r="K9" s="83"/>
    </row>
    <row r="10" spans="1:11" s="43" customFormat="1">
      <c r="A10" s="25">
        <v>3</v>
      </c>
      <c r="B10" s="87" t="s">
        <v>190</v>
      </c>
      <c r="C10" s="88" t="s">
        <v>80</v>
      </c>
      <c r="D10" s="89">
        <v>1</v>
      </c>
      <c r="E10" s="90">
        <v>200</v>
      </c>
      <c r="F10" s="90">
        <f t="shared" si="0"/>
        <v>200</v>
      </c>
      <c r="G10" s="46"/>
      <c r="H10" s="46"/>
      <c r="I10" s="83"/>
      <c r="J10" s="84"/>
      <c r="K10" s="83"/>
    </row>
    <row r="11" spans="1:11" s="43" customFormat="1">
      <c r="A11" s="51">
        <v>4</v>
      </c>
      <c r="B11" s="87" t="s">
        <v>191</v>
      </c>
      <c r="C11" s="88" t="s">
        <v>80</v>
      </c>
      <c r="D11" s="89">
        <v>1</v>
      </c>
      <c r="E11" s="86">
        <v>100</v>
      </c>
      <c r="F11" s="90">
        <f t="shared" si="0"/>
        <v>100</v>
      </c>
      <c r="G11" s="91"/>
      <c r="H11" s="46"/>
      <c r="I11" s="83"/>
      <c r="J11" s="84"/>
      <c r="K11" s="83"/>
    </row>
    <row r="12" spans="1:11" s="43" customFormat="1" ht="27.6" customHeight="1">
      <c r="A12" s="25">
        <v>5</v>
      </c>
      <c r="B12" s="22" t="s">
        <v>278</v>
      </c>
      <c r="C12" s="25" t="s">
        <v>87</v>
      </c>
      <c r="D12" s="26">
        <v>50</v>
      </c>
      <c r="E12" s="26">
        <v>41</v>
      </c>
      <c r="F12" s="90">
        <f t="shared" si="0"/>
        <v>2050</v>
      </c>
      <c r="G12" s="91"/>
      <c r="H12" s="46"/>
      <c r="I12" s="83"/>
      <c r="J12" s="84"/>
      <c r="K12" s="83"/>
    </row>
    <row r="13" spans="1:11" s="43" customFormat="1" ht="27.6" customHeight="1">
      <c r="A13" s="25">
        <v>6</v>
      </c>
      <c r="B13" s="87" t="s">
        <v>155</v>
      </c>
      <c r="C13" s="88" t="s">
        <v>80</v>
      </c>
      <c r="D13" s="89">
        <v>10</v>
      </c>
      <c r="E13" s="90">
        <v>17</v>
      </c>
      <c r="F13" s="90">
        <f>E13*D13</f>
        <v>170</v>
      </c>
      <c r="G13" s="91"/>
      <c r="H13" s="46"/>
      <c r="I13" s="83"/>
      <c r="J13" s="84"/>
      <c r="K13" s="83"/>
    </row>
    <row r="14" spans="1:11" s="43" customFormat="1" ht="41.4">
      <c r="A14" s="51">
        <v>7</v>
      </c>
      <c r="B14" s="87" t="s">
        <v>164</v>
      </c>
      <c r="C14" s="88" t="s">
        <v>80</v>
      </c>
      <c r="D14" s="89">
        <v>1</v>
      </c>
      <c r="E14" s="90">
        <v>837</v>
      </c>
      <c r="F14" s="90">
        <f>E14*D14</f>
        <v>837</v>
      </c>
      <c r="G14" s="91"/>
      <c r="H14" s="46"/>
      <c r="I14" s="83"/>
      <c r="J14" s="84"/>
      <c r="K14" s="83"/>
    </row>
    <row r="15" spans="1:11" s="43" customFormat="1" ht="27.6">
      <c r="A15" s="25">
        <v>8</v>
      </c>
      <c r="B15" s="30" t="s">
        <v>173</v>
      </c>
      <c r="C15" s="31"/>
      <c r="D15" s="32"/>
      <c r="E15" s="32"/>
      <c r="F15" s="32">
        <f>SUM(F9:F14)</f>
        <v>4057</v>
      </c>
      <c r="G15" s="30" t="s">
        <v>157</v>
      </c>
      <c r="H15" s="34"/>
      <c r="I15" s="35"/>
      <c r="J15" s="92"/>
      <c r="K15" s="93">
        <f>SUM(K13:K14)</f>
        <v>0</v>
      </c>
    </row>
    <row r="16" spans="1:11" s="133" customFormat="1" ht="27.6">
      <c r="A16" s="25">
        <v>9</v>
      </c>
      <c r="B16" s="108" t="s">
        <v>279</v>
      </c>
      <c r="C16" s="105" t="s">
        <v>86</v>
      </c>
      <c r="D16" s="90">
        <v>50</v>
      </c>
      <c r="E16" s="90">
        <v>210</v>
      </c>
      <c r="F16" s="90">
        <f>D16*E16</f>
        <v>10500</v>
      </c>
      <c r="G16" s="108" t="s">
        <v>154</v>
      </c>
      <c r="H16" s="148" t="s">
        <v>81</v>
      </c>
      <c r="I16" s="25">
        <f>D16*6</f>
        <v>300</v>
      </c>
      <c r="J16" s="25">
        <v>7.36</v>
      </c>
      <c r="K16" s="26">
        <f t="shared" ref="K16:K19" si="1">J16*I16</f>
        <v>2208</v>
      </c>
    </row>
    <row r="17" spans="1:11" s="133" customFormat="1">
      <c r="A17" s="51">
        <v>10</v>
      </c>
      <c r="B17" s="108"/>
      <c r="C17" s="25"/>
      <c r="D17" s="90"/>
      <c r="E17" s="90"/>
      <c r="F17" s="90"/>
      <c r="G17" s="109" t="s">
        <v>174</v>
      </c>
      <c r="H17" s="96" t="s">
        <v>82</v>
      </c>
      <c r="I17" s="96">
        <f>D16*0.1</f>
        <v>5</v>
      </c>
      <c r="J17" s="96">
        <v>38.58</v>
      </c>
      <c r="K17" s="26">
        <f t="shared" si="1"/>
        <v>192.89999999999998</v>
      </c>
    </row>
    <row r="18" spans="1:11" s="133" customFormat="1">
      <c r="A18" s="25">
        <v>11</v>
      </c>
      <c r="B18" s="108"/>
      <c r="C18" s="25"/>
      <c r="D18" s="90"/>
      <c r="E18" s="90"/>
      <c r="F18" s="90"/>
      <c r="G18" s="109" t="s">
        <v>238</v>
      </c>
      <c r="H18" s="96" t="s">
        <v>87</v>
      </c>
      <c r="I18" s="96">
        <f>D16*1.05</f>
        <v>52.5</v>
      </c>
      <c r="J18" s="96">
        <v>457.5</v>
      </c>
      <c r="K18" s="26">
        <f>J18*I18</f>
        <v>24018.75</v>
      </c>
    </row>
    <row r="19" spans="1:11" s="133" customFormat="1">
      <c r="A19" s="25">
        <v>12</v>
      </c>
      <c r="B19" s="108"/>
      <c r="C19" s="25"/>
      <c r="D19" s="90"/>
      <c r="E19" s="90"/>
      <c r="F19" s="90"/>
      <c r="G19" s="109" t="s">
        <v>145</v>
      </c>
      <c r="H19" s="96" t="s">
        <v>81</v>
      </c>
      <c r="I19" s="96">
        <f>D16*0.5</f>
        <v>25</v>
      </c>
      <c r="J19" s="96">
        <v>97.5</v>
      </c>
      <c r="K19" s="26">
        <f t="shared" si="1"/>
        <v>2437.5</v>
      </c>
    </row>
    <row r="20" spans="1:11" s="133" customFormat="1" ht="27.6">
      <c r="A20" s="51">
        <v>13</v>
      </c>
      <c r="B20" s="163" t="s">
        <v>206</v>
      </c>
      <c r="C20" s="164" t="s">
        <v>86</v>
      </c>
      <c r="D20" s="26">
        <v>10.7</v>
      </c>
      <c r="E20" s="90">
        <v>264</v>
      </c>
      <c r="F20" s="90">
        <f t="shared" ref="F20" si="2">D20*E20</f>
        <v>2824.7999999999997</v>
      </c>
      <c r="G20" s="151" t="s">
        <v>207</v>
      </c>
      <c r="H20" s="154" t="s">
        <v>144</v>
      </c>
      <c r="I20" s="152">
        <f>D20*2*1.05</f>
        <v>22.47</v>
      </c>
      <c r="J20" s="152">
        <v>138.88999999999999</v>
      </c>
      <c r="K20" s="153">
        <f t="shared" ref="K20:K32" si="3">J20*I20</f>
        <v>3120.8582999999994</v>
      </c>
    </row>
    <row r="21" spans="1:11" s="133" customFormat="1">
      <c r="A21" s="25">
        <v>14</v>
      </c>
      <c r="B21" s="163"/>
      <c r="C21" s="163"/>
      <c r="D21" s="165"/>
      <c r="E21" s="166"/>
      <c r="F21" s="90"/>
      <c r="G21" s="147" t="s">
        <v>196</v>
      </c>
      <c r="H21" s="154" t="s">
        <v>80</v>
      </c>
      <c r="I21" s="152">
        <v>7</v>
      </c>
      <c r="J21" s="152">
        <v>233.34</v>
      </c>
      <c r="K21" s="153">
        <f t="shared" si="3"/>
        <v>1633.38</v>
      </c>
    </row>
    <row r="22" spans="1:11" s="133" customFormat="1">
      <c r="A22" s="25">
        <v>15</v>
      </c>
      <c r="B22" s="163"/>
      <c r="C22" s="163"/>
      <c r="D22" s="165"/>
      <c r="E22" s="166"/>
      <c r="F22" s="90"/>
      <c r="G22" s="147" t="s">
        <v>197</v>
      </c>
      <c r="H22" s="154" t="s">
        <v>80</v>
      </c>
      <c r="I22" s="152">
        <v>4</v>
      </c>
      <c r="J22" s="154">
        <v>156.88</v>
      </c>
      <c r="K22" s="134">
        <f t="shared" si="3"/>
        <v>627.52</v>
      </c>
    </row>
    <row r="23" spans="1:11" s="133" customFormat="1">
      <c r="A23" s="51">
        <v>16</v>
      </c>
      <c r="B23" s="163"/>
      <c r="C23" s="163"/>
      <c r="D23" s="165"/>
      <c r="E23" s="166"/>
      <c r="F23" s="90"/>
      <c r="G23" s="147" t="s">
        <v>192</v>
      </c>
      <c r="H23" s="154" t="s">
        <v>80</v>
      </c>
      <c r="I23" s="152">
        <v>5</v>
      </c>
      <c r="J23" s="152">
        <v>113.75</v>
      </c>
      <c r="K23" s="153">
        <f t="shared" si="3"/>
        <v>568.75</v>
      </c>
    </row>
    <row r="24" spans="1:11" s="133" customFormat="1">
      <c r="A24" s="25">
        <v>17</v>
      </c>
      <c r="B24" s="163"/>
      <c r="C24" s="163"/>
      <c r="D24" s="165"/>
      <c r="E24" s="166"/>
      <c r="F24" s="90"/>
      <c r="G24" s="147" t="s">
        <v>193</v>
      </c>
      <c r="H24" s="154" t="s">
        <v>80</v>
      </c>
      <c r="I24" s="152">
        <f>ROUNDUP(D20*3,0)</f>
        <v>33</v>
      </c>
      <c r="J24" s="152">
        <v>0.61</v>
      </c>
      <c r="K24" s="153">
        <f t="shared" si="3"/>
        <v>20.13</v>
      </c>
    </row>
    <row r="25" spans="1:11" s="133" customFormat="1">
      <c r="A25" s="25">
        <v>18</v>
      </c>
      <c r="B25" s="163"/>
      <c r="C25" s="163"/>
      <c r="D25" s="165"/>
      <c r="E25" s="166"/>
      <c r="F25" s="90"/>
      <c r="G25" s="151" t="s">
        <v>194</v>
      </c>
      <c r="H25" s="154" t="s">
        <v>81</v>
      </c>
      <c r="I25" s="152">
        <f>D20*0.7</f>
        <v>7.4899999999999993</v>
      </c>
      <c r="J25" s="152">
        <v>15.13</v>
      </c>
      <c r="K25" s="153">
        <f t="shared" si="3"/>
        <v>113.3237</v>
      </c>
    </row>
    <row r="26" spans="1:11" s="133" customFormat="1">
      <c r="A26" s="51">
        <v>19</v>
      </c>
      <c r="B26" s="163"/>
      <c r="C26" s="163"/>
      <c r="D26" s="165"/>
      <c r="E26" s="166"/>
      <c r="F26" s="90"/>
      <c r="G26" s="147" t="s">
        <v>146</v>
      </c>
      <c r="H26" s="154" t="s">
        <v>80</v>
      </c>
      <c r="I26" s="152">
        <v>1</v>
      </c>
      <c r="J26" s="152">
        <v>20.83</v>
      </c>
      <c r="K26" s="153">
        <f t="shared" si="3"/>
        <v>20.83</v>
      </c>
    </row>
    <row r="27" spans="1:11" s="133" customFormat="1" ht="27.6">
      <c r="A27" s="25">
        <v>20</v>
      </c>
      <c r="B27" s="103" t="s">
        <v>198</v>
      </c>
      <c r="C27" s="104" t="s">
        <v>80</v>
      </c>
      <c r="D27" s="96">
        <v>1</v>
      </c>
      <c r="E27" s="90">
        <v>589</v>
      </c>
      <c r="F27" s="90">
        <f t="shared" ref="F27" si="4">D27*E27</f>
        <v>589</v>
      </c>
      <c r="G27" s="101" t="s">
        <v>199</v>
      </c>
      <c r="H27" s="29" t="s">
        <v>80</v>
      </c>
      <c r="I27" s="111">
        <v>1</v>
      </c>
      <c r="J27" s="96">
        <v>2306.9</v>
      </c>
      <c r="K27" s="26">
        <f t="shared" si="3"/>
        <v>2306.9</v>
      </c>
    </row>
    <row r="28" spans="1:11" s="133" customFormat="1">
      <c r="A28" s="25">
        <v>21</v>
      </c>
      <c r="B28" s="103"/>
      <c r="C28" s="104"/>
      <c r="D28" s="96"/>
      <c r="E28" s="90"/>
      <c r="F28" s="90"/>
      <c r="G28" s="101" t="s">
        <v>200</v>
      </c>
      <c r="H28" s="29" t="s">
        <v>201</v>
      </c>
      <c r="I28" s="111">
        <v>1</v>
      </c>
      <c r="J28" s="96">
        <v>2132.5</v>
      </c>
      <c r="K28" s="26">
        <f t="shared" si="3"/>
        <v>2132.5</v>
      </c>
    </row>
    <row r="29" spans="1:11" s="133" customFormat="1" ht="27.6">
      <c r="A29" s="51">
        <v>22</v>
      </c>
      <c r="B29" s="103"/>
      <c r="C29" s="104"/>
      <c r="D29" s="96"/>
      <c r="E29" s="90"/>
      <c r="F29" s="90"/>
      <c r="G29" s="101" t="s">
        <v>202</v>
      </c>
      <c r="H29" s="29" t="s">
        <v>203</v>
      </c>
      <c r="I29" s="111">
        <v>1</v>
      </c>
      <c r="J29" s="96">
        <v>834.17</v>
      </c>
      <c r="K29" s="26">
        <f t="shared" si="3"/>
        <v>834.17</v>
      </c>
    </row>
    <row r="30" spans="1:11" s="133" customFormat="1" ht="27.6">
      <c r="A30" s="25">
        <v>23</v>
      </c>
      <c r="B30" s="103"/>
      <c r="C30" s="104"/>
      <c r="D30" s="96"/>
      <c r="E30" s="90"/>
      <c r="F30" s="90"/>
      <c r="G30" s="101" t="s">
        <v>204</v>
      </c>
      <c r="H30" s="29" t="s">
        <v>80</v>
      </c>
      <c r="I30" s="111">
        <v>1</v>
      </c>
      <c r="J30" s="96">
        <v>825</v>
      </c>
      <c r="K30" s="26">
        <f t="shared" si="3"/>
        <v>825</v>
      </c>
    </row>
    <row r="31" spans="1:11" s="133" customFormat="1">
      <c r="A31" s="25">
        <v>24</v>
      </c>
      <c r="B31" s="103"/>
      <c r="C31" s="104"/>
      <c r="D31" s="96"/>
      <c r="E31" s="90"/>
      <c r="F31" s="90"/>
      <c r="G31" s="101" t="s">
        <v>205</v>
      </c>
      <c r="H31" s="29" t="s">
        <v>80</v>
      </c>
      <c r="I31" s="111">
        <v>2</v>
      </c>
      <c r="J31" s="96">
        <v>150</v>
      </c>
      <c r="K31" s="26">
        <f t="shared" si="3"/>
        <v>300</v>
      </c>
    </row>
    <row r="32" spans="1:11" s="133" customFormat="1">
      <c r="A32" s="51">
        <v>25</v>
      </c>
      <c r="B32" s="103"/>
      <c r="C32" s="104"/>
      <c r="D32" s="96"/>
      <c r="E32" s="90"/>
      <c r="F32" s="90"/>
      <c r="G32" s="101" t="s">
        <v>266</v>
      </c>
      <c r="H32" s="29" t="s">
        <v>80</v>
      </c>
      <c r="I32" s="155">
        <v>1</v>
      </c>
      <c r="J32" s="96">
        <v>163.33000000000001</v>
      </c>
      <c r="K32" s="26">
        <f t="shared" si="3"/>
        <v>163.33000000000001</v>
      </c>
    </row>
    <row r="33" spans="1:11" s="133" customFormat="1" ht="27.6">
      <c r="A33" s="25">
        <v>26</v>
      </c>
      <c r="B33" s="163" t="s">
        <v>239</v>
      </c>
      <c r="C33" s="164" t="s">
        <v>86</v>
      </c>
      <c r="D33" s="26">
        <f>19+28</f>
        <v>47</v>
      </c>
      <c r="E33" s="90">
        <v>310</v>
      </c>
      <c r="F33" s="90">
        <f t="shared" ref="F33" si="5">D33*E33</f>
        <v>14570</v>
      </c>
      <c r="G33" s="151" t="s">
        <v>207</v>
      </c>
      <c r="H33" s="154" t="s">
        <v>144</v>
      </c>
      <c r="I33" s="152">
        <f>D33*2*1.05</f>
        <v>98.7</v>
      </c>
      <c r="J33" s="152">
        <v>138.88999999999999</v>
      </c>
      <c r="K33" s="153">
        <f t="shared" ref="K33:K49" si="6">J33*I33</f>
        <v>13708.442999999999</v>
      </c>
    </row>
    <row r="34" spans="1:11" s="133" customFormat="1">
      <c r="A34" s="25">
        <v>27</v>
      </c>
      <c r="B34" s="163"/>
      <c r="C34" s="163"/>
      <c r="D34" s="165"/>
      <c r="E34" s="166"/>
      <c r="F34" s="90"/>
      <c r="G34" s="147" t="s">
        <v>196</v>
      </c>
      <c r="H34" s="154" t="s">
        <v>80</v>
      </c>
      <c r="I34" s="152">
        <v>9</v>
      </c>
      <c r="J34" s="152">
        <v>233.34</v>
      </c>
      <c r="K34" s="153">
        <f t="shared" si="6"/>
        <v>2100.06</v>
      </c>
    </row>
    <row r="35" spans="1:11" s="133" customFormat="1">
      <c r="A35" s="51">
        <v>28</v>
      </c>
      <c r="B35" s="163"/>
      <c r="C35" s="163"/>
      <c r="D35" s="165"/>
      <c r="E35" s="166"/>
      <c r="F35" s="90"/>
      <c r="G35" s="147" t="s">
        <v>197</v>
      </c>
      <c r="H35" s="154" t="s">
        <v>80</v>
      </c>
      <c r="I35" s="152">
        <v>6</v>
      </c>
      <c r="J35" s="154">
        <v>156.88</v>
      </c>
      <c r="K35" s="134">
        <f t="shared" si="6"/>
        <v>941.28</v>
      </c>
    </row>
    <row r="36" spans="1:11" s="133" customFormat="1">
      <c r="A36" s="25">
        <v>29</v>
      </c>
      <c r="B36" s="163"/>
      <c r="C36" s="163"/>
      <c r="D36" s="165"/>
      <c r="E36" s="166"/>
      <c r="F36" s="90"/>
      <c r="G36" s="147" t="s">
        <v>192</v>
      </c>
      <c r="H36" s="154" t="s">
        <v>80</v>
      </c>
      <c r="I36" s="152">
        <v>5</v>
      </c>
      <c r="J36" s="152">
        <v>113.75</v>
      </c>
      <c r="K36" s="153">
        <f t="shared" si="6"/>
        <v>568.75</v>
      </c>
    </row>
    <row r="37" spans="1:11" s="133" customFormat="1">
      <c r="A37" s="25">
        <v>30</v>
      </c>
      <c r="B37" s="163"/>
      <c r="C37" s="163"/>
      <c r="D37" s="165"/>
      <c r="E37" s="166"/>
      <c r="F37" s="90"/>
      <c r="G37" s="147" t="s">
        <v>193</v>
      </c>
      <c r="H37" s="154" t="s">
        <v>80</v>
      </c>
      <c r="I37" s="152">
        <f>ROUNDUP(D33*3,0)</f>
        <v>141</v>
      </c>
      <c r="J37" s="152">
        <v>0.61</v>
      </c>
      <c r="K37" s="153">
        <f t="shared" si="6"/>
        <v>86.01</v>
      </c>
    </row>
    <row r="38" spans="1:11" s="133" customFormat="1">
      <c r="A38" s="51">
        <v>31</v>
      </c>
      <c r="B38" s="163"/>
      <c r="C38" s="163"/>
      <c r="D38" s="165"/>
      <c r="E38" s="166"/>
      <c r="F38" s="90"/>
      <c r="G38" s="151" t="s">
        <v>194</v>
      </c>
      <c r="H38" s="154" t="s">
        <v>81</v>
      </c>
      <c r="I38" s="152">
        <f>D33*0.7</f>
        <v>32.9</v>
      </c>
      <c r="J38" s="152">
        <v>15.13</v>
      </c>
      <c r="K38" s="153">
        <f t="shared" si="6"/>
        <v>497.77699999999999</v>
      </c>
    </row>
    <row r="39" spans="1:11" s="133" customFormat="1">
      <c r="A39" s="25">
        <v>32</v>
      </c>
      <c r="B39" s="163"/>
      <c r="C39" s="163"/>
      <c r="D39" s="165"/>
      <c r="E39" s="166"/>
      <c r="F39" s="90"/>
      <c r="G39" s="147" t="s">
        <v>146</v>
      </c>
      <c r="H39" s="154" t="s">
        <v>80</v>
      </c>
      <c r="I39" s="152">
        <v>1</v>
      </c>
      <c r="J39" s="152">
        <v>20.83</v>
      </c>
      <c r="K39" s="153">
        <f t="shared" si="6"/>
        <v>20.83</v>
      </c>
    </row>
    <row r="40" spans="1:11" s="133" customFormat="1">
      <c r="A40" s="25">
        <v>33</v>
      </c>
      <c r="B40" s="103"/>
      <c r="C40" s="104"/>
      <c r="D40" s="96"/>
      <c r="E40" s="90"/>
      <c r="F40" s="90"/>
      <c r="G40" s="147" t="s">
        <v>208</v>
      </c>
      <c r="H40" s="154" t="s">
        <v>88</v>
      </c>
      <c r="I40" s="152">
        <f>6*3.2+14.5*2</f>
        <v>48.2</v>
      </c>
      <c r="J40" s="152">
        <f>530/1.2</f>
        <v>441.66666666666669</v>
      </c>
      <c r="K40" s="153">
        <f t="shared" si="6"/>
        <v>21288.333333333336</v>
      </c>
    </row>
    <row r="41" spans="1:11" s="133" customFormat="1">
      <c r="A41" s="51">
        <v>34</v>
      </c>
      <c r="B41" s="108"/>
      <c r="C41" s="25"/>
      <c r="D41" s="90"/>
      <c r="E41" s="90"/>
      <c r="F41" s="90"/>
      <c r="G41" s="147" t="s">
        <v>195</v>
      </c>
      <c r="H41" s="25" t="s">
        <v>112</v>
      </c>
      <c r="I41" s="25">
        <v>0.02</v>
      </c>
      <c r="J41" s="152">
        <v>32000</v>
      </c>
      <c r="K41" s="153">
        <f t="shared" si="6"/>
        <v>640</v>
      </c>
    </row>
    <row r="42" spans="1:11" s="133" customFormat="1">
      <c r="A42" s="25">
        <v>35</v>
      </c>
      <c r="B42" s="108"/>
      <c r="C42" s="25"/>
      <c r="D42" s="90"/>
      <c r="E42" s="90"/>
      <c r="F42" s="90"/>
      <c r="G42" s="147" t="s">
        <v>225</v>
      </c>
      <c r="H42" s="25" t="s">
        <v>80</v>
      </c>
      <c r="I42" s="116">
        <v>24</v>
      </c>
      <c r="J42" s="152">
        <v>9</v>
      </c>
      <c r="K42" s="153">
        <f t="shared" si="6"/>
        <v>216</v>
      </c>
    </row>
    <row r="43" spans="1:11" s="133" customFormat="1">
      <c r="A43" s="25">
        <v>36</v>
      </c>
      <c r="B43" s="108" t="s">
        <v>257</v>
      </c>
      <c r="C43" s="25" t="s">
        <v>88</v>
      </c>
      <c r="D43" s="90">
        <v>28</v>
      </c>
      <c r="E43" s="167">
        <v>70</v>
      </c>
      <c r="F43" s="90">
        <f>D43*E43</f>
        <v>1960</v>
      </c>
      <c r="G43" s="160" t="s">
        <v>258</v>
      </c>
      <c r="H43" s="162" t="s">
        <v>259</v>
      </c>
      <c r="I43" s="136">
        <v>28</v>
      </c>
      <c r="J43" s="136">
        <v>21.33</v>
      </c>
      <c r="K43" s="134">
        <f t="shared" ref="K43:K48" si="7">J43*I43</f>
        <v>597.24</v>
      </c>
    </row>
    <row r="44" spans="1:11" s="133" customFormat="1">
      <c r="A44" s="51">
        <v>37</v>
      </c>
      <c r="B44" s="108"/>
      <c r="C44" s="25"/>
      <c r="D44" s="90"/>
      <c r="E44" s="167"/>
      <c r="F44" s="90"/>
      <c r="G44" s="160" t="s">
        <v>260</v>
      </c>
      <c r="H44" s="162" t="s">
        <v>243</v>
      </c>
      <c r="I44" s="136">
        <v>4</v>
      </c>
      <c r="J44" s="136">
        <v>18.329999999999998</v>
      </c>
      <c r="K44" s="134">
        <f t="shared" si="7"/>
        <v>73.319999999999993</v>
      </c>
    </row>
    <row r="45" spans="1:11" s="133" customFormat="1">
      <c r="A45" s="25">
        <v>38</v>
      </c>
      <c r="B45" s="108"/>
      <c r="C45" s="25"/>
      <c r="D45" s="90"/>
      <c r="E45" s="167"/>
      <c r="F45" s="90"/>
      <c r="G45" s="160" t="s">
        <v>261</v>
      </c>
      <c r="H45" s="162" t="s">
        <v>243</v>
      </c>
      <c r="I45" s="136">
        <v>4</v>
      </c>
      <c r="J45" s="136">
        <v>18.329999999999998</v>
      </c>
      <c r="K45" s="134">
        <f t="shared" si="7"/>
        <v>73.319999999999993</v>
      </c>
    </row>
    <row r="46" spans="1:11" s="133" customFormat="1">
      <c r="A46" s="25">
        <v>39</v>
      </c>
      <c r="B46" s="108"/>
      <c r="C46" s="25"/>
      <c r="D46" s="90"/>
      <c r="E46" s="167"/>
      <c r="F46" s="90"/>
      <c r="G46" s="160" t="s">
        <v>262</v>
      </c>
      <c r="H46" s="162" t="s">
        <v>243</v>
      </c>
      <c r="I46" s="136">
        <v>4</v>
      </c>
      <c r="J46" s="136">
        <v>18.329999999999998</v>
      </c>
      <c r="K46" s="134">
        <f t="shared" si="7"/>
        <v>73.319999999999993</v>
      </c>
    </row>
    <row r="47" spans="1:11" s="133" customFormat="1">
      <c r="A47" s="51">
        <v>40</v>
      </c>
      <c r="B47" s="108"/>
      <c r="C47" s="25"/>
      <c r="D47" s="90"/>
      <c r="E47" s="167"/>
      <c r="F47" s="90"/>
      <c r="G47" s="160" t="s">
        <v>263</v>
      </c>
      <c r="H47" s="162" t="s">
        <v>243</v>
      </c>
      <c r="I47" s="136">
        <v>4</v>
      </c>
      <c r="J47" s="136">
        <v>18.329999999999998</v>
      </c>
      <c r="K47" s="134">
        <f t="shared" si="7"/>
        <v>73.319999999999993</v>
      </c>
    </row>
    <row r="48" spans="1:11" s="133" customFormat="1">
      <c r="A48" s="25">
        <v>41</v>
      </c>
      <c r="B48" s="108"/>
      <c r="C48" s="25"/>
      <c r="D48" s="90"/>
      <c r="E48" s="167"/>
      <c r="F48" s="90"/>
      <c r="G48" s="160" t="s">
        <v>264</v>
      </c>
      <c r="H48" s="162" t="s">
        <v>265</v>
      </c>
      <c r="I48" s="136">
        <v>1</v>
      </c>
      <c r="J48" s="136">
        <v>29.67</v>
      </c>
      <c r="K48" s="134">
        <f t="shared" si="7"/>
        <v>29.67</v>
      </c>
    </row>
    <row r="49" spans="1:11" s="133" customFormat="1" ht="27.6">
      <c r="A49" s="25">
        <v>42</v>
      </c>
      <c r="B49" s="108" t="s">
        <v>209</v>
      </c>
      <c r="C49" s="25" t="s">
        <v>87</v>
      </c>
      <c r="D49" s="26">
        <f>12-1.5</f>
        <v>10.5</v>
      </c>
      <c r="E49" s="26">
        <v>130</v>
      </c>
      <c r="F49" s="90">
        <f t="shared" ref="F49" si="8">E49*D49</f>
        <v>1365</v>
      </c>
      <c r="G49" s="147" t="s">
        <v>210</v>
      </c>
      <c r="H49" s="25" t="s">
        <v>88</v>
      </c>
      <c r="I49" s="116">
        <f>(3.4+0.2)*2+(1.45+0.2)*2</f>
        <v>10.5</v>
      </c>
      <c r="J49" s="152">
        <f>140/1.2</f>
        <v>116.66666666666667</v>
      </c>
      <c r="K49" s="153">
        <f t="shared" si="6"/>
        <v>1225</v>
      </c>
    </row>
    <row r="50" spans="1:11" s="133" customFormat="1">
      <c r="A50" s="51">
        <v>43</v>
      </c>
      <c r="B50" s="108"/>
      <c r="C50" s="25"/>
      <c r="D50" s="90"/>
      <c r="E50" s="90"/>
      <c r="F50" s="90"/>
      <c r="G50" s="147" t="s">
        <v>240</v>
      </c>
      <c r="H50" s="25" t="s">
        <v>112</v>
      </c>
      <c r="I50" s="116">
        <v>0.02</v>
      </c>
      <c r="J50" s="152">
        <v>32000</v>
      </c>
      <c r="K50" s="153">
        <f t="shared" ref="K50" si="9">J50*I50</f>
        <v>640</v>
      </c>
    </row>
    <row r="51" spans="1:11" s="45" customFormat="1" ht="27.6">
      <c r="A51" s="25">
        <v>44</v>
      </c>
      <c r="B51" s="103" t="s">
        <v>211</v>
      </c>
      <c r="C51" s="104" t="s">
        <v>87</v>
      </c>
      <c r="D51" s="96">
        <f>47+10.6*2</f>
        <v>68.2</v>
      </c>
      <c r="E51" s="90">
        <v>102</v>
      </c>
      <c r="F51" s="90">
        <f>D51*E51</f>
        <v>6956.4000000000005</v>
      </c>
      <c r="G51" s="109" t="s">
        <v>134</v>
      </c>
      <c r="H51" s="96" t="s">
        <v>82</v>
      </c>
      <c r="I51" s="96">
        <f>D51*0.1</f>
        <v>6.82</v>
      </c>
      <c r="J51" s="96">
        <v>38.58</v>
      </c>
      <c r="K51" s="26">
        <f>J51*I51</f>
        <v>263.11559999999997</v>
      </c>
    </row>
    <row r="52" spans="1:11" s="45" customFormat="1">
      <c r="A52" s="25">
        <v>45</v>
      </c>
      <c r="B52" s="103"/>
      <c r="C52" s="104"/>
      <c r="D52" s="96"/>
      <c r="E52" s="90"/>
      <c r="F52" s="90"/>
      <c r="G52" s="102" t="s">
        <v>175</v>
      </c>
      <c r="H52" s="29" t="s">
        <v>81</v>
      </c>
      <c r="I52" s="97">
        <f>D51*3</f>
        <v>204.60000000000002</v>
      </c>
      <c r="J52" s="96">
        <v>11.53</v>
      </c>
      <c r="K52" s="26">
        <f>J52*I52</f>
        <v>2359.038</v>
      </c>
    </row>
    <row r="53" spans="1:11" s="45" customFormat="1" ht="41.4">
      <c r="A53" s="51">
        <v>46</v>
      </c>
      <c r="B53" s="112" t="s">
        <v>212</v>
      </c>
      <c r="C53" s="168" t="s">
        <v>87</v>
      </c>
      <c r="D53" s="96">
        <f>29+6</f>
        <v>35</v>
      </c>
      <c r="E53" s="167">
        <v>97.5</v>
      </c>
      <c r="F53" s="120">
        <f t="shared" ref="F53" si="10">D53*E53</f>
        <v>3412.5</v>
      </c>
      <c r="G53" s="109" t="s">
        <v>134</v>
      </c>
      <c r="H53" s="96" t="s">
        <v>82</v>
      </c>
      <c r="I53" s="96">
        <f>D53*0.1</f>
        <v>3.5</v>
      </c>
      <c r="J53" s="137">
        <v>38.58</v>
      </c>
      <c r="K53" s="134">
        <f t="shared" ref="K53:K54" si="11">J53*I53</f>
        <v>135.03</v>
      </c>
    </row>
    <row r="54" spans="1:11" s="45" customFormat="1">
      <c r="A54" s="25">
        <v>47</v>
      </c>
      <c r="B54" s="112"/>
      <c r="C54" s="168"/>
      <c r="D54" s="109"/>
      <c r="E54" s="166"/>
      <c r="F54" s="146"/>
      <c r="G54" s="160" t="s">
        <v>213</v>
      </c>
      <c r="H54" s="162" t="s">
        <v>81</v>
      </c>
      <c r="I54" s="136">
        <f>D53*1.5</f>
        <v>52.5</v>
      </c>
      <c r="J54" s="137">
        <v>33.299999999999997</v>
      </c>
      <c r="K54" s="134">
        <f t="shared" si="11"/>
        <v>1748.2499999999998</v>
      </c>
    </row>
    <row r="55" spans="1:11" s="45" customFormat="1">
      <c r="A55" s="25">
        <v>48</v>
      </c>
      <c r="B55" s="112" t="s">
        <v>147</v>
      </c>
      <c r="C55" s="104" t="s">
        <v>87</v>
      </c>
      <c r="D55" s="96">
        <f>10.6+1+7.5+28.5+28.5+6</f>
        <v>82.1</v>
      </c>
      <c r="E55" s="90">
        <v>51</v>
      </c>
      <c r="F55" s="90">
        <f t="shared" ref="F55:F59" si="12">D55*E55</f>
        <v>4187.0999999999995</v>
      </c>
      <c r="G55" s="109" t="s">
        <v>135</v>
      </c>
      <c r="H55" s="96" t="s">
        <v>82</v>
      </c>
      <c r="I55" s="96">
        <f>D55*0.1+D56*0.3*0.1</f>
        <v>8.2099999999999991</v>
      </c>
      <c r="J55" s="96">
        <v>38.58</v>
      </c>
      <c r="K55" s="26">
        <f t="shared" ref="K55:K64" si="13">J55*I55</f>
        <v>316.74179999999996</v>
      </c>
    </row>
    <row r="56" spans="1:11" s="45" customFormat="1">
      <c r="A56" s="51">
        <v>49</v>
      </c>
      <c r="B56" s="112"/>
      <c r="C56" s="104"/>
      <c r="D56" s="96"/>
      <c r="E56" s="90"/>
      <c r="F56" s="90"/>
      <c r="G56" s="99" t="s">
        <v>167</v>
      </c>
      <c r="H56" s="96" t="s">
        <v>82</v>
      </c>
      <c r="I56" s="96">
        <f>(D55+D56*0.3)/7*2</f>
        <v>23.457142857142856</v>
      </c>
      <c r="J56" s="96">
        <v>250</v>
      </c>
      <c r="K56" s="26">
        <f t="shared" si="13"/>
        <v>5864.2857142857138</v>
      </c>
    </row>
    <row r="57" spans="1:11" s="45" customFormat="1">
      <c r="A57" s="25">
        <v>50</v>
      </c>
      <c r="B57" s="112" t="s">
        <v>143</v>
      </c>
      <c r="C57" s="104" t="s">
        <v>87</v>
      </c>
      <c r="D57" s="96">
        <f>11+12+1</f>
        <v>24</v>
      </c>
      <c r="E57" s="90">
        <v>51</v>
      </c>
      <c r="F57" s="90">
        <f t="shared" si="12"/>
        <v>1224</v>
      </c>
      <c r="G57" s="99" t="s">
        <v>135</v>
      </c>
      <c r="H57" s="96" t="s">
        <v>82</v>
      </c>
      <c r="I57" s="96">
        <f>D57*0.1</f>
        <v>2.4000000000000004</v>
      </c>
      <c r="J57" s="96">
        <v>38.58</v>
      </c>
      <c r="K57" s="26">
        <f t="shared" si="13"/>
        <v>92.592000000000013</v>
      </c>
    </row>
    <row r="58" spans="1:11" s="45" customFormat="1">
      <c r="A58" s="25">
        <v>51</v>
      </c>
      <c r="B58" s="108"/>
      <c r="C58" s="25"/>
      <c r="D58" s="90"/>
      <c r="E58" s="90"/>
      <c r="F58" s="90"/>
      <c r="G58" s="99" t="s">
        <v>168</v>
      </c>
      <c r="H58" s="104" t="s">
        <v>82</v>
      </c>
      <c r="I58" s="96">
        <f>D57/7*2</f>
        <v>6.8571428571428568</v>
      </c>
      <c r="J58" s="96">
        <v>550</v>
      </c>
      <c r="K58" s="26">
        <f t="shared" si="13"/>
        <v>3771.4285714285711</v>
      </c>
    </row>
    <row r="59" spans="1:11" s="45" customFormat="1">
      <c r="A59" s="51">
        <v>52</v>
      </c>
      <c r="B59" s="108" t="s">
        <v>241</v>
      </c>
      <c r="C59" s="25" t="s">
        <v>87</v>
      </c>
      <c r="D59" s="90">
        <v>11.6</v>
      </c>
      <c r="E59" s="90">
        <v>999.96</v>
      </c>
      <c r="F59" s="90">
        <f t="shared" si="12"/>
        <v>11599.536</v>
      </c>
      <c r="G59" s="108" t="s">
        <v>241</v>
      </c>
      <c r="H59" s="25" t="s">
        <v>87</v>
      </c>
      <c r="I59" s="96">
        <v>11.6</v>
      </c>
      <c r="J59" s="96">
        <f>1665.83</f>
        <v>1665.83</v>
      </c>
      <c r="K59" s="26">
        <f t="shared" si="13"/>
        <v>19323.627999999997</v>
      </c>
    </row>
    <row r="60" spans="1:11" s="45" customFormat="1">
      <c r="A60" s="25">
        <v>53</v>
      </c>
      <c r="B60" s="108"/>
      <c r="C60" s="25"/>
      <c r="D60" s="90"/>
      <c r="E60" s="90"/>
      <c r="F60" s="90"/>
      <c r="G60" s="108" t="s">
        <v>242</v>
      </c>
      <c r="H60" s="25" t="s">
        <v>243</v>
      </c>
      <c r="I60" s="96">
        <v>2</v>
      </c>
      <c r="J60" s="96">
        <v>5639.89</v>
      </c>
      <c r="K60" s="26">
        <f t="shared" si="13"/>
        <v>11279.78</v>
      </c>
    </row>
    <row r="61" spans="1:11" s="45" customFormat="1" ht="27.6">
      <c r="A61" s="25">
        <v>54</v>
      </c>
      <c r="B61" s="108" t="s">
        <v>244</v>
      </c>
      <c r="C61" s="25" t="s">
        <v>88</v>
      </c>
      <c r="D61" s="90">
        <v>25.8</v>
      </c>
      <c r="E61" s="90">
        <v>109</v>
      </c>
      <c r="F61" s="90">
        <f t="shared" ref="F61" si="14">D61*E61</f>
        <v>2812.2000000000003</v>
      </c>
      <c r="G61" s="108" t="s">
        <v>245</v>
      </c>
      <c r="H61" s="25" t="s">
        <v>144</v>
      </c>
      <c r="I61" s="96">
        <v>12</v>
      </c>
      <c r="J61" s="96">
        <f>800/1.2/3</f>
        <v>222.22222222222226</v>
      </c>
      <c r="K61" s="26">
        <f t="shared" si="13"/>
        <v>2666.666666666667</v>
      </c>
    </row>
    <row r="62" spans="1:11" s="45" customFormat="1">
      <c r="A62" s="51">
        <v>55</v>
      </c>
      <c r="B62" s="108"/>
      <c r="C62" s="25"/>
      <c r="D62" s="90"/>
      <c r="E62" s="90"/>
      <c r="F62" s="90"/>
      <c r="G62" s="147" t="s">
        <v>197</v>
      </c>
      <c r="H62" s="154" t="s">
        <v>80</v>
      </c>
      <c r="I62" s="152">
        <v>3</v>
      </c>
      <c r="J62" s="154">
        <v>156.88</v>
      </c>
      <c r="K62" s="134">
        <f t="shared" si="13"/>
        <v>470.64</v>
      </c>
    </row>
    <row r="63" spans="1:11" s="45" customFormat="1" ht="27.6">
      <c r="A63" s="25">
        <v>56</v>
      </c>
      <c r="B63" s="108"/>
      <c r="C63" s="25"/>
      <c r="D63" s="90"/>
      <c r="E63" s="90"/>
      <c r="F63" s="90"/>
      <c r="G63" s="151" t="s">
        <v>246</v>
      </c>
      <c r="H63" s="154" t="s">
        <v>80</v>
      </c>
      <c r="I63" s="152">
        <v>1</v>
      </c>
      <c r="J63" s="152">
        <v>372</v>
      </c>
      <c r="K63" s="153">
        <f t="shared" si="13"/>
        <v>372</v>
      </c>
    </row>
    <row r="64" spans="1:11" s="45" customFormat="1">
      <c r="A64" s="25">
        <v>57</v>
      </c>
      <c r="B64" s="108"/>
      <c r="C64" s="25"/>
      <c r="D64" s="90"/>
      <c r="E64" s="90"/>
      <c r="F64" s="90"/>
      <c r="G64" s="147" t="s">
        <v>192</v>
      </c>
      <c r="H64" s="154" t="s">
        <v>80</v>
      </c>
      <c r="I64" s="152">
        <v>1</v>
      </c>
      <c r="J64" s="152">
        <v>113.75</v>
      </c>
      <c r="K64" s="153">
        <f t="shared" si="13"/>
        <v>113.75</v>
      </c>
    </row>
    <row r="65" spans="1:11" s="45" customFormat="1">
      <c r="A65" s="51">
        <v>58</v>
      </c>
      <c r="B65" s="108"/>
      <c r="C65" s="25"/>
      <c r="D65" s="90"/>
      <c r="E65" s="90"/>
      <c r="F65" s="90"/>
      <c r="G65" s="151" t="s">
        <v>194</v>
      </c>
      <c r="H65" s="154" t="s">
        <v>81</v>
      </c>
      <c r="I65" s="152">
        <f>D61*0.7</f>
        <v>18.059999999999999</v>
      </c>
      <c r="J65" s="152">
        <v>15.13</v>
      </c>
      <c r="K65" s="153">
        <f>J65*I65</f>
        <v>273.24779999999998</v>
      </c>
    </row>
    <row r="66" spans="1:11" s="45" customFormat="1">
      <c r="A66" s="25">
        <v>59</v>
      </c>
      <c r="B66" s="108"/>
      <c r="C66" s="25"/>
      <c r="D66" s="90"/>
      <c r="E66" s="90"/>
      <c r="F66" s="90"/>
      <c r="G66" s="147" t="s">
        <v>146</v>
      </c>
      <c r="H66" s="154" t="s">
        <v>80</v>
      </c>
      <c r="I66" s="152">
        <v>2</v>
      </c>
      <c r="J66" s="152">
        <v>20.83</v>
      </c>
      <c r="K66" s="153">
        <f>J66*I66</f>
        <v>41.66</v>
      </c>
    </row>
    <row r="67" spans="1:11" s="45" customFormat="1">
      <c r="A67" s="25">
        <v>60</v>
      </c>
      <c r="B67" s="108"/>
      <c r="C67" s="25"/>
      <c r="D67" s="90"/>
      <c r="E67" s="90"/>
      <c r="F67" s="90"/>
      <c r="G67" s="109" t="s">
        <v>135</v>
      </c>
      <c r="H67" s="96" t="s">
        <v>82</v>
      </c>
      <c r="I67" s="96">
        <v>5</v>
      </c>
      <c r="J67" s="96">
        <v>38.58</v>
      </c>
      <c r="K67" s="26">
        <f t="shared" ref="K67:K71" si="15">J67*I67</f>
        <v>192.89999999999998</v>
      </c>
    </row>
    <row r="68" spans="1:11" s="45" customFormat="1">
      <c r="A68" s="51">
        <v>61</v>
      </c>
      <c r="B68" s="108"/>
      <c r="C68" s="25"/>
      <c r="D68" s="90"/>
      <c r="E68" s="90"/>
      <c r="F68" s="90"/>
      <c r="G68" s="99" t="s">
        <v>167</v>
      </c>
      <c r="H68" s="96" t="s">
        <v>82</v>
      </c>
      <c r="I68" s="96">
        <v>5</v>
      </c>
      <c r="J68" s="96">
        <v>250</v>
      </c>
      <c r="K68" s="26">
        <f t="shared" si="15"/>
        <v>1250</v>
      </c>
    </row>
    <row r="69" spans="1:11" s="45" customFormat="1">
      <c r="A69" s="25">
        <v>62</v>
      </c>
      <c r="B69" s="108"/>
      <c r="C69" s="25"/>
      <c r="D69" s="90"/>
      <c r="E69" s="90"/>
      <c r="F69" s="90"/>
      <c r="G69" s="99" t="s">
        <v>168</v>
      </c>
      <c r="H69" s="104" t="s">
        <v>82</v>
      </c>
      <c r="I69" s="96">
        <v>2</v>
      </c>
      <c r="J69" s="96">
        <v>550</v>
      </c>
      <c r="K69" s="26">
        <f t="shared" si="15"/>
        <v>1100</v>
      </c>
    </row>
    <row r="70" spans="1:11" s="45" customFormat="1">
      <c r="A70" s="25">
        <v>63</v>
      </c>
      <c r="B70" s="108"/>
      <c r="C70" s="25"/>
      <c r="D70" s="90"/>
      <c r="E70" s="90"/>
      <c r="F70" s="90"/>
      <c r="G70" s="108" t="s">
        <v>247</v>
      </c>
      <c r="H70" s="25" t="s">
        <v>80</v>
      </c>
      <c r="I70" s="96">
        <v>10</v>
      </c>
      <c r="J70" s="96">
        <f>133/1.2</f>
        <v>110.83333333333334</v>
      </c>
      <c r="K70" s="26">
        <f t="shared" si="15"/>
        <v>1108.3333333333335</v>
      </c>
    </row>
    <row r="71" spans="1:11" s="45" customFormat="1">
      <c r="A71" s="51">
        <v>64</v>
      </c>
      <c r="B71" s="108"/>
      <c r="C71" s="25"/>
      <c r="D71" s="90"/>
      <c r="E71" s="90"/>
      <c r="F71" s="90"/>
      <c r="G71" s="99" t="s">
        <v>248</v>
      </c>
      <c r="H71" s="104" t="s">
        <v>80</v>
      </c>
      <c r="I71" s="96">
        <v>3</v>
      </c>
      <c r="J71" s="96">
        <f>195/1.2</f>
        <v>162.5</v>
      </c>
      <c r="K71" s="26">
        <f t="shared" si="15"/>
        <v>487.5</v>
      </c>
    </row>
    <row r="72" spans="1:11" s="52" customFormat="1" ht="27.6">
      <c r="A72" s="25">
        <v>65</v>
      </c>
      <c r="B72" s="169" t="s">
        <v>271</v>
      </c>
      <c r="C72" s="170" t="s">
        <v>80</v>
      </c>
      <c r="D72" s="170">
        <v>1</v>
      </c>
      <c r="E72" s="170">
        <v>169.15</v>
      </c>
      <c r="F72" s="120">
        <f t="shared" ref="F72:F74" si="16">D72*E72</f>
        <v>169.15</v>
      </c>
      <c r="G72" s="169" t="s">
        <v>267</v>
      </c>
      <c r="H72" s="170" t="s">
        <v>80</v>
      </c>
      <c r="I72" s="172">
        <f>D72</f>
        <v>1</v>
      </c>
      <c r="J72" s="170" t="s">
        <v>105</v>
      </c>
      <c r="K72" s="170"/>
    </row>
    <row r="73" spans="1:11" s="52" customFormat="1">
      <c r="A73" s="25">
        <v>66</v>
      </c>
      <c r="B73" s="169"/>
      <c r="C73" s="169"/>
      <c r="D73" s="169"/>
      <c r="E73" s="169"/>
      <c r="F73" s="169"/>
      <c r="G73" s="169" t="s">
        <v>268</v>
      </c>
      <c r="H73" s="170" t="s">
        <v>80</v>
      </c>
      <c r="I73" s="172">
        <f>4*D72</f>
        <v>4</v>
      </c>
      <c r="J73" s="170">
        <v>25</v>
      </c>
      <c r="K73" s="170">
        <f t="shared" ref="K73" si="17">I73*J73</f>
        <v>100</v>
      </c>
    </row>
    <row r="74" spans="1:11" s="52" customFormat="1" ht="27.6">
      <c r="A74" s="51">
        <v>67</v>
      </c>
      <c r="B74" s="169" t="s">
        <v>273</v>
      </c>
      <c r="C74" s="169" t="s">
        <v>102</v>
      </c>
      <c r="D74" s="120">
        <v>1</v>
      </c>
      <c r="E74" s="120">
        <v>50</v>
      </c>
      <c r="F74" s="120">
        <f t="shared" si="16"/>
        <v>50</v>
      </c>
      <c r="G74" s="169" t="s">
        <v>272</v>
      </c>
      <c r="H74" s="170" t="s">
        <v>80</v>
      </c>
      <c r="I74" s="172">
        <v>1</v>
      </c>
      <c r="J74" s="173" t="s">
        <v>105</v>
      </c>
      <c r="K74" s="170"/>
    </row>
    <row r="75" spans="1:11" s="45" customFormat="1" ht="27.6">
      <c r="A75" s="25">
        <v>68</v>
      </c>
      <c r="B75" s="169" t="s">
        <v>181</v>
      </c>
      <c r="C75" s="171" t="s">
        <v>80</v>
      </c>
      <c r="D75" s="120">
        <v>3</v>
      </c>
      <c r="E75" s="120">
        <v>55</v>
      </c>
      <c r="F75" s="120">
        <f>D75*E75</f>
        <v>165</v>
      </c>
      <c r="G75" s="101" t="s">
        <v>182</v>
      </c>
      <c r="H75" s="29" t="s">
        <v>80</v>
      </c>
      <c r="I75" s="172">
        <f>D75</f>
        <v>3</v>
      </c>
      <c r="J75" s="173" t="s">
        <v>105</v>
      </c>
      <c r="K75" s="134"/>
    </row>
    <row r="76" spans="1:11" s="45" customFormat="1">
      <c r="A76" s="25">
        <v>69</v>
      </c>
      <c r="B76" s="174"/>
      <c r="C76" s="175"/>
      <c r="D76" s="136"/>
      <c r="E76" s="120"/>
      <c r="F76" s="120"/>
      <c r="G76" s="99" t="s">
        <v>183</v>
      </c>
      <c r="H76" s="96" t="s">
        <v>80</v>
      </c>
      <c r="I76" s="96">
        <f>D75*2</f>
        <v>6</v>
      </c>
      <c r="J76" s="176">
        <v>10.119999999999999</v>
      </c>
      <c r="K76" s="134">
        <f>J76*I76</f>
        <v>60.72</v>
      </c>
    </row>
    <row r="77" spans="1:11" s="45" customFormat="1">
      <c r="A77" s="51">
        <v>70</v>
      </c>
      <c r="B77" s="174" t="s">
        <v>184</v>
      </c>
      <c r="C77" s="175" t="s">
        <v>80</v>
      </c>
      <c r="D77" s="136">
        <v>1</v>
      </c>
      <c r="E77" s="120">
        <v>169</v>
      </c>
      <c r="F77" s="120">
        <f>D77*E77</f>
        <v>169</v>
      </c>
      <c r="G77" s="138" t="s">
        <v>171</v>
      </c>
      <c r="H77" s="137" t="s">
        <v>88</v>
      </c>
      <c r="I77" s="177">
        <v>6</v>
      </c>
      <c r="J77" s="137">
        <v>21.92</v>
      </c>
      <c r="K77" s="134">
        <f t="shared" ref="K77:K78" si="18">J77*I77</f>
        <v>131.52000000000001</v>
      </c>
    </row>
    <row r="78" spans="1:11" s="45" customFormat="1">
      <c r="A78" s="25">
        <v>71</v>
      </c>
      <c r="B78" s="108"/>
      <c r="C78" s="25"/>
      <c r="D78" s="90"/>
      <c r="E78" s="90"/>
      <c r="F78" s="90"/>
      <c r="G78" s="138" t="s">
        <v>172</v>
      </c>
      <c r="H78" s="137" t="s">
        <v>80</v>
      </c>
      <c r="I78" s="177">
        <v>4</v>
      </c>
      <c r="J78" s="137">
        <v>12</v>
      </c>
      <c r="K78" s="134">
        <f t="shared" si="18"/>
        <v>48</v>
      </c>
    </row>
    <row r="79" spans="1:11" s="43" customFormat="1" ht="41.4">
      <c r="A79" s="25">
        <v>72</v>
      </c>
      <c r="B79" s="30" t="s">
        <v>90</v>
      </c>
      <c r="C79" s="31"/>
      <c r="D79" s="32"/>
      <c r="E79" s="106"/>
      <c r="F79" s="32">
        <f>SUM(F16:F78)</f>
        <v>62553.685999999994</v>
      </c>
      <c r="G79" s="30" t="s">
        <v>91</v>
      </c>
      <c r="H79" s="34"/>
      <c r="I79" s="35"/>
      <c r="J79" s="92"/>
      <c r="K79" s="93">
        <f>SUM(K16:K78)</f>
        <v>137947.34281904768</v>
      </c>
    </row>
    <row r="80" spans="1:11" s="43" customFormat="1">
      <c r="A80" s="51">
        <v>73</v>
      </c>
      <c r="B80" s="81" t="s">
        <v>83</v>
      </c>
      <c r="C80" s="25"/>
      <c r="D80" s="26"/>
      <c r="E80" s="26"/>
      <c r="F80" s="26"/>
      <c r="G80" s="22"/>
      <c r="H80" s="25"/>
      <c r="I80" s="27"/>
      <c r="J80" s="27"/>
      <c r="K80" s="27"/>
    </row>
    <row r="81" spans="1:12" s="43" customFormat="1">
      <c r="A81" s="25">
        <v>74</v>
      </c>
      <c r="B81" s="108" t="s">
        <v>100</v>
      </c>
      <c r="C81" s="108" t="s">
        <v>88</v>
      </c>
      <c r="D81" s="90">
        <v>280</v>
      </c>
      <c r="E81" s="120">
        <v>18</v>
      </c>
      <c r="F81" s="120">
        <f t="shared" ref="F81" si="19">D81*E81</f>
        <v>5040</v>
      </c>
      <c r="G81" s="108" t="s">
        <v>124</v>
      </c>
      <c r="H81" s="156" t="s">
        <v>88</v>
      </c>
      <c r="I81" s="157">
        <v>170</v>
      </c>
      <c r="J81" s="146">
        <v>30.08</v>
      </c>
      <c r="K81" s="145">
        <f t="shared" ref="K81:K89" si="20">J81*I81</f>
        <v>5113.5999999999995</v>
      </c>
    </row>
    <row r="82" spans="1:12" s="43" customFormat="1">
      <c r="A82" s="25">
        <v>75</v>
      </c>
      <c r="B82" s="151"/>
      <c r="C82" s="156"/>
      <c r="D82" s="146"/>
      <c r="E82" s="146"/>
      <c r="F82" s="146"/>
      <c r="G82" s="108" t="s">
        <v>151</v>
      </c>
      <c r="H82" s="156" t="s">
        <v>88</v>
      </c>
      <c r="I82" s="157">
        <v>100</v>
      </c>
      <c r="J82" s="146">
        <v>46.75</v>
      </c>
      <c r="K82" s="145">
        <f t="shared" si="20"/>
        <v>4675</v>
      </c>
    </row>
    <row r="83" spans="1:12" s="43" customFormat="1">
      <c r="A83" s="51">
        <v>76</v>
      </c>
      <c r="B83" s="151"/>
      <c r="C83" s="156"/>
      <c r="D83" s="146"/>
      <c r="E83" s="146"/>
      <c r="F83" s="146"/>
      <c r="G83" s="108" t="s">
        <v>235</v>
      </c>
      <c r="H83" s="156" t="s">
        <v>88</v>
      </c>
      <c r="I83" s="157">
        <v>10</v>
      </c>
      <c r="J83" s="146">
        <v>133.33000000000001</v>
      </c>
      <c r="K83" s="145">
        <f t="shared" si="20"/>
        <v>1333.3000000000002</v>
      </c>
    </row>
    <row r="84" spans="1:12" s="43" customFormat="1">
      <c r="A84" s="25">
        <v>77</v>
      </c>
      <c r="B84" s="151"/>
      <c r="C84" s="156"/>
      <c r="D84" s="146"/>
      <c r="E84" s="146"/>
      <c r="F84" s="146"/>
      <c r="G84" s="147" t="s">
        <v>148</v>
      </c>
      <c r="H84" s="158" t="s">
        <v>80</v>
      </c>
      <c r="I84" s="157">
        <v>3</v>
      </c>
      <c r="J84" s="146">
        <v>20</v>
      </c>
      <c r="K84" s="145">
        <f t="shared" si="20"/>
        <v>60</v>
      </c>
    </row>
    <row r="85" spans="1:12" s="43" customFormat="1" ht="27.6">
      <c r="A85" s="25">
        <v>78</v>
      </c>
      <c r="B85" s="151"/>
      <c r="C85" s="156"/>
      <c r="D85" s="146"/>
      <c r="E85" s="146"/>
      <c r="F85" s="146"/>
      <c r="G85" s="101" t="s">
        <v>236</v>
      </c>
      <c r="H85" s="101" t="s">
        <v>89</v>
      </c>
      <c r="I85" s="157">
        <v>2</v>
      </c>
      <c r="J85" s="146">
        <v>104.17</v>
      </c>
      <c r="K85" s="145">
        <f t="shared" si="20"/>
        <v>208.34</v>
      </c>
      <c r="L85" s="110"/>
    </row>
    <row r="86" spans="1:12" s="43" customFormat="1" ht="27.6">
      <c r="A86" s="51">
        <v>79</v>
      </c>
      <c r="B86" s="151"/>
      <c r="C86" s="156"/>
      <c r="D86" s="146"/>
      <c r="E86" s="146"/>
      <c r="F86" s="146"/>
      <c r="G86" s="101" t="s">
        <v>96</v>
      </c>
      <c r="H86" s="101" t="s">
        <v>89</v>
      </c>
      <c r="I86" s="144">
        <v>2</v>
      </c>
      <c r="J86" s="146">
        <v>91.5</v>
      </c>
      <c r="K86" s="145">
        <f t="shared" si="20"/>
        <v>183</v>
      </c>
    </row>
    <row r="87" spans="1:12" s="45" customFormat="1">
      <c r="A87" s="25">
        <v>80</v>
      </c>
      <c r="B87" s="108" t="s">
        <v>97</v>
      </c>
      <c r="C87" s="156" t="s">
        <v>88</v>
      </c>
      <c r="D87" s="90">
        <v>250</v>
      </c>
      <c r="E87" s="120">
        <v>11</v>
      </c>
      <c r="F87" s="120">
        <f t="shared" ref="F87" si="21">D87*E87</f>
        <v>2750</v>
      </c>
      <c r="G87" s="101" t="s">
        <v>237</v>
      </c>
      <c r="H87" s="156" t="s">
        <v>80</v>
      </c>
      <c r="I87" s="144">
        <v>5</v>
      </c>
      <c r="J87" s="146">
        <v>322.5</v>
      </c>
      <c r="K87" s="145">
        <f t="shared" si="20"/>
        <v>1612.5</v>
      </c>
    </row>
    <row r="88" spans="1:12" s="45" customFormat="1" ht="27.6">
      <c r="A88" s="25">
        <v>81</v>
      </c>
      <c r="B88" s="108"/>
      <c r="C88" s="156"/>
      <c r="D88" s="143"/>
      <c r="E88" s="146"/>
      <c r="F88" s="146"/>
      <c r="G88" s="101" t="s">
        <v>236</v>
      </c>
      <c r="H88" s="101" t="s">
        <v>89</v>
      </c>
      <c r="I88" s="157">
        <v>1</v>
      </c>
      <c r="J88" s="146">
        <v>104.17</v>
      </c>
      <c r="K88" s="145">
        <f t="shared" si="20"/>
        <v>104.17</v>
      </c>
    </row>
    <row r="89" spans="1:12" s="45" customFormat="1" ht="27.6">
      <c r="A89" s="51">
        <v>82</v>
      </c>
      <c r="B89" s="108"/>
      <c r="C89" s="156"/>
      <c r="D89" s="143"/>
      <c r="E89" s="146"/>
      <c r="F89" s="146"/>
      <c r="G89" s="101" t="s">
        <v>96</v>
      </c>
      <c r="H89" s="101" t="s">
        <v>89</v>
      </c>
      <c r="I89" s="144">
        <v>1</v>
      </c>
      <c r="J89" s="146">
        <v>91.5</v>
      </c>
      <c r="K89" s="145">
        <f t="shared" si="20"/>
        <v>91.5</v>
      </c>
    </row>
    <row r="90" spans="1:12" s="45" customFormat="1">
      <c r="A90" s="25">
        <v>83</v>
      </c>
      <c r="B90" s="108" t="s">
        <v>221</v>
      </c>
      <c r="C90" s="25" t="s">
        <v>88</v>
      </c>
      <c r="D90" s="90">
        <f>6*3</f>
        <v>18</v>
      </c>
      <c r="E90" s="90">
        <v>62</v>
      </c>
      <c r="F90" s="90">
        <f>D90*E90</f>
        <v>1116</v>
      </c>
      <c r="G90" s="108" t="s">
        <v>220</v>
      </c>
      <c r="H90" s="29" t="s">
        <v>88</v>
      </c>
      <c r="I90" s="97">
        <f>D90</f>
        <v>18</v>
      </c>
      <c r="J90" s="90">
        <f>155/1.2</f>
        <v>129.16666666666669</v>
      </c>
      <c r="K90" s="97">
        <f t="shared" ref="K90:K94" si="22">J90*I90</f>
        <v>2325.0000000000005</v>
      </c>
    </row>
    <row r="91" spans="1:12" s="45" customFormat="1">
      <c r="A91" s="25">
        <v>84</v>
      </c>
      <c r="B91" s="108"/>
      <c r="C91" s="25"/>
      <c r="D91" s="90"/>
      <c r="E91" s="90"/>
      <c r="F91" s="90"/>
      <c r="G91" s="101" t="s">
        <v>234</v>
      </c>
      <c r="H91" s="154" t="s">
        <v>88</v>
      </c>
      <c r="I91" s="97">
        <f>7.2*20</f>
        <v>144</v>
      </c>
      <c r="J91" s="120">
        <v>6</v>
      </c>
      <c r="K91" s="119">
        <f t="shared" si="22"/>
        <v>864</v>
      </c>
    </row>
    <row r="92" spans="1:12" s="45" customFormat="1">
      <c r="A92" s="51">
        <v>85</v>
      </c>
      <c r="B92" s="108"/>
      <c r="C92" s="25"/>
      <c r="D92" s="90"/>
      <c r="E92" s="90"/>
      <c r="F92" s="90"/>
      <c r="G92" s="101" t="s">
        <v>229</v>
      </c>
      <c r="H92" s="154" t="s">
        <v>80</v>
      </c>
      <c r="I92" s="97">
        <v>20</v>
      </c>
      <c r="J92" s="120">
        <v>22</v>
      </c>
      <c r="K92" s="119">
        <f t="shared" si="22"/>
        <v>440</v>
      </c>
    </row>
    <row r="93" spans="1:12" s="45" customFormat="1">
      <c r="A93" s="25">
        <v>86</v>
      </c>
      <c r="B93" s="108"/>
      <c r="C93" s="25"/>
      <c r="D93" s="90"/>
      <c r="E93" s="90"/>
      <c r="F93" s="90"/>
      <c r="G93" s="101" t="s">
        <v>230</v>
      </c>
      <c r="H93" s="154" t="s">
        <v>179</v>
      </c>
      <c r="I93" s="97">
        <v>1</v>
      </c>
      <c r="J93" s="120">
        <v>500</v>
      </c>
      <c r="K93" s="119">
        <f t="shared" si="22"/>
        <v>500</v>
      </c>
    </row>
    <row r="94" spans="1:12" s="45" customFormat="1" ht="27.6">
      <c r="A94" s="25">
        <v>87</v>
      </c>
      <c r="B94" s="108" t="s">
        <v>138</v>
      </c>
      <c r="C94" s="25" t="s">
        <v>88</v>
      </c>
      <c r="D94" s="90">
        <v>20</v>
      </c>
      <c r="E94" s="90">
        <v>14</v>
      </c>
      <c r="F94" s="90">
        <f t="shared" ref="F94:F97" si="23">D94*E94</f>
        <v>280</v>
      </c>
      <c r="G94" s="108" t="s">
        <v>153</v>
      </c>
      <c r="H94" s="25" t="s">
        <v>88</v>
      </c>
      <c r="I94" s="97">
        <f>D94</f>
        <v>20</v>
      </c>
      <c r="J94" s="90">
        <v>30.83</v>
      </c>
      <c r="K94" s="97">
        <f t="shared" si="22"/>
        <v>616.59999999999991</v>
      </c>
    </row>
    <row r="95" spans="1:12" s="45" customFormat="1" ht="27.6">
      <c r="A95" s="51">
        <v>88</v>
      </c>
      <c r="B95" s="87" t="s">
        <v>139</v>
      </c>
      <c r="C95" s="88" t="s">
        <v>80</v>
      </c>
      <c r="D95" s="89">
        <v>1</v>
      </c>
      <c r="E95" s="90">
        <v>85</v>
      </c>
      <c r="F95" s="90">
        <f t="shared" si="23"/>
        <v>85</v>
      </c>
      <c r="G95" s="108" t="s">
        <v>140</v>
      </c>
      <c r="H95" s="25" t="s">
        <v>80</v>
      </c>
      <c r="I95" s="90">
        <f>D95</f>
        <v>1</v>
      </c>
      <c r="J95" s="90" t="s">
        <v>103</v>
      </c>
      <c r="K95" s="97">
        <v>0</v>
      </c>
    </row>
    <row r="96" spans="1:12" s="45" customFormat="1" ht="27.6">
      <c r="A96" s="25">
        <v>89</v>
      </c>
      <c r="B96" s="87" t="s">
        <v>141</v>
      </c>
      <c r="C96" s="88" t="s">
        <v>80</v>
      </c>
      <c r="D96" s="89">
        <v>1</v>
      </c>
      <c r="E96" s="90">
        <v>85</v>
      </c>
      <c r="F96" s="90">
        <f t="shared" si="23"/>
        <v>85</v>
      </c>
      <c r="G96" s="108" t="s">
        <v>142</v>
      </c>
      <c r="H96" s="25" t="s">
        <v>80</v>
      </c>
      <c r="I96" s="90">
        <v>1</v>
      </c>
      <c r="J96" s="90" t="s">
        <v>103</v>
      </c>
      <c r="K96" s="97">
        <v>0</v>
      </c>
    </row>
    <row r="97" spans="1:11" s="45" customFormat="1" ht="27.6">
      <c r="A97" s="25">
        <v>90</v>
      </c>
      <c r="B97" s="108" t="s">
        <v>186</v>
      </c>
      <c r="C97" s="88" t="s">
        <v>80</v>
      </c>
      <c r="D97" s="89">
        <v>14</v>
      </c>
      <c r="E97" s="90">
        <v>63</v>
      </c>
      <c r="F97" s="90">
        <f t="shared" si="23"/>
        <v>882</v>
      </c>
      <c r="G97" s="108" t="s">
        <v>176</v>
      </c>
      <c r="H97" s="25" t="s">
        <v>80</v>
      </c>
      <c r="I97" s="90">
        <v>6</v>
      </c>
      <c r="J97" s="90" t="s">
        <v>103</v>
      </c>
      <c r="K97" s="97">
        <v>0</v>
      </c>
    </row>
    <row r="98" spans="1:11" s="45" customFormat="1" ht="27.6">
      <c r="A98" s="51">
        <v>91</v>
      </c>
      <c r="B98" s="108"/>
      <c r="C98" s="25"/>
      <c r="D98" s="90"/>
      <c r="E98" s="90"/>
      <c r="F98" s="90"/>
      <c r="G98" s="108" t="s">
        <v>177</v>
      </c>
      <c r="H98" s="25" t="s">
        <v>80</v>
      </c>
      <c r="I98" s="90">
        <v>8</v>
      </c>
      <c r="J98" s="90" t="s">
        <v>103</v>
      </c>
      <c r="K98" s="97">
        <v>0</v>
      </c>
    </row>
    <row r="99" spans="1:11" s="45" customFormat="1" ht="27.6">
      <c r="A99" s="25">
        <v>92</v>
      </c>
      <c r="B99" s="108" t="s">
        <v>222</v>
      </c>
      <c r="C99" s="25" t="s">
        <v>80</v>
      </c>
      <c r="D99" s="90">
        <v>1</v>
      </c>
      <c r="E99" s="90">
        <v>106</v>
      </c>
      <c r="F99" s="90">
        <f t="shared" ref="F99" si="24">D99*E99</f>
        <v>106</v>
      </c>
      <c r="G99" s="101" t="s">
        <v>115</v>
      </c>
      <c r="H99" s="29" t="s">
        <v>80</v>
      </c>
      <c r="I99" s="97">
        <f>D99</f>
        <v>1</v>
      </c>
      <c r="J99" s="90">
        <v>294.17</v>
      </c>
      <c r="K99" s="97">
        <f t="shared" ref="K99:K110" si="25">J99*I99</f>
        <v>294.17</v>
      </c>
    </row>
    <row r="100" spans="1:11" s="45" customFormat="1" ht="41.4">
      <c r="A100" s="25">
        <v>93</v>
      </c>
      <c r="B100" s="108" t="s">
        <v>158</v>
      </c>
      <c r="C100" s="25" t="s">
        <v>80</v>
      </c>
      <c r="D100" s="90">
        <v>6</v>
      </c>
      <c r="E100" s="90">
        <v>106</v>
      </c>
      <c r="F100" s="90">
        <f>D100*E100</f>
        <v>636</v>
      </c>
      <c r="G100" s="101" t="s">
        <v>115</v>
      </c>
      <c r="H100" s="29" t="s">
        <v>80</v>
      </c>
      <c r="I100" s="97">
        <f>D100</f>
        <v>6</v>
      </c>
      <c r="J100" s="90">
        <v>294.17</v>
      </c>
      <c r="K100" s="97">
        <f t="shared" si="25"/>
        <v>1765.02</v>
      </c>
    </row>
    <row r="101" spans="1:11" s="45" customFormat="1">
      <c r="A101" s="51">
        <v>94</v>
      </c>
      <c r="B101" s="108"/>
      <c r="C101" s="25"/>
      <c r="D101" s="90"/>
      <c r="E101" s="90"/>
      <c r="F101" s="90"/>
      <c r="G101" s="101" t="s">
        <v>165</v>
      </c>
      <c r="H101" s="29" t="s">
        <v>80</v>
      </c>
      <c r="I101" s="97">
        <f>D100</f>
        <v>6</v>
      </c>
      <c r="J101" s="90">
        <v>1106</v>
      </c>
      <c r="K101" s="97">
        <f t="shared" si="25"/>
        <v>6636</v>
      </c>
    </row>
    <row r="102" spans="1:11" s="43" customFormat="1" ht="15.75" customHeight="1">
      <c r="A102" s="25">
        <v>95</v>
      </c>
      <c r="B102" s="108"/>
      <c r="C102" s="25"/>
      <c r="D102" s="90"/>
      <c r="E102" s="90"/>
      <c r="F102" s="98"/>
      <c r="G102" s="101" t="s">
        <v>233</v>
      </c>
      <c r="H102" s="29" t="s">
        <v>80</v>
      </c>
      <c r="I102" s="97">
        <v>6</v>
      </c>
      <c r="J102" s="90">
        <f>258/1.2</f>
        <v>215</v>
      </c>
      <c r="K102" s="97">
        <f t="shared" si="25"/>
        <v>1290</v>
      </c>
    </row>
    <row r="103" spans="1:11" s="43" customFormat="1" ht="15.75" customHeight="1">
      <c r="A103" s="25">
        <v>96</v>
      </c>
      <c r="B103" s="108" t="s">
        <v>98</v>
      </c>
      <c r="C103" s="25" t="s">
        <v>80</v>
      </c>
      <c r="D103" s="90">
        <v>30</v>
      </c>
      <c r="E103" s="90">
        <v>85</v>
      </c>
      <c r="F103" s="90">
        <f>D103*E103</f>
        <v>2550</v>
      </c>
      <c r="G103" s="112" t="s">
        <v>137</v>
      </c>
      <c r="H103" s="104" t="s">
        <v>80</v>
      </c>
      <c r="I103" s="97">
        <f>D103</f>
        <v>30</v>
      </c>
      <c r="J103" s="90">
        <v>19.170000000000002</v>
      </c>
      <c r="K103" s="97">
        <f t="shared" si="25"/>
        <v>575.1</v>
      </c>
    </row>
    <row r="104" spans="1:11" s="43" customFormat="1" ht="28.95" customHeight="1">
      <c r="A104" s="51">
        <v>97</v>
      </c>
      <c r="B104" s="108" t="s">
        <v>99</v>
      </c>
      <c r="C104" s="25" t="s">
        <v>80</v>
      </c>
      <c r="D104" s="90">
        <v>22</v>
      </c>
      <c r="E104" s="90">
        <v>68</v>
      </c>
      <c r="F104" s="90">
        <f>D104*E104</f>
        <v>1496</v>
      </c>
      <c r="G104" s="103" t="s">
        <v>149</v>
      </c>
      <c r="H104" s="25" t="s">
        <v>80</v>
      </c>
      <c r="I104" s="90">
        <f>D104</f>
        <v>22</v>
      </c>
      <c r="J104" s="90">
        <v>99.17</v>
      </c>
      <c r="K104" s="97">
        <f t="shared" si="25"/>
        <v>2181.7400000000002</v>
      </c>
    </row>
    <row r="105" spans="1:11" s="43" customFormat="1" ht="15.75" customHeight="1">
      <c r="A105" s="25">
        <v>98</v>
      </c>
      <c r="B105" s="108"/>
      <c r="C105" s="25"/>
      <c r="D105" s="90"/>
      <c r="E105" s="90"/>
      <c r="F105" s="90"/>
      <c r="G105" s="45" t="s">
        <v>136</v>
      </c>
      <c r="H105" s="25" t="s">
        <v>80</v>
      </c>
      <c r="I105" s="90">
        <f>D104</f>
        <v>22</v>
      </c>
      <c r="J105" s="90">
        <v>4.17</v>
      </c>
      <c r="K105" s="97">
        <f t="shared" si="25"/>
        <v>91.74</v>
      </c>
    </row>
    <row r="106" spans="1:11" s="43" customFormat="1" ht="19.2" customHeight="1">
      <c r="A106" s="25">
        <v>99</v>
      </c>
      <c r="B106" s="22"/>
      <c r="C106" s="25"/>
      <c r="D106" s="90"/>
      <c r="E106" s="90"/>
      <c r="F106" s="90"/>
      <c r="G106" s="108" t="s">
        <v>101</v>
      </c>
      <c r="H106" s="25" t="s">
        <v>80</v>
      </c>
      <c r="I106" s="90">
        <v>8</v>
      </c>
      <c r="J106" s="100">
        <v>48.33</v>
      </c>
      <c r="K106" s="97">
        <f t="shared" si="25"/>
        <v>386.64</v>
      </c>
    </row>
    <row r="107" spans="1:11" s="43" customFormat="1" ht="27.6" customHeight="1">
      <c r="A107" s="51">
        <v>100</v>
      </c>
      <c r="B107" s="108" t="s">
        <v>104</v>
      </c>
      <c r="C107" s="25" t="s">
        <v>80</v>
      </c>
      <c r="D107" s="90">
        <v>4</v>
      </c>
      <c r="E107" s="90">
        <v>68</v>
      </c>
      <c r="F107" s="90">
        <f>D107*E107</f>
        <v>272</v>
      </c>
      <c r="G107" s="22" t="s">
        <v>150</v>
      </c>
      <c r="H107" s="25" t="s">
        <v>80</v>
      </c>
      <c r="I107" s="90">
        <v>2</v>
      </c>
      <c r="J107" s="90">
        <v>85</v>
      </c>
      <c r="K107" s="97">
        <f t="shared" si="25"/>
        <v>170</v>
      </c>
    </row>
    <row r="108" spans="1:11" s="43" customFormat="1" ht="28.95" customHeight="1">
      <c r="A108" s="25">
        <v>101</v>
      </c>
      <c r="B108" s="108"/>
      <c r="C108" s="25"/>
      <c r="D108" s="90"/>
      <c r="E108" s="90"/>
      <c r="F108" s="90"/>
      <c r="G108" s="22" t="s">
        <v>152</v>
      </c>
      <c r="H108" s="25" t="s">
        <v>80</v>
      </c>
      <c r="I108" s="90">
        <v>2</v>
      </c>
      <c r="J108" s="90">
        <v>102.08</v>
      </c>
      <c r="K108" s="97">
        <f t="shared" si="25"/>
        <v>204.16</v>
      </c>
    </row>
    <row r="109" spans="1:11" s="43" customFormat="1" ht="20.399999999999999" customHeight="1">
      <c r="A109" s="25">
        <v>102</v>
      </c>
      <c r="B109" s="22"/>
      <c r="C109" s="25"/>
      <c r="D109" s="90"/>
      <c r="E109" s="90"/>
      <c r="F109" s="90"/>
      <c r="G109" s="115" t="s">
        <v>136</v>
      </c>
      <c r="H109" s="25" t="s">
        <v>80</v>
      </c>
      <c r="I109" s="90">
        <f>D107</f>
        <v>4</v>
      </c>
      <c r="J109" s="90">
        <v>4.17</v>
      </c>
      <c r="K109" s="97">
        <f t="shared" si="25"/>
        <v>16.68</v>
      </c>
    </row>
    <row r="110" spans="1:11" s="43" customFormat="1" ht="18" customHeight="1">
      <c r="A110" s="51">
        <v>103</v>
      </c>
      <c r="B110" s="161"/>
      <c r="C110" s="178"/>
      <c r="D110" s="90"/>
      <c r="E110" s="97"/>
      <c r="F110" s="98"/>
      <c r="G110" s="117" t="s">
        <v>270</v>
      </c>
      <c r="H110" s="25" t="s">
        <v>80</v>
      </c>
      <c r="I110" s="90">
        <v>1</v>
      </c>
      <c r="J110" s="100">
        <v>87.5</v>
      </c>
      <c r="K110" s="97">
        <f t="shared" si="25"/>
        <v>87.5</v>
      </c>
    </row>
    <row r="111" spans="1:11" s="43" customFormat="1" ht="27.6">
      <c r="A111" s="25">
        <v>104</v>
      </c>
      <c r="B111" s="108" t="s">
        <v>232</v>
      </c>
      <c r="C111" s="96" t="s">
        <v>80</v>
      </c>
      <c r="D111" s="96">
        <v>3</v>
      </c>
      <c r="E111" s="90">
        <v>68</v>
      </c>
      <c r="F111" s="90">
        <f>D111*E111</f>
        <v>204</v>
      </c>
      <c r="G111" s="117" t="s">
        <v>269</v>
      </c>
      <c r="H111" s="25" t="s">
        <v>80</v>
      </c>
      <c r="I111" s="90">
        <f>D111</f>
        <v>3</v>
      </c>
      <c r="J111" s="100">
        <v>106.67</v>
      </c>
      <c r="K111" s="97">
        <f>J111*I111</f>
        <v>320.01</v>
      </c>
    </row>
    <row r="112" spans="1:11" s="43" customFormat="1" ht="18" customHeight="1">
      <c r="A112" s="25">
        <v>105</v>
      </c>
      <c r="B112" s="161" t="s">
        <v>223</v>
      </c>
      <c r="C112" s="179" t="s">
        <v>88</v>
      </c>
      <c r="D112" s="90">
        <f>28.5+(1.45*2)+1.56+(2*2)</f>
        <v>36.96</v>
      </c>
      <c r="E112" s="90">
        <v>120</v>
      </c>
      <c r="F112" s="90">
        <f>D112*E112</f>
        <v>4435.2</v>
      </c>
      <c r="G112" s="117" t="s">
        <v>224</v>
      </c>
      <c r="H112" s="25" t="s">
        <v>88</v>
      </c>
      <c r="I112" s="82">
        <f>D112</f>
        <v>36.96</v>
      </c>
      <c r="J112" s="90">
        <v>2415</v>
      </c>
      <c r="K112" s="97">
        <f t="shared" ref="K112:K116" si="26">J112*I112</f>
        <v>89258.400000000009</v>
      </c>
    </row>
    <row r="113" spans="1:11" s="43" customFormat="1" ht="18" customHeight="1">
      <c r="A113" s="51">
        <v>106</v>
      </c>
      <c r="B113" s="161"/>
      <c r="C113" s="179"/>
      <c r="D113" s="90"/>
      <c r="E113" s="90"/>
      <c r="F113" s="82"/>
      <c r="G113" s="101" t="s">
        <v>234</v>
      </c>
      <c r="H113" s="154" t="s">
        <v>88</v>
      </c>
      <c r="I113" s="98">
        <f>7.2*16</f>
        <v>115.2</v>
      </c>
      <c r="J113" s="120">
        <v>6</v>
      </c>
      <c r="K113" s="119">
        <f t="shared" si="26"/>
        <v>691.2</v>
      </c>
    </row>
    <row r="114" spans="1:11" s="43" customFormat="1" ht="18" customHeight="1">
      <c r="A114" s="25">
        <v>107</v>
      </c>
      <c r="B114" s="161"/>
      <c r="C114" s="179"/>
      <c r="D114" s="90"/>
      <c r="E114" s="90"/>
      <c r="F114" s="82"/>
      <c r="G114" s="101" t="s">
        <v>229</v>
      </c>
      <c r="H114" s="154" t="s">
        <v>80</v>
      </c>
      <c r="I114" s="98">
        <v>16</v>
      </c>
      <c r="J114" s="120">
        <v>22</v>
      </c>
      <c r="K114" s="119">
        <f t="shared" si="26"/>
        <v>352</v>
      </c>
    </row>
    <row r="115" spans="1:11" s="43" customFormat="1" ht="18" customHeight="1">
      <c r="A115" s="25">
        <v>108</v>
      </c>
      <c r="B115" s="161"/>
      <c r="C115" s="179"/>
      <c r="D115" s="90"/>
      <c r="E115" s="90"/>
      <c r="F115" s="82"/>
      <c r="G115" s="101" t="s">
        <v>230</v>
      </c>
      <c r="H115" s="154" t="s">
        <v>179</v>
      </c>
      <c r="I115" s="97">
        <v>1</v>
      </c>
      <c r="J115" s="120">
        <v>500</v>
      </c>
      <c r="K115" s="119">
        <f t="shared" si="26"/>
        <v>500</v>
      </c>
    </row>
    <row r="116" spans="1:11" s="43" customFormat="1" ht="27.6">
      <c r="A116" s="51">
        <v>109</v>
      </c>
      <c r="B116" s="161" t="s">
        <v>256</v>
      </c>
      <c r="C116" s="180" t="s">
        <v>88</v>
      </c>
      <c r="D116" s="90">
        <v>25.2</v>
      </c>
      <c r="E116" s="90">
        <v>59</v>
      </c>
      <c r="F116" s="82">
        <f>D116*E116</f>
        <v>1486.8</v>
      </c>
      <c r="G116" s="101" t="s">
        <v>249</v>
      </c>
      <c r="H116" s="159" t="s">
        <v>88</v>
      </c>
      <c r="I116" s="98">
        <f>D116</f>
        <v>25.2</v>
      </c>
      <c r="J116" s="120">
        <v>90</v>
      </c>
      <c r="K116" s="119">
        <f t="shared" si="26"/>
        <v>2268</v>
      </c>
    </row>
    <row r="117" spans="1:11" s="43" customFormat="1" ht="27.6">
      <c r="A117" s="25">
        <v>110</v>
      </c>
      <c r="B117" s="161"/>
      <c r="C117" s="180"/>
      <c r="D117" s="90"/>
      <c r="E117" s="90"/>
      <c r="F117" s="82"/>
      <c r="G117" s="101" t="s">
        <v>252</v>
      </c>
      <c r="H117" s="154" t="s">
        <v>88</v>
      </c>
      <c r="I117" s="98">
        <f>D116</f>
        <v>25.2</v>
      </c>
      <c r="J117" s="120">
        <v>43</v>
      </c>
      <c r="K117" s="120">
        <f t="shared" ref="K117:K122" si="27">J117*I117</f>
        <v>1083.5999999999999</v>
      </c>
    </row>
    <row r="118" spans="1:11" s="43" customFormat="1">
      <c r="A118" s="25">
        <v>111</v>
      </c>
      <c r="B118" s="161"/>
      <c r="C118" s="180"/>
      <c r="D118" s="90"/>
      <c r="E118" s="90"/>
      <c r="F118" s="82"/>
      <c r="G118" s="101" t="s">
        <v>250</v>
      </c>
      <c r="H118" s="154" t="s">
        <v>88</v>
      </c>
      <c r="I118" s="98">
        <v>5</v>
      </c>
      <c r="J118" s="120">
        <v>17</v>
      </c>
      <c r="K118" s="120">
        <f t="shared" si="27"/>
        <v>85</v>
      </c>
    </row>
    <row r="119" spans="1:11" s="43" customFormat="1">
      <c r="A119" s="51">
        <v>112</v>
      </c>
      <c r="B119" s="161"/>
      <c r="C119" s="180"/>
      <c r="D119" s="90"/>
      <c r="E119" s="90"/>
      <c r="F119" s="82"/>
      <c r="G119" s="101" t="s">
        <v>253</v>
      </c>
      <c r="H119" s="154" t="s">
        <v>80</v>
      </c>
      <c r="I119" s="98">
        <v>2</v>
      </c>
      <c r="J119" s="120">
        <v>32</v>
      </c>
      <c r="K119" s="120">
        <f t="shared" si="27"/>
        <v>64</v>
      </c>
    </row>
    <row r="120" spans="1:11" s="43" customFormat="1">
      <c r="A120" s="25">
        <v>113</v>
      </c>
      <c r="B120" s="161"/>
      <c r="C120" s="180"/>
      <c r="D120" s="90"/>
      <c r="E120" s="90"/>
      <c r="F120" s="82"/>
      <c r="G120" s="101" t="s">
        <v>254</v>
      </c>
      <c r="H120" s="154" t="s">
        <v>80</v>
      </c>
      <c r="I120" s="98">
        <v>7</v>
      </c>
      <c r="J120" s="120">
        <v>300</v>
      </c>
      <c r="K120" s="120">
        <f t="shared" si="27"/>
        <v>2100</v>
      </c>
    </row>
    <row r="121" spans="1:11" s="43" customFormat="1" ht="27.6">
      <c r="A121" s="25">
        <v>114</v>
      </c>
      <c r="B121" s="161"/>
      <c r="C121" s="179"/>
      <c r="D121" s="90"/>
      <c r="E121" s="90"/>
      <c r="F121" s="82"/>
      <c r="G121" s="101" t="s">
        <v>251</v>
      </c>
      <c r="H121" s="154" t="s">
        <v>80</v>
      </c>
      <c r="I121" s="98">
        <v>13</v>
      </c>
      <c r="J121" s="120">
        <v>70</v>
      </c>
      <c r="K121" s="120">
        <f t="shared" si="27"/>
        <v>910</v>
      </c>
    </row>
    <row r="122" spans="1:11" s="43" customFormat="1" ht="26.4" customHeight="1">
      <c r="A122" s="51">
        <v>115</v>
      </c>
      <c r="B122" s="161"/>
      <c r="C122" s="179"/>
      <c r="D122" s="90"/>
      <c r="E122" s="90"/>
      <c r="F122" s="82"/>
      <c r="G122" s="108" t="s">
        <v>255</v>
      </c>
      <c r="H122" s="114" t="s">
        <v>88</v>
      </c>
      <c r="I122" s="152">
        <v>30</v>
      </c>
      <c r="J122" s="120">
        <v>30.08</v>
      </c>
      <c r="K122" s="97">
        <f t="shared" si="27"/>
        <v>902.4</v>
      </c>
    </row>
    <row r="123" spans="1:11" s="43" customFormat="1" ht="15" customHeight="1">
      <c r="A123" s="25">
        <v>116</v>
      </c>
      <c r="B123" s="108" t="s">
        <v>170</v>
      </c>
      <c r="C123" s="25" t="s">
        <v>80</v>
      </c>
      <c r="D123" s="90">
        <v>39</v>
      </c>
      <c r="E123" s="136">
        <v>76</v>
      </c>
      <c r="F123" s="98">
        <f>D123*E123</f>
        <v>2964</v>
      </c>
      <c r="G123" s="117" t="s">
        <v>166</v>
      </c>
      <c r="H123" s="95" t="s">
        <v>80</v>
      </c>
      <c r="I123" s="98">
        <f>D123</f>
        <v>39</v>
      </c>
      <c r="J123" s="118">
        <v>763.33</v>
      </c>
      <c r="K123" s="97">
        <f t="shared" ref="K123:K129" si="28">J123*I123</f>
        <v>29769.870000000003</v>
      </c>
    </row>
    <row r="124" spans="1:11" s="133" customFormat="1">
      <c r="A124" s="25">
        <v>117</v>
      </c>
      <c r="B124" s="108" t="s">
        <v>187</v>
      </c>
      <c r="C124" s="25" t="s">
        <v>88</v>
      </c>
      <c r="D124" s="90">
        <v>14</v>
      </c>
      <c r="E124" s="136">
        <v>67</v>
      </c>
      <c r="F124" s="97">
        <f>D124*E124</f>
        <v>938</v>
      </c>
      <c r="G124" s="101" t="s">
        <v>228</v>
      </c>
      <c r="H124" s="29" t="s">
        <v>80</v>
      </c>
      <c r="I124" s="97">
        <v>7</v>
      </c>
      <c r="J124" s="120">
        <v>389</v>
      </c>
      <c r="K124" s="97">
        <f t="shared" si="28"/>
        <v>2723</v>
      </c>
    </row>
    <row r="125" spans="1:11" s="133" customFormat="1">
      <c r="A125" s="51">
        <v>118</v>
      </c>
      <c r="B125" s="108"/>
      <c r="C125" s="108"/>
      <c r="D125" s="143"/>
      <c r="E125" s="144"/>
      <c r="F125" s="145"/>
      <c r="G125" s="101" t="s">
        <v>188</v>
      </c>
      <c r="H125" s="154" t="s">
        <v>80</v>
      </c>
      <c r="I125" s="97">
        <v>4</v>
      </c>
      <c r="J125" s="120">
        <v>45.83</v>
      </c>
      <c r="K125" s="97">
        <f t="shared" si="28"/>
        <v>183.32</v>
      </c>
    </row>
    <row r="126" spans="1:11" s="133" customFormat="1">
      <c r="A126" s="25">
        <v>119</v>
      </c>
      <c r="B126" s="108"/>
      <c r="C126" s="108"/>
      <c r="D126" s="143"/>
      <c r="E126" s="144"/>
      <c r="F126" s="145"/>
      <c r="G126" s="101" t="s">
        <v>234</v>
      </c>
      <c r="H126" s="154" t="s">
        <v>88</v>
      </c>
      <c r="I126" s="97">
        <f>7.2*24</f>
        <v>172.8</v>
      </c>
      <c r="J126" s="120">
        <v>6</v>
      </c>
      <c r="K126" s="119">
        <f t="shared" ref="K126:K128" si="29">J126*I126</f>
        <v>1036.8000000000002</v>
      </c>
    </row>
    <row r="127" spans="1:11" s="133" customFormat="1">
      <c r="A127" s="25">
        <v>120</v>
      </c>
      <c r="B127" s="108"/>
      <c r="C127" s="108"/>
      <c r="D127" s="143"/>
      <c r="E127" s="144"/>
      <c r="F127" s="145"/>
      <c r="G127" s="101" t="s">
        <v>229</v>
      </c>
      <c r="H127" s="154" t="s">
        <v>80</v>
      </c>
      <c r="I127" s="97">
        <v>24</v>
      </c>
      <c r="J127" s="120">
        <v>22</v>
      </c>
      <c r="K127" s="119">
        <f t="shared" si="29"/>
        <v>528</v>
      </c>
    </row>
    <row r="128" spans="1:11" s="133" customFormat="1">
      <c r="A128" s="51">
        <v>121</v>
      </c>
      <c r="B128" s="108"/>
      <c r="C128" s="108"/>
      <c r="D128" s="143"/>
      <c r="E128" s="144"/>
      <c r="F128" s="145"/>
      <c r="G128" s="101" t="s">
        <v>230</v>
      </c>
      <c r="H128" s="154" t="s">
        <v>179</v>
      </c>
      <c r="I128" s="97">
        <v>1</v>
      </c>
      <c r="J128" s="120">
        <v>500</v>
      </c>
      <c r="K128" s="119">
        <f t="shared" si="29"/>
        <v>500</v>
      </c>
    </row>
    <row r="129" spans="1:12" s="43" customFormat="1" ht="27.6">
      <c r="A129" s="25">
        <v>122</v>
      </c>
      <c r="B129" s="108" t="s">
        <v>178</v>
      </c>
      <c r="C129" s="25" t="s">
        <v>80</v>
      </c>
      <c r="D129" s="90">
        <v>1</v>
      </c>
      <c r="E129" s="120">
        <v>122.5</v>
      </c>
      <c r="F129" s="98">
        <f>D129*E129</f>
        <v>122.5</v>
      </c>
      <c r="G129" s="131" t="s">
        <v>231</v>
      </c>
      <c r="H129" s="114" t="s">
        <v>80</v>
      </c>
      <c r="I129" s="120">
        <v>1</v>
      </c>
      <c r="J129" s="100">
        <v>480</v>
      </c>
      <c r="K129" s="97">
        <f t="shared" si="28"/>
        <v>480</v>
      </c>
    </row>
    <row r="130" spans="1:12" s="54" customFormat="1" ht="27.6">
      <c r="A130" s="25">
        <v>123</v>
      </c>
      <c r="B130" s="108" t="s">
        <v>226</v>
      </c>
      <c r="C130" s="25" t="s">
        <v>102</v>
      </c>
      <c r="D130" s="90">
        <v>1</v>
      </c>
      <c r="E130" s="90">
        <v>1200</v>
      </c>
      <c r="F130" s="90">
        <f>D130*E130</f>
        <v>1200</v>
      </c>
      <c r="G130" s="115"/>
      <c r="H130" s="25"/>
      <c r="I130" s="90"/>
      <c r="J130" s="100"/>
      <c r="K130" s="97"/>
    </row>
    <row r="131" spans="1:12" s="54" customFormat="1" ht="27.6">
      <c r="A131" s="51">
        <v>124</v>
      </c>
      <c r="B131" s="108" t="s">
        <v>227</v>
      </c>
      <c r="C131" s="25" t="s">
        <v>80</v>
      </c>
      <c r="D131" s="90">
        <v>1</v>
      </c>
      <c r="E131" s="90">
        <v>3000</v>
      </c>
      <c r="F131" s="90">
        <f>D131*E131</f>
        <v>3000</v>
      </c>
      <c r="G131" s="22"/>
      <c r="H131" s="25"/>
      <c r="I131" s="90"/>
      <c r="J131" s="100"/>
      <c r="K131" s="100"/>
    </row>
    <row r="132" spans="1:12" s="43" customFormat="1" ht="27.6">
      <c r="A132" s="25">
        <v>125</v>
      </c>
      <c r="B132" s="132" t="s">
        <v>92</v>
      </c>
      <c r="C132" s="36"/>
      <c r="D132" s="36"/>
      <c r="E132" s="122"/>
      <c r="F132" s="123">
        <f>SUM(F81:F131)</f>
        <v>29648.5</v>
      </c>
      <c r="G132" s="36" t="s">
        <v>93</v>
      </c>
      <c r="H132" s="36"/>
      <c r="I132" s="36"/>
      <c r="J132" s="36"/>
      <c r="K132" s="123">
        <f>SUM(K81:K131)</f>
        <v>165581.35999999999</v>
      </c>
      <c r="L132" s="45"/>
    </row>
    <row r="133" spans="1:12" s="43" customFormat="1">
      <c r="A133" s="25">
        <v>126</v>
      </c>
      <c r="B133" s="140" t="s">
        <v>84</v>
      </c>
      <c r="C133" s="139"/>
      <c r="D133" s="139"/>
      <c r="E133" s="140"/>
      <c r="F133" s="141"/>
      <c r="G133" s="139"/>
      <c r="H133" s="139"/>
      <c r="I133" s="139"/>
      <c r="J133" s="139"/>
      <c r="K133" s="142"/>
      <c r="L133" s="45"/>
    </row>
    <row r="134" spans="1:12" s="45" customFormat="1" ht="27.6">
      <c r="A134" s="51">
        <v>127</v>
      </c>
      <c r="B134" s="181" t="s">
        <v>214</v>
      </c>
      <c r="C134" s="105" t="s">
        <v>80</v>
      </c>
      <c r="D134" s="90">
        <v>1</v>
      </c>
      <c r="E134" s="90">
        <v>300</v>
      </c>
      <c r="F134" s="90">
        <f>D134*E134</f>
        <v>300</v>
      </c>
      <c r="G134" s="101" t="s">
        <v>215</v>
      </c>
      <c r="H134" s="29" t="s">
        <v>88</v>
      </c>
      <c r="I134" s="97">
        <f t="shared" ref="I134:I139" si="30">D134</f>
        <v>1</v>
      </c>
      <c r="J134" s="90" t="s">
        <v>103</v>
      </c>
      <c r="K134" s="97"/>
    </row>
    <row r="135" spans="1:12" s="45" customFormat="1" ht="27.6">
      <c r="A135" s="25">
        <v>128</v>
      </c>
      <c r="B135" s="181"/>
      <c r="C135" s="105"/>
      <c r="D135" s="90"/>
      <c r="E135" s="90"/>
      <c r="F135" s="90"/>
      <c r="G135" s="101" t="s">
        <v>275</v>
      </c>
      <c r="H135" s="29" t="s">
        <v>80</v>
      </c>
      <c r="I135" s="97">
        <f t="shared" si="30"/>
        <v>0</v>
      </c>
      <c r="J135" s="90" t="s">
        <v>103</v>
      </c>
      <c r="K135" s="97"/>
    </row>
    <row r="136" spans="1:12" s="45" customFormat="1" ht="27.6">
      <c r="A136" s="25">
        <v>129</v>
      </c>
      <c r="B136" s="181" t="s">
        <v>274</v>
      </c>
      <c r="C136" s="105"/>
      <c r="D136" s="90"/>
      <c r="E136" s="90"/>
      <c r="F136" s="90"/>
      <c r="G136" s="101" t="s">
        <v>276</v>
      </c>
      <c r="H136" s="29" t="s">
        <v>80</v>
      </c>
      <c r="I136" s="97">
        <f t="shared" si="30"/>
        <v>0</v>
      </c>
      <c r="J136" s="90" t="s">
        <v>103</v>
      </c>
      <c r="K136" s="97"/>
    </row>
    <row r="137" spans="1:12" s="45" customFormat="1" ht="27.6">
      <c r="A137" s="51">
        <v>130</v>
      </c>
      <c r="B137" s="181" t="s">
        <v>106</v>
      </c>
      <c r="C137" s="105" t="s">
        <v>88</v>
      </c>
      <c r="D137" s="90">
        <f>11*10+15</f>
        <v>125</v>
      </c>
      <c r="E137" s="90">
        <v>15</v>
      </c>
      <c r="F137" s="90">
        <f>D137*E137</f>
        <v>1875</v>
      </c>
      <c r="G137" s="101" t="s">
        <v>113</v>
      </c>
      <c r="H137" s="29" t="s">
        <v>88</v>
      </c>
      <c r="I137" s="97">
        <f t="shared" si="30"/>
        <v>125</v>
      </c>
      <c r="J137" s="90">
        <v>20.83</v>
      </c>
      <c r="K137" s="97">
        <f>J137*I137</f>
        <v>2603.75</v>
      </c>
    </row>
    <row r="138" spans="1:12" s="45" customFormat="1">
      <c r="A138" s="25">
        <v>131</v>
      </c>
      <c r="B138" s="181" t="s">
        <v>107</v>
      </c>
      <c r="C138" s="105" t="s">
        <v>80</v>
      </c>
      <c r="D138" s="90">
        <v>20</v>
      </c>
      <c r="E138" s="90">
        <v>20</v>
      </c>
      <c r="F138" s="90">
        <f>D138*E138</f>
        <v>400</v>
      </c>
      <c r="G138" s="101" t="s">
        <v>109</v>
      </c>
      <c r="H138" s="29" t="s">
        <v>80</v>
      </c>
      <c r="I138" s="97">
        <f t="shared" si="30"/>
        <v>20</v>
      </c>
      <c r="J138" s="90">
        <v>2.87</v>
      </c>
      <c r="K138" s="97">
        <f t="shared" ref="K138:K140" si="31">J138*I138</f>
        <v>57.400000000000006</v>
      </c>
    </row>
    <row r="139" spans="1:12" s="45" customFormat="1" ht="27.6">
      <c r="A139" s="25">
        <v>132</v>
      </c>
      <c r="B139" s="124" t="s">
        <v>108</v>
      </c>
      <c r="C139" s="125" t="s">
        <v>80</v>
      </c>
      <c r="D139" s="90">
        <v>8</v>
      </c>
      <c r="E139" s="90">
        <v>52</v>
      </c>
      <c r="F139" s="90">
        <f>D139*E139</f>
        <v>416</v>
      </c>
      <c r="G139" s="101" t="s">
        <v>114</v>
      </c>
      <c r="H139" s="29" t="s">
        <v>80</v>
      </c>
      <c r="I139" s="97">
        <f t="shared" si="30"/>
        <v>8</v>
      </c>
      <c r="J139" s="90">
        <v>283.67</v>
      </c>
      <c r="K139" s="97">
        <f t="shared" si="31"/>
        <v>2269.36</v>
      </c>
    </row>
    <row r="140" spans="1:12" s="45" customFormat="1" ht="27.6">
      <c r="A140" s="51">
        <v>133</v>
      </c>
      <c r="B140" s="124"/>
      <c r="C140" s="125"/>
      <c r="D140" s="90"/>
      <c r="E140" s="90"/>
      <c r="F140" s="90"/>
      <c r="G140" s="101" t="s">
        <v>125</v>
      </c>
      <c r="H140" s="29" t="s">
        <v>80</v>
      </c>
      <c r="I140" s="97">
        <f>D139</f>
        <v>8</v>
      </c>
      <c r="J140" s="90">
        <v>87.5</v>
      </c>
      <c r="K140" s="97">
        <f t="shared" si="31"/>
        <v>700</v>
      </c>
    </row>
    <row r="141" spans="1:12" s="113" customFormat="1" ht="27.6">
      <c r="A141" s="25">
        <v>134</v>
      </c>
      <c r="B141" s="30" t="s">
        <v>94</v>
      </c>
      <c r="C141" s="31"/>
      <c r="D141" s="32"/>
      <c r="E141" s="106"/>
      <c r="F141" s="123">
        <f>SUM(F134:F140)</f>
        <v>2991</v>
      </c>
      <c r="G141" s="33" t="s">
        <v>95</v>
      </c>
      <c r="H141" s="34"/>
      <c r="I141" s="35"/>
      <c r="J141" s="92"/>
      <c r="K141" s="123">
        <f>SUM(K134:K140)</f>
        <v>5630.51</v>
      </c>
    </row>
    <row r="142" spans="1:12" s="113" customFormat="1">
      <c r="A142" s="25">
        <v>135</v>
      </c>
      <c r="B142" s="94" t="s">
        <v>85</v>
      </c>
      <c r="C142" s="25"/>
      <c r="D142" s="26"/>
      <c r="E142" s="26"/>
      <c r="F142" s="26"/>
      <c r="G142" s="28"/>
      <c r="H142" s="29"/>
      <c r="I142" s="27"/>
      <c r="J142" s="27"/>
      <c r="K142" s="27"/>
    </row>
    <row r="143" spans="1:12" s="133" customFormat="1">
      <c r="A143" s="51">
        <v>136</v>
      </c>
      <c r="B143" s="112" t="s">
        <v>217</v>
      </c>
      <c r="C143" s="25" t="s">
        <v>87</v>
      </c>
      <c r="D143" s="126">
        <v>50</v>
      </c>
      <c r="E143" s="90">
        <v>37</v>
      </c>
      <c r="F143" s="90">
        <f>D143*E143</f>
        <v>1850</v>
      </c>
      <c r="G143" s="28"/>
      <c r="H143" s="29"/>
      <c r="I143" s="97"/>
      <c r="J143" s="97"/>
      <c r="K143" s="97"/>
    </row>
    <row r="144" spans="1:12" s="133" customFormat="1" ht="27.6">
      <c r="A144" s="25">
        <v>137</v>
      </c>
      <c r="B144" s="112" t="s">
        <v>216</v>
      </c>
      <c r="C144" s="25" t="s">
        <v>87</v>
      </c>
      <c r="D144" s="126">
        <v>11.5</v>
      </c>
      <c r="E144" s="120">
        <v>34</v>
      </c>
      <c r="F144" s="120">
        <f t="shared" ref="F144" si="32">D144*E144</f>
        <v>391</v>
      </c>
      <c r="G144" s="28"/>
      <c r="H144" s="29"/>
      <c r="I144" s="97"/>
      <c r="J144" s="97"/>
      <c r="K144" s="97"/>
    </row>
    <row r="145" spans="1:11" s="133" customFormat="1" ht="27.6">
      <c r="A145" s="25">
        <v>138</v>
      </c>
      <c r="B145" s="112" t="s">
        <v>218</v>
      </c>
      <c r="C145" s="25" t="s">
        <v>86</v>
      </c>
      <c r="D145" s="126">
        <v>65</v>
      </c>
      <c r="E145" s="90">
        <v>22</v>
      </c>
      <c r="F145" s="90">
        <f>D145*E145</f>
        <v>1430</v>
      </c>
      <c r="G145" s="28" t="s">
        <v>219</v>
      </c>
      <c r="H145" s="29" t="s">
        <v>144</v>
      </c>
      <c r="I145" s="97">
        <v>90</v>
      </c>
      <c r="J145" s="97">
        <f>1940/1.2/300</f>
        <v>5.3888888888888893</v>
      </c>
      <c r="K145" s="97">
        <f>I145*J145</f>
        <v>485.00000000000006</v>
      </c>
    </row>
    <row r="146" spans="1:11" s="133" customFormat="1">
      <c r="A146" s="51">
        <v>139</v>
      </c>
      <c r="B146" s="112"/>
      <c r="C146" s="25"/>
      <c r="D146" s="126"/>
      <c r="E146" s="90"/>
      <c r="F146" s="90"/>
      <c r="G146" s="156" t="s">
        <v>180</v>
      </c>
      <c r="H146" s="162" t="s">
        <v>80</v>
      </c>
      <c r="I146" s="182">
        <v>5</v>
      </c>
      <c r="J146" s="182">
        <v>97.5</v>
      </c>
      <c r="K146" s="137">
        <f>J146*I146</f>
        <v>487.5</v>
      </c>
    </row>
    <row r="147" spans="1:11" s="133" customFormat="1">
      <c r="A147" s="25">
        <v>140</v>
      </c>
      <c r="B147" s="112" t="s">
        <v>110</v>
      </c>
      <c r="C147" s="25" t="s">
        <v>112</v>
      </c>
      <c r="D147" s="126">
        <v>3</v>
      </c>
      <c r="E147" s="90">
        <v>246</v>
      </c>
      <c r="F147" s="90">
        <f>D147*E147</f>
        <v>738</v>
      </c>
      <c r="G147" s="28" t="s">
        <v>133</v>
      </c>
      <c r="H147" s="29" t="s">
        <v>80</v>
      </c>
      <c r="I147" s="97">
        <v>100</v>
      </c>
      <c r="J147" s="97">
        <v>9.5</v>
      </c>
      <c r="K147" s="97">
        <f>I147*J147</f>
        <v>950</v>
      </c>
    </row>
    <row r="148" spans="1:11" s="45" customFormat="1">
      <c r="A148" s="25">
        <v>141</v>
      </c>
      <c r="B148" s="183" t="s">
        <v>163</v>
      </c>
      <c r="C148" s="25" t="s">
        <v>111</v>
      </c>
      <c r="D148" s="90">
        <v>2</v>
      </c>
      <c r="E148" s="90">
        <v>1130</v>
      </c>
      <c r="F148" s="90">
        <f>D148*E148</f>
        <v>2260</v>
      </c>
      <c r="G148" s="28"/>
      <c r="H148" s="29"/>
      <c r="I148" s="27"/>
      <c r="J148" s="97"/>
      <c r="K148" s="97"/>
    </row>
    <row r="149" spans="1:11" s="52" customFormat="1" ht="27.6">
      <c r="A149" s="51">
        <v>142</v>
      </c>
      <c r="B149" s="22" t="s">
        <v>162</v>
      </c>
      <c r="C149" s="127" t="s">
        <v>169</v>
      </c>
      <c r="D149" s="97">
        <v>40</v>
      </c>
      <c r="E149" s="90">
        <v>10.6</v>
      </c>
      <c r="F149" s="90">
        <f>D149*E149</f>
        <v>424</v>
      </c>
      <c r="G149" s="28"/>
      <c r="H149" s="29"/>
      <c r="I149" s="27"/>
      <c r="J149" s="97"/>
      <c r="K149" s="97"/>
    </row>
    <row r="150" spans="1:11" s="54" customFormat="1" ht="27.6">
      <c r="A150" s="22"/>
      <c r="B150" s="30" t="s">
        <v>119</v>
      </c>
      <c r="C150" s="31"/>
      <c r="D150" s="32"/>
      <c r="E150" s="32"/>
      <c r="F150" s="32">
        <f>SUM(F143:F149)</f>
        <v>7093</v>
      </c>
      <c r="G150" s="36" t="s">
        <v>130</v>
      </c>
      <c r="H150" s="34"/>
      <c r="I150" s="35"/>
      <c r="J150" s="128"/>
      <c r="K150" s="123">
        <f>SUM(K143:K149)</f>
        <v>1922.5</v>
      </c>
    </row>
    <row r="151" spans="1:11" s="54" customFormat="1">
      <c r="A151" s="22"/>
      <c r="B151" s="56"/>
      <c r="C151" s="57"/>
      <c r="D151" s="58"/>
      <c r="E151" s="59"/>
      <c r="F151" s="60"/>
      <c r="G151" s="61" t="s">
        <v>126</v>
      </c>
      <c r="H151" s="62"/>
      <c r="I151" s="63"/>
      <c r="J151" s="63"/>
      <c r="K151" s="64">
        <f>K150+K141+K132+K79+K15</f>
        <v>311081.71281904768</v>
      </c>
    </row>
    <row r="152" spans="1:11" s="54" customFormat="1">
      <c r="A152" s="22"/>
      <c r="B152" s="61" t="s">
        <v>127</v>
      </c>
      <c r="C152" s="62"/>
      <c r="D152" s="65"/>
      <c r="E152" s="66"/>
      <c r="F152" s="67">
        <f>F15+F150+F141+F132+F79</f>
        <v>106343.18599999999</v>
      </c>
      <c r="G152" s="68" t="s">
        <v>128</v>
      </c>
      <c r="H152" s="69">
        <v>0.03</v>
      </c>
      <c r="I152" s="63"/>
      <c r="J152" s="63"/>
      <c r="K152" s="64">
        <f>K151*H152</f>
        <v>9332.45138457143</v>
      </c>
    </row>
    <row r="153" spans="1:11" s="54" customFormat="1">
      <c r="A153" s="22"/>
      <c r="B153" s="68"/>
      <c r="C153" s="70"/>
      <c r="D153" s="71"/>
      <c r="E153" s="72"/>
      <c r="F153" s="67"/>
      <c r="G153" s="73" t="s">
        <v>118</v>
      </c>
      <c r="H153" s="62"/>
      <c r="I153" s="63"/>
      <c r="J153" s="63"/>
      <c r="K153" s="64">
        <f>K151+K152</f>
        <v>320414.16420361912</v>
      </c>
    </row>
    <row r="154" spans="1:11" s="54" customFormat="1">
      <c r="A154" s="22"/>
      <c r="B154" s="73" t="s">
        <v>117</v>
      </c>
      <c r="C154" s="74"/>
      <c r="D154" s="65"/>
      <c r="E154" s="66"/>
      <c r="F154" s="67">
        <f>F152</f>
        <v>106343.18599999999</v>
      </c>
      <c r="G154" s="73" t="s">
        <v>131</v>
      </c>
      <c r="H154" s="74"/>
      <c r="I154" s="63"/>
      <c r="J154" s="63"/>
      <c r="K154" s="64">
        <f>F154+K153</f>
        <v>426757.35020361911</v>
      </c>
    </row>
    <row r="155" spans="1:11" s="54" customFormat="1">
      <c r="A155" s="22"/>
      <c r="B155" s="75"/>
      <c r="C155" s="74"/>
      <c r="D155" s="75"/>
      <c r="E155" s="76"/>
      <c r="F155" s="75"/>
      <c r="G155" s="73" t="s">
        <v>129</v>
      </c>
      <c r="H155" s="74"/>
      <c r="I155" s="63"/>
      <c r="J155" s="63"/>
      <c r="K155" s="64">
        <f>K156/6</f>
        <v>85351.470040723812</v>
      </c>
    </row>
    <row r="156" spans="1:11" s="54" customFormat="1">
      <c r="A156" s="22"/>
      <c r="B156" s="75"/>
      <c r="C156" s="74"/>
      <c r="D156" s="75"/>
      <c r="E156" s="76"/>
      <c r="F156" s="75"/>
      <c r="G156" s="73" t="s">
        <v>132</v>
      </c>
      <c r="H156" s="74"/>
      <c r="I156" s="63"/>
      <c r="J156" s="63"/>
      <c r="K156" s="64">
        <f>K154*1.2</f>
        <v>512108.8202443429</v>
      </c>
    </row>
    <row r="157" spans="1:11" s="54" customFormat="1">
      <c r="A157" s="107"/>
      <c r="B157" s="37"/>
      <c r="C157" s="37"/>
      <c r="D157" s="37"/>
      <c r="E157" s="50"/>
      <c r="F157" s="37"/>
      <c r="G157" s="37"/>
      <c r="H157" s="37"/>
      <c r="I157" s="37"/>
      <c r="J157" s="37"/>
      <c r="K157" s="37"/>
    </row>
    <row r="158" spans="1:11" s="54" customFormat="1">
      <c r="A158" s="107"/>
      <c r="B158" s="37"/>
      <c r="C158" s="37"/>
      <c r="D158" s="37"/>
      <c r="E158" s="50"/>
      <c r="F158" s="37"/>
      <c r="G158" s="37"/>
      <c r="H158" s="37"/>
      <c r="I158" s="37"/>
      <c r="J158" s="37"/>
      <c r="K158" s="37"/>
    </row>
    <row r="159" spans="1:11" s="43" customFormat="1">
      <c r="A159" s="107"/>
      <c r="B159" s="129" t="s">
        <v>159</v>
      </c>
      <c r="C159" s="37"/>
      <c r="D159" s="37"/>
      <c r="E159" s="50"/>
      <c r="F159" s="37"/>
      <c r="G159" s="37"/>
      <c r="H159" s="37"/>
      <c r="I159" s="37"/>
      <c r="J159" s="37"/>
      <c r="K159" s="37"/>
    </row>
    <row r="160" spans="1:11" s="43" customFormat="1">
      <c r="A160" s="107"/>
      <c r="B160" s="37"/>
      <c r="C160" s="37"/>
      <c r="D160" s="37"/>
      <c r="E160" s="50"/>
      <c r="F160" s="37"/>
      <c r="G160" s="37"/>
      <c r="H160" s="37"/>
      <c r="I160" s="37"/>
      <c r="J160" s="37"/>
      <c r="K160" s="37"/>
    </row>
    <row r="161" spans="1:12" s="43" customFormat="1">
      <c r="A161" s="107"/>
      <c r="B161" s="129" t="s">
        <v>160</v>
      </c>
      <c r="C161" s="37"/>
      <c r="D161" s="37"/>
      <c r="E161" s="50"/>
      <c r="F161" s="37"/>
      <c r="G161" s="37"/>
      <c r="H161" s="37"/>
      <c r="I161" s="37"/>
      <c r="J161" s="37"/>
      <c r="K161" s="37"/>
      <c r="L161" s="45"/>
    </row>
    <row r="162" spans="1:12" s="43" customFormat="1">
      <c r="A162" s="107"/>
      <c r="B162" s="130" t="s">
        <v>161</v>
      </c>
      <c r="C162" s="37"/>
      <c r="D162" s="37"/>
      <c r="E162" s="50"/>
      <c r="F162" s="37"/>
      <c r="G162" s="37"/>
      <c r="H162" s="37"/>
      <c r="I162" s="37"/>
      <c r="J162" s="37"/>
      <c r="K162" s="37"/>
      <c r="L162" s="45"/>
    </row>
    <row r="163" spans="1:12" s="43" customFormat="1">
      <c r="A163" s="107"/>
      <c r="L163" s="45"/>
    </row>
    <row r="164" spans="1:12" s="43" customFormat="1">
      <c r="A164" s="107"/>
    </row>
    <row r="165" spans="1:12" s="43" customFormat="1">
      <c r="A165" s="107"/>
    </row>
    <row r="166" spans="1:12" s="43" customFormat="1">
      <c r="A166" s="107"/>
    </row>
    <row r="167" spans="1:12" s="43" customFormat="1">
      <c r="A167" s="107"/>
    </row>
    <row r="168" spans="1:12" s="43" customFormat="1">
      <c r="A168" s="107"/>
    </row>
    <row r="169" spans="1:12" s="43" customFormat="1">
      <c r="A169" s="107"/>
    </row>
    <row r="170" spans="1:12" s="43" customFormat="1">
      <c r="A170" s="107"/>
    </row>
    <row r="171" spans="1:12" s="43" customFormat="1">
      <c r="A171" s="107"/>
    </row>
    <row r="172" spans="1:12" s="43" customFormat="1">
      <c r="A172" s="107"/>
    </row>
    <row r="173" spans="1:12" s="43" customFormat="1">
      <c r="A173" s="107"/>
    </row>
    <row r="174" spans="1:12" s="43" customFormat="1">
      <c r="A174" s="107"/>
    </row>
    <row r="175" spans="1:12" s="43" customFormat="1">
      <c r="A175" s="107"/>
    </row>
    <row r="176" spans="1:12" s="43" customFormat="1">
      <c r="A176" s="107"/>
    </row>
    <row r="177" spans="1:13" s="43" customFormat="1">
      <c r="A177" s="107"/>
    </row>
    <row r="178" spans="1:13" s="43" customFormat="1">
      <c r="A178" s="107"/>
    </row>
    <row r="179" spans="1:13" s="43" customFormat="1">
      <c r="A179" s="107"/>
    </row>
    <row r="180" spans="1:13" s="43" customFormat="1">
      <c r="A180" s="107"/>
    </row>
    <row r="181" spans="1:13" s="43" customFormat="1">
      <c r="A181" s="107"/>
    </row>
    <row r="182" spans="1:13" s="43" customFormat="1">
      <c r="A182" s="107"/>
    </row>
    <row r="183" spans="1:13" s="43" customFormat="1">
      <c r="A183" s="107"/>
    </row>
    <row r="184" spans="1:13" s="43" customFormat="1">
      <c r="A184" s="135"/>
    </row>
    <row r="185" spans="1:13" s="43" customFormat="1">
      <c r="A185" s="149"/>
    </row>
    <row r="186" spans="1:13" s="43" customFormat="1">
      <c r="A186" s="150"/>
    </row>
    <row r="187" spans="1:13" s="43" customFormat="1">
      <c r="A187" s="49"/>
    </row>
    <row r="188" spans="1:13" s="43" customFormat="1">
      <c r="A188" s="49"/>
      <c r="L188" s="45"/>
      <c r="M188" s="45"/>
    </row>
    <row r="189" spans="1:13" s="43" customFormat="1">
      <c r="A189" s="77"/>
      <c r="L189" s="45"/>
      <c r="M189" s="45"/>
    </row>
    <row r="190" spans="1:13" s="43" customFormat="1">
      <c r="A190" s="77"/>
      <c r="B190" s="37"/>
      <c r="C190" s="37"/>
      <c r="D190" s="37"/>
      <c r="E190" s="50"/>
      <c r="F190" s="37"/>
      <c r="G190" s="37"/>
      <c r="H190" s="37"/>
      <c r="I190" s="37"/>
      <c r="J190" s="37"/>
      <c r="K190" s="37"/>
    </row>
    <row r="191" spans="1:13" s="43" customFormat="1">
      <c r="A191" s="49"/>
      <c r="B191" s="37"/>
      <c r="C191" s="37"/>
      <c r="D191" s="37"/>
      <c r="E191" s="50"/>
      <c r="F191" s="37"/>
      <c r="G191" s="37"/>
      <c r="H191" s="37"/>
      <c r="I191" s="37"/>
      <c r="J191" s="37"/>
      <c r="K191" s="37"/>
    </row>
    <row r="192" spans="1:13" s="43" customFormat="1">
      <c r="A192" s="49"/>
      <c r="B192" s="37"/>
      <c r="C192" s="37"/>
      <c r="D192" s="37"/>
      <c r="E192" s="50"/>
      <c r="F192" s="37"/>
      <c r="G192" s="37"/>
      <c r="H192" s="37"/>
      <c r="I192" s="37"/>
      <c r="J192" s="37"/>
      <c r="K192" s="37"/>
    </row>
    <row r="193" spans="1:13" s="43" customFormat="1">
      <c r="A193" s="49"/>
      <c r="B193" s="37"/>
      <c r="C193" s="37"/>
      <c r="D193" s="37"/>
      <c r="E193" s="50"/>
      <c r="F193" s="37"/>
      <c r="G193" s="37"/>
      <c r="H193" s="37"/>
      <c r="I193" s="37"/>
      <c r="J193" s="37"/>
      <c r="K193" s="37"/>
    </row>
    <row r="194" spans="1:13" s="43" customFormat="1">
      <c r="A194" s="49"/>
      <c r="B194" s="37"/>
      <c r="C194" s="37"/>
      <c r="D194" s="37"/>
      <c r="E194" s="50"/>
      <c r="F194" s="37"/>
      <c r="G194" s="37"/>
      <c r="H194" s="37"/>
      <c r="I194" s="37"/>
      <c r="J194" s="37"/>
      <c r="K194" s="37"/>
    </row>
    <row r="195" spans="1:13" s="43" customFormat="1">
      <c r="A195" s="49"/>
      <c r="B195" s="37"/>
      <c r="C195" s="37"/>
      <c r="D195" s="37"/>
      <c r="E195" s="50"/>
      <c r="F195" s="37"/>
      <c r="G195" s="37"/>
      <c r="H195" s="37"/>
      <c r="I195" s="37"/>
      <c r="J195" s="37"/>
      <c r="K195" s="37"/>
    </row>
    <row r="196" spans="1:13" s="43" customFormat="1">
      <c r="A196" s="49"/>
      <c r="B196" s="37"/>
      <c r="C196" s="37"/>
      <c r="D196" s="37"/>
      <c r="E196" s="50"/>
      <c r="F196" s="37"/>
      <c r="G196" s="37"/>
      <c r="H196" s="37"/>
      <c r="I196" s="37"/>
      <c r="J196" s="37"/>
      <c r="K196" s="37"/>
    </row>
    <row r="197" spans="1:13" s="43" customFormat="1">
      <c r="A197" s="49"/>
      <c r="B197" s="37"/>
      <c r="C197" s="37"/>
      <c r="D197" s="37"/>
      <c r="E197" s="50"/>
      <c r="F197" s="37"/>
      <c r="G197" s="37"/>
      <c r="H197" s="37"/>
      <c r="I197" s="37"/>
      <c r="J197" s="37"/>
      <c r="K197" s="37"/>
    </row>
    <row r="198" spans="1:13" s="43" customFormat="1">
      <c r="A198" s="49"/>
      <c r="B198" s="37"/>
      <c r="C198" s="37"/>
      <c r="D198" s="37"/>
      <c r="E198" s="50"/>
      <c r="F198" s="37"/>
      <c r="G198" s="37"/>
      <c r="H198" s="37"/>
      <c r="I198" s="37"/>
      <c r="J198" s="37"/>
      <c r="K198" s="37"/>
      <c r="L198" s="45"/>
      <c r="M198" s="45"/>
    </row>
    <row r="199" spans="1:13" s="43" customFormat="1">
      <c r="A199" s="49"/>
      <c r="B199" s="37"/>
      <c r="C199" s="37"/>
      <c r="D199" s="37"/>
      <c r="E199" s="50"/>
      <c r="F199" s="37"/>
      <c r="G199" s="37"/>
      <c r="H199" s="37"/>
      <c r="I199" s="37"/>
      <c r="J199" s="37"/>
      <c r="K199" s="37"/>
      <c r="L199" s="45"/>
      <c r="M199" s="45"/>
    </row>
    <row r="200" spans="1:13" s="52" customFormat="1">
      <c r="A200" s="49"/>
      <c r="B200" s="37"/>
      <c r="C200" s="37"/>
      <c r="D200" s="37"/>
      <c r="E200" s="50"/>
      <c r="F200" s="37"/>
      <c r="G200" s="37"/>
      <c r="H200" s="37"/>
      <c r="I200" s="37"/>
      <c r="J200" s="37"/>
      <c r="K200" s="37"/>
    </row>
    <row r="201" spans="1:13" s="52" customFormat="1">
      <c r="A201" s="49"/>
      <c r="B201" s="37"/>
      <c r="C201" s="37"/>
      <c r="D201" s="37"/>
      <c r="E201" s="50"/>
      <c r="F201" s="37"/>
      <c r="G201" s="37"/>
      <c r="H201" s="37"/>
      <c r="I201" s="37"/>
      <c r="J201" s="37"/>
      <c r="K201" s="37"/>
    </row>
    <row r="202" spans="1:13" s="52" customFormat="1">
      <c r="A202" s="49"/>
      <c r="B202" s="37"/>
      <c r="C202" s="37"/>
      <c r="D202" s="37"/>
      <c r="E202" s="50"/>
      <c r="F202" s="37"/>
      <c r="G202" s="37"/>
      <c r="H202" s="37"/>
      <c r="I202" s="37"/>
      <c r="J202" s="37"/>
      <c r="K202" s="37"/>
    </row>
    <row r="203" spans="1:13" s="52" customFormat="1">
      <c r="A203" s="49"/>
      <c r="B203" s="37"/>
      <c r="C203" s="37"/>
      <c r="D203" s="37"/>
      <c r="E203" s="50"/>
      <c r="F203" s="37"/>
      <c r="G203" s="37"/>
      <c r="H203" s="37"/>
      <c r="I203" s="37"/>
      <c r="J203" s="37"/>
      <c r="K203" s="37"/>
    </row>
    <row r="204" spans="1:13" s="52" customFormat="1">
      <c r="A204" s="49"/>
      <c r="B204" s="37"/>
      <c r="C204" s="37"/>
      <c r="D204" s="37"/>
      <c r="E204" s="50"/>
      <c r="F204" s="37"/>
      <c r="G204" s="37"/>
      <c r="H204" s="37"/>
      <c r="I204" s="37"/>
      <c r="J204" s="37"/>
      <c r="K204" s="37"/>
    </row>
    <row r="205" spans="1:13" s="53" customFormat="1">
      <c r="A205" s="49"/>
      <c r="B205" s="37"/>
      <c r="C205" s="37"/>
      <c r="D205" s="37"/>
      <c r="E205" s="50"/>
      <c r="F205" s="37"/>
      <c r="G205" s="37"/>
      <c r="H205" s="37"/>
      <c r="I205" s="37"/>
      <c r="J205" s="37"/>
      <c r="K205" s="37"/>
    </row>
    <row r="206" spans="1:13" s="54" customFormat="1">
      <c r="A206" s="49"/>
      <c r="B206" s="37"/>
      <c r="C206" s="37"/>
      <c r="D206" s="37"/>
      <c r="E206" s="50"/>
      <c r="F206" s="37"/>
      <c r="G206" s="37"/>
      <c r="H206" s="37"/>
      <c r="I206" s="37"/>
      <c r="J206" s="37"/>
      <c r="K206" s="37"/>
      <c r="L206" s="52"/>
      <c r="M206" s="52"/>
    </row>
    <row r="207" spans="1:13" s="47" customFormat="1" ht="29.4" customHeight="1">
      <c r="A207" s="49"/>
      <c r="B207" s="37"/>
      <c r="C207" s="37"/>
      <c r="D207" s="37"/>
      <c r="E207" s="50"/>
      <c r="F207" s="37"/>
      <c r="G207" s="37"/>
      <c r="H207" s="37"/>
      <c r="I207" s="37"/>
      <c r="J207" s="37"/>
      <c r="K207" s="37"/>
      <c r="L207" s="45"/>
      <c r="M207" s="45"/>
    </row>
    <row r="208" spans="1:13" s="47" customFormat="1" ht="29.4" customHeight="1">
      <c r="A208" s="49"/>
      <c r="B208" s="37"/>
      <c r="C208" s="37"/>
      <c r="D208" s="37"/>
      <c r="E208" s="50"/>
      <c r="F208" s="37"/>
      <c r="G208" s="37"/>
      <c r="H208" s="37"/>
      <c r="I208" s="37"/>
      <c r="J208" s="37"/>
      <c r="K208" s="37"/>
      <c r="L208" s="45"/>
      <c r="M208" s="45"/>
    </row>
    <row r="209" spans="1:13" s="47" customFormat="1" ht="29.4" customHeight="1">
      <c r="A209" s="49"/>
      <c r="B209" s="37"/>
      <c r="C209" s="37"/>
      <c r="D209" s="37"/>
      <c r="E209" s="50"/>
      <c r="F209" s="37"/>
      <c r="G209" s="37"/>
      <c r="H209" s="37"/>
      <c r="I209" s="37"/>
      <c r="J209" s="37"/>
      <c r="K209" s="37"/>
      <c r="L209" s="45"/>
      <c r="M209" s="45"/>
    </row>
    <row r="211" spans="1:13" s="121" customFormat="1">
      <c r="A211" s="49"/>
      <c r="B211" s="37"/>
      <c r="C211" s="37"/>
      <c r="D211" s="37"/>
      <c r="E211" s="50"/>
      <c r="F211" s="37"/>
      <c r="G211" s="37"/>
      <c r="H211" s="37"/>
      <c r="I211" s="37"/>
      <c r="J211" s="37"/>
      <c r="K211" s="37"/>
    </row>
    <row r="212" spans="1:13" s="121" customFormat="1">
      <c r="A212" s="49"/>
      <c r="B212" s="37"/>
      <c r="C212" s="37"/>
      <c r="D212" s="37"/>
      <c r="E212" s="50"/>
      <c r="F212" s="37"/>
      <c r="G212" s="37"/>
      <c r="H212" s="37"/>
      <c r="I212" s="37"/>
      <c r="J212" s="37"/>
      <c r="K212" s="37"/>
    </row>
    <row r="213" spans="1:13" s="121" customFormat="1">
      <c r="A213" s="49"/>
      <c r="B213" s="37"/>
      <c r="C213" s="37"/>
      <c r="D213" s="37"/>
      <c r="E213" s="50"/>
      <c r="F213" s="37"/>
      <c r="G213" s="37"/>
      <c r="H213" s="37"/>
      <c r="I213" s="37"/>
      <c r="J213" s="37"/>
      <c r="K213" s="37"/>
    </row>
    <row r="214" spans="1:13" s="43" customFormat="1">
      <c r="A214" s="49"/>
      <c r="B214" s="37"/>
      <c r="C214" s="37"/>
      <c r="D214" s="37"/>
      <c r="E214" s="50"/>
      <c r="F214" s="37"/>
      <c r="G214" s="37"/>
      <c r="H214" s="37"/>
      <c r="I214" s="37"/>
      <c r="J214" s="37"/>
      <c r="K214" s="37"/>
    </row>
    <row r="215" spans="1:13" s="43" customFormat="1">
      <c r="A215" s="49"/>
      <c r="B215" s="37"/>
      <c r="C215" s="37"/>
      <c r="D215" s="37"/>
      <c r="E215" s="50"/>
      <c r="F215" s="37"/>
      <c r="G215" s="37"/>
      <c r="H215" s="37"/>
      <c r="I215" s="37"/>
      <c r="J215" s="37"/>
      <c r="K215" s="37"/>
    </row>
    <row r="216" spans="1:13" s="43" customFormat="1">
      <c r="A216" s="49"/>
      <c r="B216" s="37"/>
      <c r="C216" s="37"/>
      <c r="D216" s="37"/>
      <c r="E216" s="50"/>
      <c r="F216" s="37"/>
      <c r="G216" s="37"/>
      <c r="H216" s="37"/>
      <c r="I216" s="37"/>
      <c r="J216" s="37"/>
      <c r="K216" s="37"/>
    </row>
    <row r="217" spans="1:13" s="43" customFormat="1">
      <c r="A217" s="49"/>
      <c r="B217" s="37"/>
      <c r="C217" s="37"/>
      <c r="D217" s="37"/>
      <c r="E217" s="50"/>
      <c r="F217" s="37"/>
      <c r="G217" s="37"/>
      <c r="H217" s="37"/>
      <c r="I217" s="37"/>
      <c r="J217" s="37"/>
      <c r="K217" s="37"/>
    </row>
    <row r="218" spans="1:13" s="43" customFormat="1">
      <c r="A218" s="49"/>
      <c r="B218" s="37"/>
      <c r="C218" s="37"/>
      <c r="D218" s="37"/>
      <c r="E218" s="50"/>
      <c r="F218" s="37"/>
      <c r="G218" s="37"/>
      <c r="H218" s="37"/>
      <c r="I218" s="37"/>
      <c r="J218" s="37"/>
      <c r="K218" s="37"/>
    </row>
    <row r="221" spans="1:13" s="43" customFormat="1">
      <c r="A221" s="49"/>
      <c r="B221" s="37"/>
      <c r="C221" s="37"/>
      <c r="D221" s="37"/>
      <c r="E221" s="50"/>
      <c r="F221" s="37"/>
      <c r="G221" s="37"/>
      <c r="H221" s="37"/>
      <c r="I221" s="37"/>
      <c r="J221" s="37"/>
      <c r="K221" s="37"/>
    </row>
    <row r="222" spans="1:13" s="43" customFormat="1">
      <c r="A222" s="49"/>
      <c r="B222" s="37"/>
      <c r="C222" s="37"/>
      <c r="D222" s="37"/>
      <c r="E222" s="50"/>
      <c r="F222" s="37"/>
      <c r="G222" s="37"/>
      <c r="H222" s="37"/>
      <c r="I222" s="37"/>
      <c r="J222" s="37"/>
      <c r="K222" s="37"/>
    </row>
    <row r="223" spans="1:13" s="43" customFormat="1">
      <c r="A223" s="49"/>
      <c r="B223" s="37"/>
      <c r="C223" s="37"/>
      <c r="D223" s="37"/>
      <c r="E223" s="50"/>
      <c r="F223" s="37"/>
      <c r="G223" s="37"/>
      <c r="H223" s="37"/>
      <c r="I223" s="37"/>
      <c r="J223" s="37"/>
      <c r="K223" s="37"/>
    </row>
    <row r="224" spans="1:13" s="43" customFormat="1">
      <c r="A224" s="49"/>
      <c r="B224" s="37"/>
      <c r="C224" s="37"/>
      <c r="D224" s="37"/>
      <c r="E224" s="50"/>
      <c r="F224" s="37"/>
      <c r="G224" s="37"/>
      <c r="H224" s="37"/>
      <c r="I224" s="37"/>
      <c r="J224" s="37"/>
      <c r="K224" s="37"/>
    </row>
    <row r="225" spans="1:13" s="43" customFormat="1">
      <c r="A225" s="49"/>
      <c r="B225" s="37"/>
      <c r="C225" s="37"/>
      <c r="D225" s="37"/>
      <c r="E225" s="50"/>
      <c r="F225" s="37"/>
      <c r="G225" s="37"/>
      <c r="H225" s="37"/>
      <c r="I225" s="37"/>
      <c r="J225" s="37"/>
      <c r="K225" s="37"/>
    </row>
    <row r="226" spans="1:13" s="43" customFormat="1">
      <c r="A226" s="49"/>
      <c r="B226" s="37"/>
      <c r="C226" s="37"/>
      <c r="D226" s="37"/>
      <c r="E226" s="50"/>
      <c r="F226" s="37"/>
      <c r="G226" s="37"/>
      <c r="H226" s="37"/>
      <c r="I226" s="37"/>
      <c r="J226" s="37"/>
      <c r="K226" s="37"/>
    </row>
    <row r="227" spans="1:13" s="43" customFormat="1">
      <c r="A227" s="49"/>
      <c r="B227" s="37"/>
      <c r="C227" s="37"/>
      <c r="D227" s="37"/>
      <c r="E227" s="50"/>
      <c r="F227" s="37"/>
      <c r="G227" s="37"/>
      <c r="H227" s="37"/>
      <c r="I227" s="37"/>
      <c r="J227" s="37"/>
      <c r="K227" s="37"/>
    </row>
    <row r="228" spans="1:13" s="43" customFormat="1">
      <c r="A228" s="49"/>
      <c r="B228" s="37"/>
      <c r="C228" s="37"/>
      <c r="D228" s="37"/>
      <c r="E228" s="50"/>
      <c r="F228" s="37"/>
      <c r="G228" s="37"/>
      <c r="H228" s="37"/>
      <c r="I228" s="37"/>
      <c r="J228" s="37"/>
      <c r="K228" s="37"/>
    </row>
    <row r="232" spans="1:13">
      <c r="M232" s="48"/>
    </row>
    <row r="233" spans="1:13">
      <c r="M233" s="48"/>
    </row>
  </sheetData>
  <protectedRanges>
    <protectedRange sqref="J20 J33" name="Range1_3_3_1_2_1"/>
    <protectedRange sqref="J21 J34" name="Range1_4_1_1_1_2_1_2_1"/>
  </protectedRanges>
  <autoFilter ref="A7:I187"/>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Ivanov Oleksii</cp:lastModifiedBy>
  <cp:lastPrinted>2022-11-07T08:53:10Z</cp:lastPrinted>
  <dcterms:created xsi:type="dcterms:W3CDTF">1996-10-08T23:32:00Z</dcterms:created>
  <dcterms:modified xsi:type="dcterms:W3CDTF">2024-01-25T10:41:09Z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