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2.2" sheetId="2" r:id="rId1"/>
  </sheets>
  <definedNames>
    <definedName name="_xlnm._FilterDatabase" localSheetId="0" hidden="1">'2.2'!$A$16:$P$176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2" l="1"/>
  <c r="N32" i="2"/>
  <c r="N30" i="2"/>
  <c r="N33" i="2" l="1"/>
  <c r="E34" i="2"/>
  <c r="E33" i="2"/>
  <c r="E59" i="2"/>
  <c r="D73" i="2"/>
  <c r="E41" i="2"/>
  <c r="E79" i="2" l="1"/>
  <c r="E110" i="2" s="1"/>
  <c r="E109" i="2"/>
  <c r="E108" i="2"/>
  <c r="E107" i="2"/>
  <c r="E106" i="2"/>
  <c r="E105" i="2"/>
  <c r="E104" i="2"/>
  <c r="E103" i="2"/>
  <c r="E102" i="2"/>
  <c r="E101" i="2"/>
  <c r="E99" i="2"/>
  <c r="E100" i="2" s="1"/>
  <c r="E135" i="2"/>
  <c r="E138" i="2" s="1"/>
  <c r="E111" i="2" l="1"/>
  <c r="E114" i="2" l="1"/>
  <c r="E113" i="2"/>
  <c r="E116" i="2"/>
  <c r="E112" i="2"/>
  <c r="E115" i="2"/>
  <c r="E118" i="2" l="1"/>
  <c r="E117" i="2"/>
  <c r="E167" i="2" l="1"/>
  <c r="E172" i="2"/>
  <c r="E16" i="2" l="1"/>
  <c r="D159" i="2" l="1"/>
  <c r="D164" i="2"/>
  <c r="D170" i="2"/>
  <c r="E170" i="2" s="1"/>
  <c r="D176" i="2"/>
  <c r="D175" i="2"/>
  <c r="D174" i="2"/>
  <c r="D173" i="2"/>
  <c r="D171" i="2"/>
  <c r="E171" i="2" s="1"/>
  <c r="D169" i="2"/>
  <c r="E169" i="2" s="1"/>
  <c r="D168" i="2"/>
  <c r="E168" i="2"/>
  <c r="E146" i="2" l="1"/>
  <c r="E151" i="2"/>
  <c r="E166" i="2"/>
  <c r="D165" i="2"/>
  <c r="D163" i="2"/>
  <c r="D162" i="2"/>
  <c r="E161" i="2"/>
  <c r="D160" i="2"/>
  <c r="D158" i="2"/>
  <c r="D157" i="2"/>
  <c r="E156" i="2"/>
  <c r="E139" i="2"/>
  <c r="D134" i="2"/>
  <c r="D133" i="2"/>
  <c r="D131" i="2"/>
  <c r="D130" i="2"/>
  <c r="D129" i="2"/>
  <c r="D128" i="2"/>
  <c r="D126" i="2"/>
  <c r="D125" i="2"/>
  <c r="D124" i="2"/>
  <c r="D123" i="2"/>
  <c r="D122" i="2"/>
  <c r="D121" i="2"/>
  <c r="D120" i="2"/>
  <c r="E119" i="2"/>
  <c r="E127" i="2" s="1"/>
  <c r="E90" i="2"/>
  <c r="E75" i="2"/>
  <c r="E77" i="2" s="1"/>
  <c r="D74" i="2"/>
  <c r="D72" i="2"/>
  <c r="D69" i="2"/>
  <c r="D68" i="2"/>
  <c r="D66" i="2"/>
  <c r="D64" i="2"/>
  <c r="D63" i="2"/>
  <c r="E62" i="2"/>
  <c r="E61" i="2"/>
  <c r="E52" i="2"/>
  <c r="E51" i="2"/>
  <c r="E50" i="2"/>
  <c r="E49" i="2"/>
  <c r="E48" i="2"/>
  <c r="E47" i="2"/>
  <c r="E45" i="2"/>
  <c r="E32" i="2"/>
  <c r="E31" i="2"/>
  <c r="D18" i="2"/>
  <c r="E17" i="2"/>
  <c r="E53" i="2" l="1"/>
  <c r="E55" i="2"/>
  <c r="E165" i="2"/>
  <c r="E163" i="2"/>
  <c r="E159" i="2"/>
  <c r="E158" i="2"/>
  <c r="E84" i="2"/>
  <c r="E85" i="2"/>
  <c r="E125" i="2"/>
  <c r="E142" i="2"/>
  <c r="E143" i="2" s="1"/>
  <c r="E154" i="2"/>
  <c r="E153" i="2"/>
  <c r="E66" i="2"/>
  <c r="E19" i="2"/>
  <c r="E22" i="2"/>
  <c r="E21" i="2"/>
  <c r="E64" i="2"/>
  <c r="E140" i="2"/>
  <c r="E20" i="2"/>
  <c r="E60" i="2"/>
  <c r="E141" i="2"/>
  <c r="E173" i="2"/>
  <c r="E148" i="2"/>
  <c r="E149" i="2"/>
  <c r="E128" i="2"/>
  <c r="E130" i="2"/>
  <c r="E129" i="2"/>
  <c r="E18" i="2"/>
  <c r="E24" i="2"/>
  <c r="E86" i="2"/>
  <c r="E120" i="2"/>
  <c r="E124" i="2"/>
  <c r="E23" i="2"/>
  <c r="E123" i="2"/>
  <c r="E126" i="2"/>
  <c r="E63" i="2"/>
  <c r="E65" i="2"/>
  <c r="E83" i="2"/>
  <c r="E91" i="2"/>
  <c r="E93" i="2" s="1"/>
  <c r="E121" i="2"/>
  <c r="E155" i="2"/>
  <c r="E36" i="2"/>
  <c r="E71" i="2"/>
  <c r="E74" i="2" s="1"/>
  <c r="E122" i="2"/>
  <c r="E152" i="2"/>
  <c r="E150" i="2"/>
  <c r="E147" i="2"/>
  <c r="E43" i="2"/>
  <c r="E76" i="2"/>
  <c r="E54" i="2"/>
  <c r="E160" i="2"/>
  <c r="E157" i="2"/>
  <c r="E44" i="2"/>
  <c r="E174" i="2"/>
  <c r="E175" i="2"/>
  <c r="E42" i="2"/>
  <c r="E40" i="2"/>
  <c r="E39" i="2"/>
  <c r="E38" i="2"/>
  <c r="E37" i="2"/>
  <c r="E176" i="2"/>
  <c r="E67" i="2"/>
  <c r="E68" i="2" s="1"/>
  <c r="E87" i="2"/>
  <c r="E131" i="2"/>
  <c r="E80" i="2"/>
  <c r="E88" i="2"/>
  <c r="E132" i="2"/>
  <c r="E136" i="2"/>
  <c r="E164" i="2"/>
  <c r="E81" i="2"/>
  <c r="E89" i="2"/>
  <c r="E137" i="2"/>
  <c r="E82" i="2"/>
  <c r="E162" i="2"/>
  <c r="E27" i="2" l="1"/>
  <c r="E29" i="2" s="1"/>
  <c r="E144" i="2"/>
  <c r="E30" i="2"/>
  <c r="E92" i="2"/>
  <c r="E28" i="2"/>
  <c r="E25" i="2"/>
  <c r="E73" i="2"/>
  <c r="E95" i="2"/>
  <c r="E94" i="2"/>
  <c r="E96" i="2"/>
  <c r="E97" i="2" s="1"/>
  <c r="E72" i="2"/>
  <c r="E70" i="2"/>
  <c r="E69" i="2"/>
  <c r="E57" i="2"/>
  <c r="E56" i="2"/>
  <c r="E58" i="2"/>
  <c r="E133" i="2"/>
  <c r="E134" i="2"/>
  <c r="E98" i="2" l="1"/>
</calcChain>
</file>

<file path=xl/sharedStrings.xml><?xml version="1.0" encoding="utf-8"?>
<sst xmlns="http://schemas.openxmlformats.org/spreadsheetml/2006/main" count="544" uniqueCount="301">
  <si>
    <t>на виконання комплексу робіт по опорядженню МЗК  2-4 поверху</t>
  </si>
  <si>
    <t>№ п/п</t>
  </si>
  <si>
    <t>Найменування робіт і матеріалів</t>
  </si>
  <si>
    <t>Од. вим.</t>
  </si>
  <si>
    <t>Норма витрат</t>
  </si>
  <si>
    <t>Кількість всього</t>
  </si>
  <si>
    <t>РОБОТИ</t>
  </si>
  <si>
    <t>МАТЕРІАЛИ</t>
  </si>
  <si>
    <t>Вартість
 всього грн., без ПДВ</t>
  </si>
  <si>
    <t>ціна од., грн без ПДВ</t>
  </si>
  <si>
    <t>разом, грн без ПДВ</t>
  </si>
  <si>
    <t>м2</t>
  </si>
  <si>
    <t>Влаштування та оздоблення стін</t>
  </si>
  <si>
    <t>1.1</t>
  </si>
  <si>
    <t>Утеплення стін мінеральною ватою товщ. 50 мм (з улаштуванням армуючого шару)</t>
  </si>
  <si>
    <t>1.1.1</t>
  </si>
  <si>
    <t>кг</t>
  </si>
  <si>
    <t>1.1.2</t>
  </si>
  <si>
    <t>м3</t>
  </si>
  <si>
    <t>1.1.3</t>
  </si>
  <si>
    <t>10</t>
  </si>
  <si>
    <t>1.1.4</t>
  </si>
  <si>
    <t>1,1</t>
  </si>
  <si>
    <t>1.1.5</t>
  </si>
  <si>
    <t>шт</t>
  </si>
  <si>
    <t>1.2</t>
  </si>
  <si>
    <t xml:space="preserve">Шпаклювання поверхонь стін з грунтуванням </t>
  </si>
  <si>
    <t>1.2.1</t>
  </si>
  <si>
    <t>л</t>
  </si>
  <si>
    <t>1.2.2</t>
  </si>
  <si>
    <t>Суміш гіпсова шпаклювальна КНАУФ Старт</t>
  </si>
  <si>
    <t>1.2.3</t>
  </si>
  <si>
    <t>1.2.4</t>
  </si>
  <si>
    <t>м/п</t>
  </si>
  <si>
    <t>1.3</t>
  </si>
  <si>
    <t>Грунтування грунтом, нанесення декоративної штукатурки на стіни</t>
  </si>
  <si>
    <t>1.3.1</t>
  </si>
  <si>
    <t>1.3.2</t>
  </si>
  <si>
    <t>1.3.3</t>
  </si>
  <si>
    <t>1.4</t>
  </si>
  <si>
    <t>Улаштування штукатурних кутиків</t>
  </si>
  <si>
    <t>1.4.1</t>
  </si>
  <si>
    <t>1.5</t>
  </si>
  <si>
    <t>Влаштування штукатурки стін цементно-пісчаним розчином під плитку, тов.20мм</t>
  </si>
  <si>
    <t>1.5.1</t>
  </si>
  <si>
    <t>1.5.2</t>
  </si>
  <si>
    <t>1.5.3</t>
  </si>
  <si>
    <t>1.5.4</t>
  </si>
  <si>
    <t>1.5.5</t>
  </si>
  <si>
    <t>1.6</t>
  </si>
  <si>
    <t>1.6.1</t>
  </si>
  <si>
    <t>1.6.2</t>
  </si>
  <si>
    <t>1.6.3</t>
  </si>
  <si>
    <t>1.6.4</t>
  </si>
  <si>
    <t>1.7</t>
  </si>
  <si>
    <t>Влаштування штукатурки стін гіпсовим розчином під декоративну штукатурку, тов.20мм</t>
  </si>
  <si>
    <t>1.7.1</t>
  </si>
  <si>
    <t>1.7.2</t>
  </si>
  <si>
    <t>1.7.3</t>
  </si>
  <si>
    <t>1.7.4</t>
  </si>
  <si>
    <t>мп</t>
  </si>
  <si>
    <t>1.7.5</t>
  </si>
  <si>
    <t>1.8</t>
  </si>
  <si>
    <t>м²</t>
  </si>
  <si>
    <t>1.8.1</t>
  </si>
  <si>
    <t>1.8.2</t>
  </si>
  <si>
    <t>1.9</t>
  </si>
  <si>
    <t>1.9.1</t>
  </si>
  <si>
    <t>1.9.2</t>
  </si>
  <si>
    <t>1.9.3</t>
  </si>
  <si>
    <t>1.10</t>
  </si>
  <si>
    <t>1.10.1</t>
  </si>
  <si>
    <t>1.10.2</t>
  </si>
  <si>
    <t>1.11</t>
  </si>
  <si>
    <t>1.11.1</t>
  </si>
  <si>
    <t>1.11.2</t>
  </si>
  <si>
    <t>1.11.3</t>
  </si>
  <si>
    <t>1.11.4</t>
  </si>
  <si>
    <t>1.12</t>
  </si>
  <si>
    <t>1.12.1</t>
  </si>
  <si>
    <t>1.12.2</t>
  </si>
  <si>
    <t>1.12.3</t>
  </si>
  <si>
    <t>1.13</t>
  </si>
  <si>
    <t>1.13.1</t>
  </si>
  <si>
    <t>1.13.2</t>
  </si>
  <si>
    <t>1.13.3</t>
  </si>
  <si>
    <t>1.14</t>
  </si>
  <si>
    <t>1.14.1</t>
  </si>
  <si>
    <t>1.14.2</t>
  </si>
  <si>
    <t>2</t>
  </si>
  <si>
    <t>Влаштування та оздоблення стель</t>
  </si>
  <si>
    <t>2.1</t>
  </si>
  <si>
    <t>2.1.1</t>
  </si>
  <si>
    <t>2.1.2</t>
  </si>
  <si>
    <t>2.1.3</t>
  </si>
  <si>
    <t>2.1.4</t>
  </si>
  <si>
    <t>2.1.5</t>
  </si>
  <si>
    <t>2.1.6</t>
  </si>
  <si>
    <t>2.1.7</t>
  </si>
  <si>
    <t>2.1.8</t>
  </si>
  <si>
    <t>2.1.9</t>
  </si>
  <si>
    <t>2.1.10</t>
  </si>
  <si>
    <t>2.1.11</t>
  </si>
  <si>
    <t>2.2</t>
  </si>
  <si>
    <t>Грунтування, шпаклювання та наклеювання склохолста на поверхню стель ГКЛ</t>
  </si>
  <si>
    <t>2.2.1</t>
  </si>
  <si>
    <t>2.2.2</t>
  </si>
  <si>
    <t>2.2.3</t>
  </si>
  <si>
    <t>2.2.4</t>
  </si>
  <si>
    <t>2.3</t>
  </si>
  <si>
    <t xml:space="preserve">Фарбування стель водоемульсійною фарбою в два шари </t>
  </si>
  <si>
    <t>2.3.1</t>
  </si>
  <si>
    <t>2.3.2</t>
  </si>
  <si>
    <t>2.10</t>
  </si>
  <si>
    <t>2.10.1</t>
  </si>
  <si>
    <t>2.10.2</t>
  </si>
  <si>
    <t>2.10.3</t>
  </si>
  <si>
    <t>2.10.4</t>
  </si>
  <si>
    <t>2.10.5</t>
  </si>
  <si>
    <t>2.10.6</t>
  </si>
  <si>
    <t>2.11</t>
  </si>
  <si>
    <t>2.11.1</t>
  </si>
  <si>
    <t>2.11.2</t>
  </si>
  <si>
    <t xml:space="preserve">Грунтування та шпаклювання на поверхню стель сходових клітин </t>
  </si>
  <si>
    <t>3</t>
  </si>
  <si>
    <t>Облицювання підлог</t>
  </si>
  <si>
    <t>3.1</t>
  </si>
  <si>
    <t>3.1.1</t>
  </si>
  <si>
    <t>3.1.2</t>
  </si>
  <si>
    <t>3.1.3</t>
  </si>
  <si>
    <t>3.1.4</t>
  </si>
  <si>
    <t>3.2</t>
  </si>
  <si>
    <t>3.2.1</t>
  </si>
  <si>
    <t>3.2.2</t>
  </si>
  <si>
    <t>3.2.3</t>
  </si>
  <si>
    <t>3.2.4</t>
  </si>
  <si>
    <t>3.3</t>
  </si>
  <si>
    <t xml:space="preserve">Влаштування плитки на східцях (шир.300 мм - 65шт*2=130шт) </t>
  </si>
  <si>
    <t>м.п.</t>
  </si>
  <si>
    <t>3.3.1</t>
  </si>
  <si>
    <t>3.3.2</t>
  </si>
  <si>
    <t>3.3.3</t>
  </si>
  <si>
    <t>3.3.4</t>
  </si>
  <si>
    <t>3.4</t>
  </si>
  <si>
    <t>3.4.1</t>
  </si>
  <si>
    <t>3.4.2</t>
  </si>
  <si>
    <t>3.4.3</t>
  </si>
  <si>
    <t>3.4.4</t>
  </si>
  <si>
    <t>3.4.5</t>
  </si>
  <si>
    <t>3.5</t>
  </si>
  <si>
    <t>Влаштування плінтусу з плитки 150мм</t>
  </si>
  <si>
    <t>3.5.1</t>
  </si>
  <si>
    <t>3.5.2</t>
  </si>
  <si>
    <t>3.5.3</t>
  </si>
  <si>
    <t>3.5.4</t>
  </si>
  <si>
    <t>РАЗОМ  без ПДВ:</t>
  </si>
  <si>
    <t>ПДВ 20%</t>
  </si>
  <si>
    <t>ВСЬОГО з ПДВ:</t>
  </si>
  <si>
    <t>в тому числі:</t>
  </si>
  <si>
    <t xml:space="preserve"> Разом матеріалів Генпідрядника без ПДВ:</t>
  </si>
  <si>
    <t>Всього матеріалів Генпідрядника з ПДВ:</t>
  </si>
  <si>
    <t>Разом витрат Підрядника без ПДВ:</t>
  </si>
  <si>
    <t>Всього витрат Підрядника з ПДВ:</t>
  </si>
  <si>
    <t xml:space="preserve">Генпідрядник: </t>
  </si>
  <si>
    <t>КОМЕРЦІЙНА ПРОПОЗИЦІЯ</t>
  </si>
  <si>
    <t>Додаткові та витратні матеріали враховано у вартість робіт.</t>
  </si>
  <si>
    <t>Обсяги і вартість робіт та матеріалів, що використовуються при виконанні робіт, можуть змінюватись відповідно до зміни проектних рішень  з поміткою "До виконання робіт".</t>
  </si>
  <si>
    <t>Всі фінішні покриття ( фарбу, плитку, декоративну штукатурку тощо) погодити з авторами дизайн-проекту.</t>
  </si>
  <si>
    <t>Укладання плитки 1200х600 на підлогу сходових майданчиків</t>
  </si>
  <si>
    <t>керамограніт 1200х600 М88 GEA v53 (поставка Генпідрядника)</t>
  </si>
  <si>
    <t>Влаштування плінтусу з плитки 100мм</t>
  </si>
  <si>
    <t>Укладання плитки 1200х600 мм на підлогу коридору</t>
  </si>
  <si>
    <t>клей для плитки СМ117, 25кг (або аналог)</t>
  </si>
  <si>
    <t>3.6</t>
  </si>
  <si>
    <t>3.6.1</t>
  </si>
  <si>
    <t>3.6.2</t>
  </si>
  <si>
    <t>3.6.3</t>
  </si>
  <si>
    <t>3.6.4</t>
  </si>
  <si>
    <t>Монтаж підвіконь 6шт - 2500*410мм</t>
  </si>
  <si>
    <t>Улаштування стелі на металевому каркасі з обшиванням перфорованими ГКЛ</t>
  </si>
  <si>
    <t>Улаштування стелі на металевому каркасі з обшиванням  ГКЛ</t>
  </si>
  <si>
    <t xml:space="preserve">Встановлення алюмінієвого П-профілю </t>
  </si>
  <si>
    <t>профіль тіньового шва 8/13мм (узгодити з дизайнерами)</t>
  </si>
  <si>
    <t>лиштва</t>
  </si>
  <si>
    <t>штукатурка</t>
  </si>
  <si>
    <t>фарба</t>
  </si>
  <si>
    <t>1пов</t>
  </si>
  <si>
    <t>3пов</t>
  </si>
  <si>
    <t>1.4а</t>
  </si>
  <si>
    <t>1.4а.1</t>
  </si>
  <si>
    <t>грунтовка Caparol Hafgrund або аналог</t>
  </si>
  <si>
    <t>грунтовка бетоноконтакт</t>
  </si>
  <si>
    <t>стрічка самоклеюча для швів 50мм*45м</t>
  </si>
  <si>
    <t>стрічка-сітка для швів,45мм*150м</t>
  </si>
  <si>
    <t xml:space="preserve">віск (лак) для штукатурки </t>
  </si>
  <si>
    <t>гіпсокартон вологостійкий 12,5мм</t>
  </si>
  <si>
    <t xml:space="preserve">гіпсокартон вологостійкий 9,5мм </t>
  </si>
  <si>
    <t>гіпсокартон перфорований   Knauf Cleaneo Akustic (C1-KP) 8/18</t>
  </si>
  <si>
    <t>декоративна штукатурка Oikos Marmorino Naturale Fine, MM15-50%</t>
  </si>
  <si>
    <t>клей для гіпсокартону Перлфікс</t>
  </si>
  <si>
    <t>мінеральна вата НГ 50мм (щільн. 65 кг/м3)</t>
  </si>
  <si>
    <t>суміш для мін.вати Ceresit 190</t>
  </si>
  <si>
    <t>сітка армувальна Ceresit (щільн.160г/м2)</t>
  </si>
  <si>
    <t>сітка 5*5 скловолокно темнозелена (щільн.165г/м2)</t>
  </si>
  <si>
    <t>дюбель для теплоізоляції 10*100</t>
  </si>
  <si>
    <t>грунтовка глибокого проникнення СТ17</t>
  </si>
  <si>
    <t>суміш гіпсова шпаклювальна КНАУФ Старт</t>
  </si>
  <si>
    <t>суміш гіпсова шпаклювальна КНАУФ Мультіфініш</t>
  </si>
  <si>
    <t>кутник малярний посилений 3,0м</t>
  </si>
  <si>
    <t>кутик для мокрої штукатурки ПВХ, 3,0м</t>
  </si>
  <si>
    <t>штукатурка цементная РМ11 (25кг)</t>
  </si>
  <si>
    <t>рейка маячна штук. 6мм, 3,0м</t>
  </si>
  <si>
    <t>клей для плитки Baumit Baumacol Flex Uni 25 кг</t>
  </si>
  <si>
    <t>суміш для затирання швів WIM FUGA 3 бежева 1/32</t>
  </si>
  <si>
    <t>штукатурка гіпсова МП75 (25кг)</t>
  </si>
  <si>
    <t>фарба в/е  Alpina</t>
  </si>
  <si>
    <t>шпаклівка Кнауф "Уніфлот"</t>
  </si>
  <si>
    <t>підвіконня 2500*410мм (поставка Замовника)</t>
  </si>
  <si>
    <t>піна монтажна Момент Монтаж Стандарт 750 мл</t>
  </si>
  <si>
    <t xml:space="preserve">профіль UD-27, 3,00м (0,55) </t>
  </si>
  <si>
    <t xml:space="preserve">профіль СD-60, 3,00м (0,55) </t>
  </si>
  <si>
    <t>п-образний кронштейн 125 (товщ. 0,8мм)</t>
  </si>
  <si>
    <t xml:space="preserve">з’єднувач дворівневий для CD </t>
  </si>
  <si>
    <t>саморіз 3,5х9,5</t>
  </si>
  <si>
    <t>саморіз 3,5х25</t>
  </si>
  <si>
    <t>дюбель 6х40</t>
  </si>
  <si>
    <t>дюбель металічний T-DN 6,0*40(100шт)</t>
  </si>
  <si>
    <t>шпаклівка для заробки швів</t>
  </si>
  <si>
    <t>склополотно SN40 (50м2) OWL</t>
  </si>
  <si>
    <t>клей для склохолсту Колорит Strong Adhesive 10кг</t>
  </si>
  <si>
    <t>фарба Caparol CapaSilan (колір погодити)</t>
  </si>
  <si>
    <t xml:space="preserve">суміш для затирання швів </t>
  </si>
  <si>
    <t>профіль алюмінієвий для сходів(3000мм)</t>
  </si>
  <si>
    <t>2.4</t>
  </si>
  <si>
    <t>2.4.1</t>
  </si>
  <si>
    <t>2.4.2</t>
  </si>
  <si>
    <t>2.4.3</t>
  </si>
  <si>
    <t>2.4.4</t>
  </si>
  <si>
    <t>2.4.5</t>
  </si>
  <si>
    <t>2.4.6</t>
  </si>
  <si>
    <t>2.4.7</t>
  </si>
  <si>
    <t>2.4.8</t>
  </si>
  <si>
    <t>2.4.9</t>
  </si>
  <si>
    <t>2.4.10</t>
  </si>
  <si>
    <t>2.4.11</t>
  </si>
  <si>
    <t>2.5</t>
  </si>
  <si>
    <t>2.5.1</t>
  </si>
  <si>
    <t>2.5.2</t>
  </si>
  <si>
    <t>2.5.3</t>
  </si>
  <si>
    <t>2.5.4</t>
  </si>
  <si>
    <t>2.6</t>
  </si>
  <si>
    <t>2.6.1</t>
  </si>
  <si>
    <t>2.6.2</t>
  </si>
  <si>
    <t>2.7</t>
  </si>
  <si>
    <t>2.7.1</t>
  </si>
  <si>
    <t>2.7.2</t>
  </si>
  <si>
    <t>2.7.3</t>
  </si>
  <si>
    <t>2.7.4</t>
  </si>
  <si>
    <t>2.7.5</t>
  </si>
  <si>
    <t>2.7.6</t>
  </si>
  <si>
    <t>2.7.7</t>
  </si>
  <si>
    <t>2.8</t>
  </si>
  <si>
    <t>2.8.1</t>
  </si>
  <si>
    <t>2.8.2</t>
  </si>
  <si>
    <t>2.8.3</t>
  </si>
  <si>
    <t>2.8.4</t>
  </si>
  <si>
    <t>2.9</t>
  </si>
  <si>
    <t>2.9.1</t>
  </si>
  <si>
    <t>2.9.2</t>
  </si>
  <si>
    <r>
      <t xml:space="preserve">Підстава та шифр проекту: </t>
    </r>
    <r>
      <rPr>
        <b/>
        <sz val="12"/>
        <rFont val="Arial"/>
        <family val="2"/>
        <charset val="204"/>
      </rPr>
      <t>Дизайн-проект ЖК "Park Lake Citi" Буд.2.2 МЗК</t>
    </r>
  </si>
  <si>
    <t>Примітки:</t>
  </si>
  <si>
    <t>Вартість Робіт враховує весь комплекс (але не виключно) на даний вид робіт із витратними матеріалами що не визначені явно, всі витрати Підрядника на інструменти, заробітну плату, загальновиробничі та адміністративні витрати , заготівельно-складські витрати, прибуток, згідно переліку ДБН та ДСТУ, вартість пусконалагоджувальних робіт та технічних звітів, актів, протоколів (але не вичерпно) відповідно до систем, вартість гідравлічних та повторних гідравлічних випробувань (при необхідності), вартість експлуатації машин, механізмів (крім тих що надаються Генпідрядником) та засобів малої механізації, обладнання і оснастки, засоби підмощування та риштування, будівельні люльки та підйомники (при необхідності), вартість перебазування на об'єкт, вартість паливно-мастильних матеріалів, прибирання сміття та збирання його у відведених місцях, навантажувально-розвантажувальні роботи, перенесення виробів, інструментів, матеріалів вручну до місця монтажу, геодезичний супровід процесу виконання робіт (при необхідності), дрібні, допоміжні та супутні операції необхідні для виконання Робіт у відповідній якості та комплексності за проектом.</t>
  </si>
  <si>
    <t>Договірною ціною не враховуються витрати на електроенергію і воду.</t>
  </si>
  <si>
    <t>Вартість матеріальних ресурсів в Договірній ціні є з урахуванням транспортних витрат та потребує погодження на момент їх закупівлі.</t>
  </si>
  <si>
    <t>Норми витрат, встановлені договірною ціною підтверджуються Технологічною картою. Відхилення норм витрат фактичного виконання підтверджуються комісійно за погодженням Генпідрядника.</t>
  </si>
  <si>
    <t>Пробивання та свердлення отворів діаметром до 50мм (що не вказані явно в проектній документації) враховано вартістю робіт і окремо не оплачуються.</t>
  </si>
  <si>
    <t xml:space="preserve">Перед виконанням робіт та виготовленням виробів виконати заміри фактичних прорізів. </t>
  </si>
  <si>
    <t xml:space="preserve"> Конфігурація та комплектація виробів погоджується Генпідрядником та дизайнером.</t>
  </si>
  <si>
    <t xml:space="preserve">Підрядником розробляється проектна документація (КМД) перед початком виконнаня робіт та погоджується із Генпідрядником в установленому порядку.  </t>
  </si>
  <si>
    <t>Підрядник:</t>
  </si>
  <si>
    <t>ТОВ "__________________"</t>
  </si>
  <si>
    <t>ТОВ "____________________"</t>
  </si>
  <si>
    <t>Директор</t>
  </si>
  <si>
    <t>_____________________ ПІБ</t>
  </si>
  <si>
    <r>
      <t>Підрядник:</t>
    </r>
    <r>
      <rPr>
        <b/>
        <sz val="12"/>
        <rFont val="Arial"/>
        <family val="2"/>
        <charset val="204"/>
      </rPr>
      <t xml:space="preserve"> </t>
    </r>
  </si>
  <si>
    <r>
      <t xml:space="preserve">Найменування об'єкту та його адреса: </t>
    </r>
    <r>
      <rPr>
        <b/>
        <sz val="12"/>
        <rFont val="Arial"/>
        <family val="2"/>
        <charset val="204"/>
      </rPr>
      <t xml:space="preserve">"Багатоквартирний житловий комплекс з об’єктами громадського призначення та благоустроєм території в межах  с. Підгірці Обухівського району Київської області".  </t>
    </r>
  </si>
  <si>
    <r>
      <t>Стаття бюджету:</t>
    </r>
    <r>
      <rPr>
        <b/>
        <sz val="12"/>
        <rFont val="Arial"/>
        <family val="2"/>
        <charset val="204"/>
      </rPr>
      <t xml:space="preserve">  6.12.2</t>
    </r>
  </si>
  <si>
    <r>
      <t xml:space="preserve">Об'єкт будівництва: </t>
    </r>
    <r>
      <rPr>
        <b/>
        <sz val="12"/>
        <rFont val="Arial"/>
        <family val="2"/>
        <charset val="204"/>
      </rPr>
      <t>ПДГ2 Ч2 Будинок 2</t>
    </r>
  </si>
  <si>
    <r>
      <t xml:space="preserve">Облицювання стін керамогранітними плитками 1200х600мм </t>
    </r>
    <r>
      <rPr>
        <i/>
        <sz val="12"/>
        <rFont val="Arial"/>
        <family val="2"/>
        <charset val="204"/>
      </rPr>
      <t>МЗК</t>
    </r>
  </si>
  <si>
    <r>
      <t xml:space="preserve">Шпаклювання поверхонь стін з грунтуванням </t>
    </r>
    <r>
      <rPr>
        <i/>
        <sz val="12"/>
        <rFont val="Arial"/>
        <family val="2"/>
        <charset val="204"/>
      </rPr>
      <t>МЗК</t>
    </r>
  </si>
  <si>
    <r>
      <t xml:space="preserve">Фарбування стін водоемульсійною фарбою з грунтуванням за 2 раза </t>
    </r>
    <r>
      <rPr>
        <sz val="12"/>
        <rFont val="Arial"/>
        <family val="2"/>
        <charset val="204"/>
      </rPr>
      <t>(Стіна за МДФ-панелями)</t>
    </r>
  </si>
  <si>
    <r>
      <t xml:space="preserve">Улаштування укосів з гіпсокартону на клею шир. 400мм                              </t>
    </r>
    <r>
      <rPr>
        <i/>
        <sz val="12"/>
        <color theme="1"/>
        <rFont val="Arial"/>
        <family val="2"/>
        <charset val="204"/>
      </rPr>
      <t>(Вікна сходової клітини)</t>
    </r>
  </si>
  <si>
    <r>
      <t xml:space="preserve">Шпаклювання укосів з гіпсокартону шир. 400мм                                                  </t>
    </r>
    <r>
      <rPr>
        <i/>
        <sz val="12"/>
        <color theme="1"/>
        <rFont val="Arial"/>
        <family val="2"/>
        <charset val="204"/>
      </rPr>
      <t>(Вікна сходової клітини)</t>
    </r>
  </si>
  <si>
    <r>
      <t xml:space="preserve">Грунтування грунтом, нанесення декоративної штукатурки на укоси з гіпсокартону шир. 400мм  </t>
    </r>
    <r>
      <rPr>
        <i/>
        <sz val="12"/>
        <color theme="1"/>
        <rFont val="Arial"/>
        <family val="2"/>
        <charset val="204"/>
      </rPr>
      <t xml:space="preserve"> (Вікна сходової клітини)   </t>
    </r>
  </si>
  <si>
    <r>
      <t>Улаштування укосів стелі з гіпсокартону на металевому каркасі шир 40мм</t>
    </r>
    <r>
      <rPr>
        <i/>
        <sz val="12"/>
        <rFont val="Arial"/>
        <family val="2"/>
        <charset val="204"/>
      </rPr>
      <t xml:space="preserve"> (примикання ГКЛ стель МЗК з монолітнини сходових клітин)</t>
    </r>
  </si>
  <si>
    <r>
      <t xml:space="preserve">Грунтування, шпаклювання та наклеювання склохолста на укоси стелі з гіпсокартону шир 40мм </t>
    </r>
    <r>
      <rPr>
        <i/>
        <sz val="12"/>
        <rFont val="Arial"/>
        <family val="2"/>
        <charset val="204"/>
      </rPr>
      <t>(примикання ГКЛ стель МЗК з монолітнини сходових клітин)</t>
    </r>
  </si>
  <si>
    <r>
      <t xml:space="preserve">Фарбування укосів стелі з гіпсокартону шир 40мм </t>
    </r>
    <r>
      <rPr>
        <i/>
        <sz val="12"/>
        <rFont val="Arial"/>
        <family val="2"/>
        <charset val="204"/>
      </rPr>
      <t>(примикання ГКЛ стель МЗК з монолітнини сходових клітин)</t>
    </r>
  </si>
  <si>
    <r>
      <t>Влаштування плитки на підсхідцях (шир.150 мм - 72шт*2=144шт)</t>
    </r>
    <r>
      <rPr>
        <b/>
        <sz val="12"/>
        <color rgb="FFFF0000"/>
        <rFont val="Arial"/>
        <family val="2"/>
        <charset val="204"/>
      </rPr>
      <t xml:space="preserve"> </t>
    </r>
  </si>
  <si>
    <r>
      <t xml:space="preserve">Генпідрядник: </t>
    </r>
    <r>
      <rPr>
        <b/>
        <sz val="12"/>
        <rFont val="Arial"/>
        <family val="2"/>
        <charset val="204"/>
      </rPr>
      <t>ТОВ "АНТІЛІЯ ЛТД"</t>
    </r>
  </si>
  <si>
    <t xml:space="preserve">Додаток № </t>
  </si>
  <si>
    <t>до тендерного завдання №   від   202_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</si>
</sst>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0_₴"/>
    <numFmt numFmtId="167" formatCode="#,##0.0"/>
  </numFmts>
  <fonts count="23">
    <font>
      <sz val="11"/>
      <color theme="1"/>
      <name val="Calibri"/>
      <family val="2"/>
      <scheme val="minor"/>
    </font>
    <font>
      <sz val="11"/>
      <color indexed="8"/>
      <name val="Calibri"/>
      <family val="2"/>
      <charset val="204"/>
    </font>
    <font>
      <u/>
      <sz val="10"/>
      <color theme="10"/>
      <name val="Arial Cyr"/>
      <charset val="204"/>
    </font>
    <font>
      <sz val="10"/>
      <name val="Arial Cyr"/>
      <charset val="204"/>
    </font>
    <font>
      <sz val="10"/>
      <name val="Arial"/>
      <family val="2"/>
      <charset val="204"/>
    </font>
    <font>
      <b/>
      <sz val="10"/>
      <name val="Arial"/>
      <family val="2"/>
      <charset val="204"/>
    </font>
    <font>
      <sz val="11"/>
      <color indexed="8"/>
      <name val="Arial1"/>
      <charset val="204"/>
    </font>
    <font>
      <sz val="12"/>
      <name val="Arial"/>
      <family val="2"/>
      <charset val="204"/>
    </font>
    <font>
      <sz val="10"/>
      <color rgb="FF000000"/>
      <name val="Times New Roman"/>
      <family val="1"/>
      <charset val="204"/>
    </font>
    <font>
      <i/>
      <sz val="10"/>
      <color rgb="FFFF0000"/>
      <name val="Arial"/>
      <family val="2"/>
      <charset val="204"/>
    </font>
    <font>
      <sz val="10"/>
      <name val="Arial Cyr"/>
      <family val="2"/>
      <charset val="204"/>
    </font>
    <font>
      <b/>
      <sz val="12"/>
      <name val="Arial"/>
      <family val="2"/>
      <charset val="204"/>
    </font>
    <font>
      <b/>
      <u/>
      <sz val="10"/>
      <name val="Arial"/>
      <family val="2"/>
      <charset val="204"/>
    </font>
    <font>
      <b/>
      <sz val="14"/>
      <name val="Arial"/>
      <family val="2"/>
      <charset val="204"/>
    </font>
    <font>
      <u/>
      <sz val="12"/>
      <name val="Arial"/>
      <family val="2"/>
      <charset val="204"/>
    </font>
    <font>
      <i/>
      <sz val="12"/>
      <name val="Arial"/>
      <family val="2"/>
      <charset val="204"/>
    </font>
    <font>
      <b/>
      <i/>
      <sz val="12"/>
      <name val="Arial"/>
      <family val="2"/>
      <charset val="204"/>
    </font>
    <font>
      <b/>
      <i/>
      <sz val="12"/>
      <color rgb="FFFF0000"/>
      <name val="Arial"/>
      <family val="2"/>
      <charset val="204"/>
    </font>
    <font>
      <b/>
      <sz val="12"/>
      <color theme="1"/>
      <name val="Arial"/>
      <family val="2"/>
      <charset val="204"/>
    </font>
    <font>
      <sz val="12"/>
      <color theme="1"/>
      <name val="Arial"/>
      <family val="2"/>
      <charset val="204"/>
    </font>
    <font>
      <i/>
      <sz val="12"/>
      <color theme="1"/>
      <name val="Arial"/>
      <family val="2"/>
      <charset val="204"/>
    </font>
    <font>
      <b/>
      <i/>
      <sz val="12"/>
      <color theme="1"/>
      <name val="Arial"/>
      <family val="2"/>
      <charset val="204"/>
    </font>
    <font>
      <b/>
      <sz val="12"/>
      <color rgb="FFFF0000"/>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3" fillId="0" borderId="0"/>
    <xf numFmtId="0" fontId="1" fillId="0" borderId="0"/>
    <xf numFmtId="0" fontId="1" fillId="0" borderId="0"/>
    <xf numFmtId="0" fontId="8" fillId="0" borderId="0"/>
    <xf numFmtId="0" fontId="6" fillId="0" borderId="0"/>
    <xf numFmtId="0" fontId="10" fillId="0" borderId="0"/>
    <xf numFmtId="0" fontId="3" fillId="0" borderId="0"/>
    <xf numFmtId="0" fontId="3" fillId="0" borderId="0"/>
    <xf numFmtId="0" fontId="3" fillId="0" borderId="0"/>
  </cellStyleXfs>
  <cellXfs count="205">
    <xf numFmtId="0" fontId="0" fillId="0" borderId="0" xfId="0"/>
    <xf numFmtId="0" fontId="9" fillId="0" borderId="0" xfId="11" applyFont="1" applyFill="1" applyBorder="1" applyAlignment="1">
      <alignment horizontal="left" vertical="top"/>
    </xf>
    <xf numFmtId="2"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5" fillId="0" borderId="0" xfId="4" applyFont="1" applyFill="1" applyBorder="1" applyAlignment="1">
      <alignment horizontal="center" vertical="center" wrapText="1"/>
    </xf>
    <xf numFmtId="0" fontId="7" fillId="0" borderId="0" xfId="0" applyFont="1" applyFill="1" applyBorder="1" applyAlignment="1">
      <alignment horizontal="left" vertical="center"/>
    </xf>
    <xf numFmtId="0" fontId="4" fillId="0" borderId="0" xfId="0" applyNumberFormat="1" applyFont="1" applyFill="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4" fontId="5" fillId="0" borderId="0"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0" xfId="0" applyFont="1" applyFill="1" applyBorder="1" applyAlignment="1">
      <alignment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0" xfId="0" applyNumberFormat="1" applyFont="1" applyFill="1" applyAlignment="1">
      <alignment vertical="center"/>
    </xf>
    <xf numFmtId="0" fontId="5" fillId="0" borderId="0" xfId="0" applyFont="1" applyFill="1" applyAlignment="1">
      <alignment horizontal="center" vertical="center" wrapText="1"/>
    </xf>
    <xf numFmtId="2" fontId="4" fillId="0" borderId="0" xfId="0" applyNumberFormat="1" applyFont="1" applyFill="1" applyBorder="1" applyAlignment="1">
      <alignment horizontal="left" vertical="center"/>
    </xf>
    <xf numFmtId="2" fontId="5" fillId="0" borderId="0" xfId="0" applyNumberFormat="1"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2" fontId="4" fillId="0" borderId="0" xfId="0" applyNumberFormat="1"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right" vertical="center"/>
    </xf>
    <xf numFmtId="2" fontId="4" fillId="0" borderId="0" xfId="0" applyNumberFormat="1" applyFont="1" applyFill="1" applyAlignment="1">
      <alignment vertical="center"/>
    </xf>
    <xf numFmtId="0" fontId="7" fillId="0" borderId="0" xfId="0" applyNumberFormat="1" applyFont="1" applyFill="1" applyAlignment="1">
      <alignment vertical="center"/>
    </xf>
    <xf numFmtId="0" fontId="7" fillId="2" borderId="0" xfId="0" applyFont="1" applyFill="1"/>
    <xf numFmtId="0" fontId="11" fillId="0" borderId="0" xfId="0" applyNumberFormat="1" applyFont="1" applyFill="1" applyAlignment="1">
      <alignment vertical="center"/>
    </xf>
    <xf numFmtId="0" fontId="11" fillId="2" borderId="0" xfId="0" applyNumberFormat="1" applyFont="1" applyFill="1" applyAlignment="1">
      <alignment vertical="center"/>
    </xf>
    <xf numFmtId="0" fontId="7" fillId="0" borderId="0" xfId="0" applyFont="1" applyFill="1"/>
    <xf numFmtId="0" fontId="7" fillId="0" borderId="0" xfId="0" applyFont="1" applyFill="1" applyAlignment="1">
      <alignment horizontal="center"/>
    </xf>
    <xf numFmtId="4" fontId="7" fillId="2" borderId="0" xfId="0" applyNumberFormat="1"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wrapText="1"/>
    </xf>
    <xf numFmtId="0" fontId="11" fillId="0" borderId="0" xfId="0" applyFont="1" applyFill="1" applyBorder="1" applyAlignment="1">
      <alignment vertical="center"/>
    </xf>
    <xf numFmtId="0" fontId="11" fillId="2" borderId="0" xfId="0" applyFont="1" applyFill="1" applyAlignment="1">
      <alignment horizontal="center" wrapText="1"/>
    </xf>
    <xf numFmtId="0" fontId="11" fillId="0" borderId="0" xfId="0" applyFont="1" applyFill="1" applyAlignment="1">
      <alignment horizontal="center" wrapText="1"/>
    </xf>
    <xf numFmtId="0" fontId="11" fillId="2"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0" fontId="7" fillId="0" borderId="1" xfId="0" applyFont="1" applyFill="1" applyBorder="1" applyAlignment="1">
      <alignment horizontal="center" wrapText="1"/>
    </xf>
    <xf numFmtId="0" fontId="11" fillId="0" borderId="0" xfId="0" applyFont="1" applyFill="1" applyAlignment="1">
      <alignment horizontal="center"/>
    </xf>
    <xf numFmtId="49"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7" fillId="0" borderId="1" xfId="0" applyNumberFormat="1" applyFont="1" applyFill="1" applyBorder="1" applyAlignment="1">
      <alignment horizontal="center" wrapText="1"/>
    </xf>
    <xf numFmtId="4" fontId="7" fillId="0" borderId="1" xfId="0" applyNumberFormat="1" applyFont="1" applyFill="1" applyBorder="1" applyAlignment="1">
      <alignment horizontal="center" vertical="center" wrapText="1"/>
    </xf>
    <xf numFmtId="49" fontId="11" fillId="2" borderId="1" xfId="0" applyNumberFormat="1" applyFont="1" applyFill="1" applyBorder="1" applyAlignment="1">
      <alignment vertical="center" wrapText="1"/>
    </xf>
    <xf numFmtId="49" fontId="11" fillId="2"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14" fillId="0" borderId="0" xfId="0" applyFont="1" applyFill="1" applyAlignment="1">
      <alignment horizontal="right"/>
    </xf>
    <xf numFmtId="2" fontId="7" fillId="0" borderId="0" xfId="0" applyNumberFormat="1" applyFont="1" applyFill="1" applyAlignment="1">
      <alignment horizontal="center"/>
    </xf>
    <xf numFmtId="4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right" vertical="center" wrapText="1"/>
    </xf>
    <xf numFmtId="49" fontId="7" fillId="2"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wrapText="1"/>
    </xf>
    <xf numFmtId="2" fontId="7" fillId="0" borderId="0" xfId="0" applyNumberFormat="1" applyFont="1" applyFill="1"/>
    <xf numFmtId="165"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xf>
    <xf numFmtId="0" fontId="15" fillId="0" borderId="0" xfId="0" applyFont="1" applyFill="1" applyAlignment="1">
      <alignment horizontal="right"/>
    </xf>
    <xf numFmtId="49" fontId="11" fillId="2" borderId="1" xfId="1" applyNumberFormat="1" applyFont="1" applyFill="1" applyBorder="1" applyAlignment="1" applyProtection="1">
      <alignment horizontal="left" vertical="top"/>
      <protection locked="0"/>
    </xf>
    <xf numFmtId="2" fontId="16" fillId="2"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7" fillId="0" borderId="1" xfId="0" applyNumberFormat="1" applyFont="1" applyFill="1" applyBorder="1" applyAlignment="1">
      <alignment horizontal="right" vertical="center"/>
    </xf>
    <xf numFmtId="0" fontId="7" fillId="2" borderId="1" xfId="0" applyFont="1" applyFill="1" applyBorder="1" applyAlignment="1">
      <alignment horizontal="right" vertical="center" wrapText="1"/>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4" fontId="11" fillId="2" borderId="1" xfId="0" applyNumberFormat="1" applyFont="1" applyFill="1" applyBorder="1" applyAlignment="1">
      <alignment horizontal="right" vertical="center"/>
    </xf>
    <xf numFmtId="4" fontId="11" fillId="2" borderId="1" xfId="0" applyNumberFormat="1" applyFont="1" applyFill="1" applyBorder="1" applyAlignment="1">
      <alignment horizontal="right" vertical="center" wrapText="1"/>
    </xf>
    <xf numFmtId="0" fontId="7" fillId="2" borderId="1" xfId="0" applyFont="1" applyFill="1" applyBorder="1" applyAlignment="1">
      <alignment horizontal="right"/>
    </xf>
    <xf numFmtId="0" fontId="7" fillId="2" borderId="0" xfId="0" applyFont="1" applyFill="1" applyAlignment="1">
      <alignment horizont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xf>
    <xf numFmtId="2" fontId="11" fillId="0" borderId="1" xfId="0" applyNumberFormat="1" applyFont="1" applyFill="1" applyBorder="1" applyAlignment="1">
      <alignment horizontal="center" vertical="center" wrapText="1"/>
    </xf>
    <xf numFmtId="0" fontId="7" fillId="0" borderId="0" xfId="0" applyFont="1"/>
    <xf numFmtId="0" fontId="7" fillId="0" borderId="0" xfId="0" applyFont="1" applyAlignment="1">
      <alignment horizontal="center"/>
    </xf>
    <xf numFmtId="0" fontId="7" fillId="0" borderId="1" xfId="0" applyFont="1" applyFill="1" applyBorder="1" applyAlignment="1">
      <alignment horizontal="right" vertical="center" wrapText="1"/>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49" fontId="11" fillId="2" borderId="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center" vertical="center" wrapText="1"/>
      <protection locked="0"/>
    </xf>
    <xf numFmtId="0" fontId="7" fillId="2" borderId="1" xfId="0" applyFont="1" applyFill="1" applyBorder="1" applyAlignment="1">
      <alignment horizontal="right" vertical="top" wrapText="1"/>
    </xf>
    <xf numFmtId="4" fontId="11" fillId="0" borderId="1" xfId="0" applyNumberFormat="1" applyFont="1" applyFill="1" applyBorder="1" applyAlignment="1">
      <alignment horizontal="right" vertical="center"/>
    </xf>
    <xf numFmtId="49" fontId="11" fillId="2" borderId="1" xfId="3" applyNumberFormat="1" applyFont="1" applyFill="1" applyBorder="1" applyAlignment="1" applyProtection="1">
      <alignment horizontal="left" vertical="top" wrapText="1"/>
      <protection locked="0"/>
    </xf>
    <xf numFmtId="2" fontId="11" fillId="2" borderId="1" xfId="0" applyNumberFormat="1" applyFont="1" applyFill="1" applyBorder="1" applyAlignment="1">
      <alignment horizontal="center" vertical="center"/>
    </xf>
    <xf numFmtId="2" fontId="11" fillId="0" borderId="1" xfId="0" applyNumberFormat="1" applyFont="1" applyFill="1" applyBorder="1" applyAlignment="1">
      <alignment horizontal="center" wrapText="1"/>
    </xf>
    <xf numFmtId="1" fontId="7" fillId="0" borderId="0" xfId="0" applyNumberFormat="1" applyFont="1" applyAlignment="1">
      <alignment horizontal="center"/>
    </xf>
    <xf numFmtId="49" fontId="7" fillId="2" borderId="1" xfId="3" applyNumberFormat="1" applyFont="1" applyFill="1" applyBorder="1" applyAlignment="1" applyProtection="1">
      <alignment horizontal="right" vertical="top" wrapText="1"/>
      <protection locked="0"/>
    </xf>
    <xf numFmtId="49" fontId="7" fillId="2" borderId="1" xfId="1"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2" borderId="1" xfId="0" applyFont="1" applyFill="1" applyBorder="1" applyAlignment="1">
      <alignment horizontal="right" vertical="top"/>
    </xf>
    <xf numFmtId="2" fontId="16" fillId="0" borderId="1" xfId="0" applyNumberFormat="1" applyFont="1" applyFill="1" applyBorder="1" applyAlignment="1">
      <alignment horizontal="center" vertical="center"/>
    </xf>
    <xf numFmtId="0" fontId="15" fillId="2" borderId="1" xfId="0" applyFont="1" applyFill="1" applyBorder="1" applyAlignment="1">
      <alignment horizontal="right" vertical="center" wrapText="1"/>
    </xf>
    <xf numFmtId="0" fontId="15" fillId="2" borderId="1" xfId="0" applyFont="1" applyFill="1" applyBorder="1" applyAlignment="1">
      <alignment horizontal="center" vertical="center"/>
    </xf>
    <xf numFmtId="2" fontId="15" fillId="2"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5" fillId="2" borderId="0" xfId="0" applyFont="1" applyFill="1"/>
    <xf numFmtId="0" fontId="15" fillId="2" borderId="0" xfId="0" applyFont="1" applyFill="1" applyAlignment="1">
      <alignment horizontal="center"/>
    </xf>
    <xf numFmtId="0" fontId="7" fillId="2" borderId="1" xfId="2" applyFont="1" applyFill="1" applyBorder="1" applyAlignment="1" applyProtection="1">
      <alignment horizontal="right"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2" fontId="19"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wrapText="1"/>
    </xf>
    <xf numFmtId="49" fontId="18" fillId="2" borderId="1" xfId="3" applyNumberFormat="1" applyFont="1" applyFill="1" applyBorder="1" applyAlignment="1" applyProtection="1">
      <alignment horizontal="left" vertical="top" wrapText="1"/>
      <protection locked="0"/>
    </xf>
    <xf numFmtId="49" fontId="11" fillId="2" borderId="1" xfId="3" applyNumberFormat="1" applyFont="1" applyFill="1" applyBorder="1" applyAlignment="1" applyProtection="1">
      <alignment horizontal="center" vertical="center" wrapText="1"/>
      <protection locked="0"/>
    </xf>
    <xf numFmtId="0" fontId="7" fillId="2" borderId="1" xfId="2" applyFont="1" applyFill="1" applyBorder="1" applyAlignment="1" applyProtection="1">
      <alignment horizontal="right" vertical="center"/>
    </xf>
    <xf numFmtId="49" fontId="18" fillId="2" borderId="1" xfId="1" applyNumberFormat="1" applyFont="1" applyFill="1" applyBorder="1" applyAlignment="1" applyProtection="1">
      <alignment horizontal="left" vertical="top" wrapText="1"/>
      <protection locked="0"/>
    </xf>
    <xf numFmtId="0" fontId="18" fillId="2" borderId="1" xfId="0" applyFont="1" applyFill="1" applyBorder="1" applyAlignment="1">
      <alignment vertical="center" wrapText="1"/>
    </xf>
    <xf numFmtId="49" fontId="18" fillId="2" borderId="1" xfId="3" applyNumberFormat="1" applyFont="1" applyFill="1" applyBorder="1" applyAlignment="1" applyProtection="1">
      <alignment horizontal="center" vertical="center" wrapText="1"/>
      <protection locked="0"/>
    </xf>
    <xf numFmtId="2" fontId="21" fillId="2" borderId="1" xfId="0" applyNumberFormat="1" applyFont="1" applyFill="1" applyBorder="1" applyAlignment="1">
      <alignment horizontal="center" vertical="center"/>
    </xf>
    <xf numFmtId="2" fontId="18" fillId="0" borderId="1" xfId="0" applyNumberFormat="1"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9" fillId="0" borderId="1" xfId="0" applyNumberFormat="1" applyFont="1" applyFill="1" applyBorder="1" applyAlignment="1">
      <alignment horizontal="right" vertical="center"/>
    </xf>
    <xf numFmtId="4" fontId="19" fillId="2" borderId="1" xfId="0" applyNumberFormat="1" applyFont="1" applyFill="1" applyBorder="1" applyAlignment="1">
      <alignment horizontal="center" vertical="center" wrapText="1"/>
    </xf>
    <xf numFmtId="0" fontId="20" fillId="2" borderId="1" xfId="0" applyFont="1" applyFill="1" applyBorder="1" applyAlignment="1">
      <alignment horizontal="right" vertical="center" wrapText="1"/>
    </xf>
    <xf numFmtId="0" fontId="20" fillId="2" borderId="1" xfId="0" applyFont="1" applyFill="1" applyBorder="1" applyAlignment="1">
      <alignment horizontal="center" vertical="center"/>
    </xf>
    <xf numFmtId="2" fontId="20" fillId="2" borderId="1" xfId="0" applyNumberFormat="1" applyFont="1" applyFill="1" applyBorder="1" applyAlignment="1">
      <alignment horizontal="center" vertical="center"/>
    </xf>
    <xf numFmtId="2" fontId="20" fillId="0" borderId="1" xfId="0" applyNumberFormat="1" applyFont="1" applyFill="1" applyBorder="1" applyAlignment="1">
      <alignment horizontal="center" vertical="center" wrapText="1"/>
    </xf>
    <xf numFmtId="4" fontId="21" fillId="2" borderId="1" xfId="0" applyNumberFormat="1" applyFont="1" applyFill="1" applyBorder="1" applyAlignment="1">
      <alignment horizontal="right" vertical="center"/>
    </xf>
    <xf numFmtId="4" fontId="21" fillId="2" borderId="1" xfId="0" applyNumberFormat="1" applyFont="1" applyFill="1" applyBorder="1" applyAlignment="1">
      <alignment horizontal="right" vertical="center" wrapText="1"/>
    </xf>
    <xf numFmtId="4" fontId="20" fillId="0" borderId="1" xfId="0" applyNumberFormat="1"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19" fillId="2" borderId="1" xfId="0" applyFont="1" applyFill="1" applyBorder="1" applyAlignment="1">
      <alignment horizontal="right" vertical="center" wrapText="1"/>
    </xf>
    <xf numFmtId="0" fontId="19" fillId="2" borderId="1" xfId="0" applyFont="1" applyFill="1" applyBorder="1" applyAlignment="1">
      <alignment horizontal="center" vertical="center"/>
    </xf>
    <xf numFmtId="2" fontId="19" fillId="2" borderId="1"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wrapText="1"/>
    </xf>
    <xf numFmtId="4" fontId="18" fillId="2" borderId="1" xfId="0" applyNumberFormat="1" applyFont="1" applyFill="1" applyBorder="1" applyAlignment="1">
      <alignment horizontal="right" vertical="center"/>
    </xf>
    <xf numFmtId="4" fontId="18" fillId="2" borderId="1" xfId="0" applyNumberFormat="1" applyFont="1" applyFill="1" applyBorder="1" applyAlignment="1">
      <alignment horizontal="right" vertical="center" wrapText="1"/>
    </xf>
    <xf numFmtId="4" fontId="19"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9" fontId="11" fillId="2" borderId="2" xfId="1" applyNumberFormat="1" applyFont="1" applyFill="1" applyBorder="1" applyAlignment="1" applyProtection="1">
      <alignment horizontal="center" vertical="center" wrapText="1"/>
      <protection locked="0"/>
    </xf>
    <xf numFmtId="2" fontId="16" fillId="2" borderId="2" xfId="0" applyNumberFormat="1" applyFont="1" applyFill="1" applyBorder="1" applyAlignment="1">
      <alignment horizontal="center" vertical="center"/>
    </xf>
    <xf numFmtId="2" fontId="11" fillId="2" borderId="2" xfId="0" applyNumberFormat="1" applyFont="1" applyFill="1" applyBorder="1" applyAlignment="1">
      <alignment horizontal="center" vertical="center"/>
    </xf>
    <xf numFmtId="0" fontId="15" fillId="2" borderId="1" xfId="0" applyFont="1" applyFill="1" applyBorder="1" applyAlignment="1">
      <alignment horizontal="right" vertical="top" wrapText="1"/>
    </xf>
    <xf numFmtId="166" fontId="11" fillId="0" borderId="1" xfId="0" applyNumberFormat="1" applyFont="1" applyFill="1" applyBorder="1" applyAlignment="1">
      <alignment horizontal="center" vertical="center"/>
    </xf>
    <xf numFmtId="49" fontId="11" fillId="0" borderId="1" xfId="3"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top" wrapText="1"/>
    </xf>
    <xf numFmtId="2" fontId="7" fillId="2" borderId="1" xfId="0" applyNumberFormat="1" applyFont="1" applyFill="1" applyBorder="1" applyAlignment="1">
      <alignment horizontal="center" vertical="top" wrapText="1"/>
    </xf>
    <xf numFmtId="49" fontId="11" fillId="0" borderId="1" xfId="1" applyNumberFormat="1" applyFont="1" applyFill="1" applyBorder="1" applyAlignment="1" applyProtection="1">
      <alignment horizontal="left" vertical="top" wrapText="1"/>
      <protection locked="0"/>
    </xf>
    <xf numFmtId="4" fontId="18" fillId="0" borderId="1" xfId="0" applyNumberFormat="1" applyFont="1" applyFill="1" applyBorder="1" applyAlignment="1">
      <alignment horizontal="center" vertical="center"/>
    </xf>
    <xf numFmtId="2" fontId="7" fillId="0" borderId="0" xfId="0" applyNumberFormat="1" applyFont="1"/>
    <xf numFmtId="164" fontId="19" fillId="0"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67" fontId="20" fillId="0" borderId="1" xfId="0" applyNumberFormat="1" applyFont="1" applyFill="1" applyBorder="1" applyAlignment="1">
      <alignment horizontal="center" vertical="center"/>
    </xf>
    <xf numFmtId="4" fontId="16" fillId="2" borderId="1" xfId="0" applyNumberFormat="1" applyFont="1" applyFill="1" applyBorder="1" applyAlignment="1">
      <alignment horizontal="right" vertical="center"/>
    </xf>
    <xf numFmtId="4" fontId="16" fillId="2" borderId="1" xfId="0" applyNumberFormat="1" applyFont="1" applyFill="1" applyBorder="1" applyAlignment="1">
      <alignment horizontal="right" vertical="center" wrapText="1"/>
    </xf>
    <xf numFmtId="3" fontId="19"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xf>
    <xf numFmtId="49" fontId="11" fillId="0" borderId="1" xfId="1" applyNumberFormat="1" applyFont="1" applyFill="1" applyBorder="1" applyAlignment="1" applyProtection="1">
      <alignment horizontal="left" vertical="top"/>
      <protection locked="0"/>
    </xf>
    <xf numFmtId="165" fontId="15" fillId="2" borderId="1" xfId="0" applyNumberFormat="1" applyFont="1" applyFill="1" applyBorder="1" applyAlignment="1">
      <alignment horizontal="center" vertical="center"/>
    </xf>
    <xf numFmtId="4" fontId="11" fillId="0" borderId="1" xfId="0" quotePrefix="1"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4" fontId="7" fillId="2"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right" vertical="center" wrapText="1"/>
    </xf>
    <xf numFmtId="0" fontId="11"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right" vertical="center" wrapText="1"/>
    </xf>
    <xf numFmtId="0" fontId="11" fillId="2"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11" fillId="2" borderId="1" xfId="0" applyNumberFormat="1" applyFont="1" applyFill="1" applyBorder="1" applyAlignment="1">
      <alignment horizontal="right" vertical="center" wrapText="1"/>
    </xf>
    <xf numFmtId="0" fontId="7" fillId="2"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9" fontId="7" fillId="0" borderId="0" xfId="0" applyNumberFormat="1" applyFont="1" applyFill="1" applyBorder="1" applyAlignment="1">
      <alignment horizontal="center" vertical="center"/>
    </xf>
    <xf numFmtId="0" fontId="7" fillId="2" borderId="0" xfId="0" applyFont="1" applyFill="1" applyBorder="1"/>
    <xf numFmtId="0" fontId="7" fillId="2" borderId="0" xfId="0" applyFont="1" applyFill="1" applyBorder="1" applyAlignment="1">
      <alignment horizontal="center"/>
    </xf>
    <xf numFmtId="4" fontId="7" fillId="0" borderId="0" xfId="0" applyNumberFormat="1" applyFont="1" applyFill="1" applyBorder="1" applyAlignment="1">
      <alignment horizontal="center"/>
    </xf>
    <xf numFmtId="4" fontId="7" fillId="2" borderId="0" xfId="0" applyNumberFormat="1" applyFont="1" applyFill="1" applyBorder="1" applyAlignment="1">
      <alignment horizontal="center"/>
    </xf>
    <xf numFmtId="4" fontId="11" fillId="2" borderId="0" xfId="0"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2" fontId="7" fillId="2" borderId="0" xfId="0" applyNumberFormat="1" applyFont="1" applyFill="1"/>
    <xf numFmtId="0" fontId="7" fillId="2" borderId="0" xfId="0" applyFont="1" applyFill="1" applyAlignment="1">
      <alignment vertical="center"/>
    </xf>
    <xf numFmtId="0" fontId="5" fillId="0" borderId="0" xfId="0" applyFont="1" applyFill="1" applyAlignment="1">
      <alignment horizontal="right" vertical="center"/>
    </xf>
  </cellXfs>
  <cellStyles count="13">
    <cellStyle name="Excel Built-in Normal 2" xfId="5"/>
    <cellStyle name="Excel Built-in Normal 2 2" xfId="1"/>
    <cellStyle name="Excel Built-in Normal 3" xfId="3"/>
    <cellStyle name="Excel Built-in Normal_Орієнтовна вартість_Старонаводницька" xfId="6"/>
    <cellStyle name="Гиперссылка" xfId="2" builtinId="8"/>
    <cellStyle name="Звичайний 2" xfId="9"/>
    <cellStyle name="Звичайний 3" xfId="10"/>
    <cellStyle name="Обычный" xfId="0" builtinId="0"/>
    <cellStyle name="Обычный 2" xfId="7"/>
    <cellStyle name="Обычный 2 2" xfId="11"/>
    <cellStyle name="Обычный 2 3" xfId="12"/>
    <cellStyle name="Обычный 3" xfId="8"/>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nauf.ru/products/alphabet/product.wbp?root_id=a1e9048a-372b-4e03-bb19-0bb2e21f30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tabSelected="1" topLeftCell="A13" workbookViewId="0">
      <selection activeCell="C15" sqref="C15"/>
    </sheetView>
  </sheetViews>
  <sheetFormatPr defaultColWidth="9.140625" defaultRowHeight="15" outlineLevelRow="1"/>
  <cols>
    <col min="1" max="1" width="10.42578125" style="35" customWidth="1"/>
    <col min="2" max="2" width="77.7109375" style="36" customWidth="1"/>
    <col min="3" max="3" width="13.7109375" style="36" customWidth="1"/>
    <col min="4" max="4" width="10.42578125" style="36" customWidth="1"/>
    <col min="5" max="5" width="12.42578125" style="39" customWidth="1"/>
    <col min="6" max="6" width="11.42578125" style="202" customWidth="1"/>
    <col min="7" max="7" width="20.140625" style="36" customWidth="1"/>
    <col min="8" max="8" width="11.7109375" style="39" customWidth="1"/>
    <col min="9" max="9" width="17.140625" style="203" customWidth="1"/>
    <col min="10" max="10" width="15.7109375" style="36" customWidth="1"/>
    <col min="11" max="11" width="27" style="39" customWidth="1"/>
    <col min="12" max="12" width="29.28515625" style="39" customWidth="1"/>
    <col min="13" max="13" width="9.140625" style="40"/>
    <col min="14" max="14" width="7.7109375" style="39" bestFit="1" customWidth="1"/>
    <col min="15" max="16384" width="9.140625" style="39"/>
  </cols>
  <sheetData>
    <row r="1" spans="1:15" ht="15.75">
      <c r="E1" s="37"/>
      <c r="F1" s="38"/>
      <c r="G1" s="38"/>
      <c r="H1" s="37"/>
      <c r="I1" s="26"/>
      <c r="J1" s="204" t="s">
        <v>299</v>
      </c>
    </row>
    <row r="2" spans="1:15" ht="15.75">
      <c r="E2" s="37"/>
      <c r="F2" s="38"/>
      <c r="G2" s="38"/>
      <c r="H2" s="37"/>
      <c r="I2" s="26"/>
      <c r="J2" s="32" t="s">
        <v>300</v>
      </c>
    </row>
    <row r="3" spans="1:15" ht="15.75" outlineLevel="1">
      <c r="A3" s="35" t="s">
        <v>298</v>
      </c>
      <c r="B3" s="38"/>
      <c r="C3" s="38"/>
      <c r="D3" s="38"/>
      <c r="E3" s="37"/>
      <c r="F3" s="38"/>
      <c r="G3" s="38"/>
      <c r="H3" s="37"/>
      <c r="I3" s="38"/>
      <c r="J3" s="38"/>
    </row>
    <row r="4" spans="1:15" ht="15.75" outlineLevel="1">
      <c r="A4" s="35" t="s">
        <v>284</v>
      </c>
      <c r="B4" s="38"/>
      <c r="C4" s="38"/>
      <c r="D4" s="38"/>
      <c r="E4" s="37"/>
      <c r="F4" s="38"/>
      <c r="G4" s="38"/>
      <c r="H4" s="37"/>
      <c r="I4" s="38"/>
      <c r="J4" s="38"/>
    </row>
    <row r="5" spans="1:15" ht="15" customHeight="1" outlineLevel="1">
      <c r="A5" s="41" t="s">
        <v>285</v>
      </c>
      <c r="B5" s="41"/>
      <c r="C5" s="41"/>
      <c r="D5" s="41"/>
      <c r="E5" s="41"/>
      <c r="F5" s="41"/>
      <c r="G5" s="41"/>
      <c r="H5" s="41"/>
      <c r="I5" s="41"/>
      <c r="J5" s="41"/>
    </row>
    <row r="6" spans="1:15" ht="15.75" outlineLevel="1">
      <c r="A6" s="42" t="s">
        <v>286</v>
      </c>
      <c r="B6" s="42"/>
      <c r="C6" s="42"/>
      <c r="D6" s="42"/>
      <c r="E6" s="42"/>
      <c r="F6" s="42"/>
      <c r="G6" s="42"/>
      <c r="H6" s="42"/>
      <c r="I6" s="42"/>
      <c r="J6" s="42"/>
    </row>
    <row r="7" spans="1:15" ht="15.75" outlineLevel="1">
      <c r="A7" s="5" t="s">
        <v>269</v>
      </c>
      <c r="B7" s="5"/>
      <c r="C7" s="5"/>
      <c r="D7" s="5"/>
      <c r="E7" s="5"/>
      <c r="F7" s="5"/>
      <c r="G7" s="5"/>
      <c r="H7" s="5"/>
      <c r="I7" s="5"/>
      <c r="J7" s="5"/>
    </row>
    <row r="8" spans="1:15" ht="15.75" outlineLevel="1">
      <c r="A8" s="42" t="s">
        <v>287</v>
      </c>
      <c r="B8" s="42"/>
      <c r="C8" s="42"/>
      <c r="D8" s="42"/>
      <c r="E8" s="42"/>
      <c r="F8" s="42"/>
      <c r="G8" s="42"/>
      <c r="H8" s="42"/>
      <c r="I8" s="42"/>
      <c r="J8" s="42"/>
    </row>
    <row r="9" spans="1:15" ht="15.75" customHeight="1">
      <c r="A9" s="4" t="s">
        <v>164</v>
      </c>
      <c r="B9" s="4"/>
      <c r="C9" s="4"/>
      <c r="D9" s="4"/>
      <c r="E9" s="4"/>
      <c r="F9" s="4"/>
      <c r="G9" s="4"/>
      <c r="H9" s="4"/>
      <c r="I9" s="4"/>
      <c r="J9" s="4"/>
    </row>
    <row r="10" spans="1:15" ht="15" customHeight="1">
      <c r="A10" s="43" t="s">
        <v>0</v>
      </c>
      <c r="B10" s="43"/>
      <c r="C10" s="43"/>
      <c r="D10" s="43"/>
      <c r="E10" s="43"/>
      <c r="F10" s="43"/>
      <c r="G10" s="43"/>
      <c r="H10" s="43"/>
      <c r="I10" s="43"/>
      <c r="J10" s="43"/>
    </row>
    <row r="11" spans="1:15" ht="15.75">
      <c r="A11" s="44"/>
      <c r="B11" s="45"/>
      <c r="C11" s="45"/>
      <c r="D11" s="45"/>
      <c r="E11" s="46"/>
      <c r="F11" s="45"/>
      <c r="G11" s="45"/>
      <c r="H11" s="46"/>
      <c r="I11" s="47"/>
      <c r="J11" s="45"/>
    </row>
    <row r="12" spans="1:15" ht="15.75" customHeight="1">
      <c r="A12" s="48" t="s">
        <v>1</v>
      </c>
      <c r="B12" s="49" t="s">
        <v>2</v>
      </c>
      <c r="C12" s="49" t="s">
        <v>3</v>
      </c>
      <c r="D12" s="49" t="s">
        <v>4</v>
      </c>
      <c r="E12" s="50" t="s">
        <v>5</v>
      </c>
      <c r="F12" s="51" t="s">
        <v>6</v>
      </c>
      <c r="G12" s="51"/>
      <c r="H12" s="51" t="s">
        <v>7</v>
      </c>
      <c r="I12" s="51"/>
      <c r="J12" s="49" t="s">
        <v>8</v>
      </c>
    </row>
    <row r="13" spans="1:15" ht="45">
      <c r="A13" s="48"/>
      <c r="B13" s="49"/>
      <c r="C13" s="49"/>
      <c r="D13" s="49"/>
      <c r="E13" s="50"/>
      <c r="F13" s="52" t="s">
        <v>9</v>
      </c>
      <c r="G13" s="52" t="s">
        <v>10</v>
      </c>
      <c r="H13" s="53" t="s">
        <v>9</v>
      </c>
      <c r="I13" s="52" t="s">
        <v>10</v>
      </c>
      <c r="J13" s="49"/>
    </row>
    <row r="14" spans="1:15" ht="15.75">
      <c r="A14" s="54">
        <v>1</v>
      </c>
      <c r="B14" s="52">
        <v>2</v>
      </c>
      <c r="C14" s="52">
        <v>4</v>
      </c>
      <c r="D14" s="52">
        <v>3</v>
      </c>
      <c r="E14" s="53">
        <v>5</v>
      </c>
      <c r="F14" s="55">
        <v>6</v>
      </c>
      <c r="G14" s="55">
        <v>7</v>
      </c>
      <c r="H14" s="56">
        <v>8</v>
      </c>
      <c r="I14" s="52">
        <v>9</v>
      </c>
      <c r="J14" s="52">
        <v>10</v>
      </c>
      <c r="L14" s="57"/>
      <c r="M14" s="57"/>
      <c r="N14" s="40"/>
      <c r="O14" s="40"/>
    </row>
    <row r="15" spans="1:15" ht="15.75" customHeight="1">
      <c r="A15" s="58">
        <v>1</v>
      </c>
      <c r="B15" s="59" t="s">
        <v>12</v>
      </c>
      <c r="C15" s="60"/>
      <c r="D15" s="61"/>
      <c r="E15" s="61"/>
      <c r="F15" s="62"/>
      <c r="G15" s="62"/>
      <c r="H15" s="62"/>
      <c r="I15" s="63"/>
      <c r="J15" s="63"/>
    </row>
    <row r="16" spans="1:15" ht="31.5">
      <c r="A16" s="58" t="s">
        <v>13</v>
      </c>
      <c r="B16" s="64" t="s">
        <v>14</v>
      </c>
      <c r="C16" s="65" t="s">
        <v>11</v>
      </c>
      <c r="D16" s="66"/>
      <c r="E16" s="67">
        <f>34.32+264.15</f>
        <v>298.46999999999997</v>
      </c>
      <c r="F16" s="68"/>
      <c r="G16" s="68"/>
      <c r="H16" s="62"/>
      <c r="I16" s="69"/>
      <c r="J16" s="69"/>
      <c r="L16" s="70"/>
      <c r="M16" s="71"/>
    </row>
    <row r="17" spans="1:16">
      <c r="A17" s="72" t="s">
        <v>15</v>
      </c>
      <c r="B17" s="73" t="s">
        <v>191</v>
      </c>
      <c r="C17" s="74" t="s">
        <v>16</v>
      </c>
      <c r="D17" s="74">
        <v>0.3</v>
      </c>
      <c r="E17" s="75">
        <f>D17*E16</f>
        <v>89.540999999999983</v>
      </c>
      <c r="F17" s="76"/>
      <c r="G17" s="76"/>
      <c r="H17" s="63"/>
      <c r="I17" s="69"/>
      <c r="J17" s="69"/>
      <c r="L17" s="70"/>
      <c r="M17" s="71"/>
      <c r="N17" s="77"/>
      <c r="O17" s="77"/>
      <c r="P17" s="77"/>
    </row>
    <row r="18" spans="1:16">
      <c r="A18" s="72" t="s">
        <v>17</v>
      </c>
      <c r="B18" s="73" t="s">
        <v>200</v>
      </c>
      <c r="C18" s="74" t="s">
        <v>18</v>
      </c>
      <c r="D18" s="78">
        <f>1.05*0.05</f>
        <v>5.2500000000000005E-2</v>
      </c>
      <c r="E18" s="75">
        <f>E16*D18</f>
        <v>15.669675</v>
      </c>
      <c r="F18" s="76"/>
      <c r="G18" s="76"/>
      <c r="H18" s="62"/>
      <c r="I18" s="69"/>
      <c r="J18" s="69"/>
      <c r="L18" s="70"/>
      <c r="M18" s="71"/>
      <c r="N18" s="77"/>
      <c r="O18" s="77"/>
      <c r="P18" s="77"/>
    </row>
    <row r="19" spans="1:16">
      <c r="A19" s="72" t="s">
        <v>19</v>
      </c>
      <c r="B19" s="73" t="s">
        <v>201</v>
      </c>
      <c r="C19" s="74" t="s">
        <v>16</v>
      </c>
      <c r="D19" s="74" t="s">
        <v>20</v>
      </c>
      <c r="E19" s="75">
        <f>D19*E16</f>
        <v>2984.7</v>
      </c>
      <c r="F19" s="76"/>
      <c r="G19" s="76"/>
      <c r="H19" s="62"/>
      <c r="I19" s="69"/>
      <c r="J19" s="69"/>
      <c r="L19" s="70"/>
      <c r="M19" s="71"/>
      <c r="N19" s="71"/>
      <c r="O19" s="71"/>
    </row>
    <row r="20" spans="1:16">
      <c r="A20" s="72" t="s">
        <v>21</v>
      </c>
      <c r="B20" s="73" t="s">
        <v>202</v>
      </c>
      <c r="C20" s="74" t="s">
        <v>11</v>
      </c>
      <c r="D20" s="74" t="s">
        <v>22</v>
      </c>
      <c r="E20" s="75">
        <f>D20*E16</f>
        <v>328.31700000000001</v>
      </c>
      <c r="F20" s="76"/>
      <c r="G20" s="76"/>
      <c r="H20" s="79"/>
      <c r="I20" s="69"/>
      <c r="J20" s="69"/>
      <c r="L20" s="80"/>
      <c r="M20" s="71"/>
      <c r="N20" s="77"/>
      <c r="O20" s="77"/>
    </row>
    <row r="21" spans="1:16">
      <c r="A21" s="72" t="s">
        <v>23</v>
      </c>
      <c r="B21" s="73" t="s">
        <v>204</v>
      </c>
      <c r="C21" s="74" t="s">
        <v>24</v>
      </c>
      <c r="D21" s="74">
        <v>8</v>
      </c>
      <c r="E21" s="75">
        <f>D21*E16</f>
        <v>2387.7599999999998</v>
      </c>
      <c r="F21" s="76"/>
      <c r="G21" s="76"/>
      <c r="H21" s="62"/>
      <c r="I21" s="69"/>
      <c r="J21" s="69"/>
      <c r="L21" s="80"/>
      <c r="M21" s="71"/>
      <c r="N21" s="77"/>
      <c r="O21" s="77"/>
    </row>
    <row r="22" spans="1:16" s="36" customFormat="1" ht="15.75">
      <c r="A22" s="58" t="s">
        <v>25</v>
      </c>
      <c r="B22" s="81" t="s">
        <v>26</v>
      </c>
      <c r="C22" s="65" t="s">
        <v>11</v>
      </c>
      <c r="D22" s="82"/>
      <c r="E22" s="83">
        <f>E16</f>
        <v>298.46999999999997</v>
      </c>
      <c r="F22" s="68"/>
      <c r="G22" s="68"/>
      <c r="H22" s="84"/>
      <c r="I22" s="69"/>
      <c r="J22" s="69"/>
      <c r="L22" s="39"/>
      <c r="M22" s="71"/>
      <c r="N22" s="77"/>
      <c r="O22" s="77"/>
    </row>
    <row r="23" spans="1:16" s="36" customFormat="1" ht="15.75">
      <c r="A23" s="72" t="s">
        <v>27</v>
      </c>
      <c r="B23" s="85" t="s">
        <v>205</v>
      </c>
      <c r="C23" s="86" t="s">
        <v>28</v>
      </c>
      <c r="D23" s="87">
        <v>0.15</v>
      </c>
      <c r="E23" s="2">
        <f>D23*E22</f>
        <v>44.770499999999991</v>
      </c>
      <c r="F23" s="88"/>
      <c r="G23" s="89"/>
      <c r="H23" s="63"/>
      <c r="I23" s="69"/>
      <c r="J23" s="69"/>
      <c r="L23" s="39"/>
      <c r="M23" s="40"/>
      <c r="N23" s="39"/>
      <c r="O23" s="39"/>
    </row>
    <row r="24" spans="1:16" s="36" customFormat="1" ht="15.75">
      <c r="A24" s="72" t="s">
        <v>29</v>
      </c>
      <c r="B24" s="90" t="s">
        <v>206</v>
      </c>
      <c r="C24" s="86" t="s">
        <v>16</v>
      </c>
      <c r="D24" s="87">
        <v>1.5</v>
      </c>
      <c r="E24" s="2">
        <f>D24*E22</f>
        <v>447.70499999999993</v>
      </c>
      <c r="F24" s="88"/>
      <c r="G24" s="89"/>
      <c r="H24" s="62"/>
      <c r="I24" s="69"/>
      <c r="J24" s="69"/>
      <c r="L24" s="39"/>
      <c r="M24" s="40"/>
      <c r="N24" s="39"/>
      <c r="O24" s="39"/>
    </row>
    <row r="25" spans="1:16" s="36" customFormat="1" ht="15.75">
      <c r="A25" s="72" t="s">
        <v>31</v>
      </c>
      <c r="B25" s="90" t="s">
        <v>207</v>
      </c>
      <c r="C25" s="86" t="s">
        <v>16</v>
      </c>
      <c r="D25" s="87">
        <v>0.9</v>
      </c>
      <c r="E25" s="2">
        <f>D25*E22</f>
        <v>268.62299999999999</v>
      </c>
      <c r="F25" s="88"/>
      <c r="G25" s="89"/>
      <c r="H25" s="62"/>
      <c r="I25" s="69"/>
      <c r="J25" s="69"/>
      <c r="M25" s="91"/>
    </row>
    <row r="26" spans="1:16" s="36" customFormat="1" ht="15.75">
      <c r="A26" s="72" t="s">
        <v>32</v>
      </c>
      <c r="B26" s="85" t="s">
        <v>208</v>
      </c>
      <c r="C26" s="86" t="s">
        <v>33</v>
      </c>
      <c r="D26" s="87"/>
      <c r="E26" s="2">
        <v>106</v>
      </c>
      <c r="F26" s="88"/>
      <c r="G26" s="89"/>
      <c r="H26" s="62"/>
      <c r="I26" s="69"/>
      <c r="J26" s="69"/>
      <c r="M26" s="91"/>
    </row>
    <row r="27" spans="1:16" s="95" customFormat="1" ht="31.5">
      <c r="A27" s="58" t="s">
        <v>34</v>
      </c>
      <c r="B27" s="92" t="s">
        <v>35</v>
      </c>
      <c r="C27" s="65" t="s">
        <v>11</v>
      </c>
      <c r="D27" s="93"/>
      <c r="E27" s="94">
        <f>E22</f>
        <v>298.46999999999997</v>
      </c>
      <c r="F27" s="68"/>
      <c r="G27" s="68"/>
      <c r="H27" s="62"/>
      <c r="I27" s="69"/>
      <c r="J27" s="69"/>
      <c r="M27" s="96"/>
    </row>
    <row r="28" spans="1:16" s="95" customFormat="1" ht="15.75">
      <c r="A28" s="72" t="s">
        <v>36</v>
      </c>
      <c r="B28" s="97" t="s">
        <v>190</v>
      </c>
      <c r="C28" s="98" t="s">
        <v>16</v>
      </c>
      <c r="D28" s="2">
        <v>0.15</v>
      </c>
      <c r="E28" s="99">
        <f>D28*E27</f>
        <v>44.770499999999991</v>
      </c>
      <c r="F28" s="88"/>
      <c r="G28" s="89"/>
      <c r="H28" s="62"/>
      <c r="I28" s="69"/>
      <c r="J28" s="69"/>
      <c r="M28" s="96"/>
    </row>
    <row r="29" spans="1:16" s="95" customFormat="1" ht="15.75">
      <c r="A29" s="72" t="s">
        <v>37</v>
      </c>
      <c r="B29" s="97" t="s">
        <v>198</v>
      </c>
      <c r="C29" s="98" t="s">
        <v>16</v>
      </c>
      <c r="D29" s="2">
        <v>2</v>
      </c>
      <c r="E29" s="99">
        <f>D29*E27</f>
        <v>596.93999999999994</v>
      </c>
      <c r="F29" s="88"/>
      <c r="G29" s="89"/>
      <c r="H29" s="62"/>
      <c r="I29" s="69"/>
      <c r="J29" s="69"/>
      <c r="M29" s="96" t="s">
        <v>186</v>
      </c>
      <c r="N29" s="96" t="s">
        <v>187</v>
      </c>
    </row>
    <row r="30" spans="1:16" s="95" customFormat="1" ht="15.75">
      <c r="A30" s="72" t="s">
        <v>38</v>
      </c>
      <c r="B30" s="97" t="s">
        <v>194</v>
      </c>
      <c r="C30" s="98" t="s">
        <v>28</v>
      </c>
      <c r="D30" s="2">
        <v>0.01</v>
      </c>
      <c r="E30" s="99">
        <f>D30*E27</f>
        <v>2.9846999999999997</v>
      </c>
      <c r="F30" s="88"/>
      <c r="G30" s="89"/>
      <c r="H30" s="62"/>
      <c r="I30" s="69"/>
      <c r="J30" s="69"/>
      <c r="L30" s="95" t="s">
        <v>183</v>
      </c>
      <c r="M30" s="96">
        <v>29</v>
      </c>
      <c r="N30" s="96">
        <f>M30*3</f>
        <v>87</v>
      </c>
    </row>
    <row r="31" spans="1:16" s="95" customFormat="1" ht="15.75">
      <c r="A31" s="58" t="s">
        <v>39</v>
      </c>
      <c r="B31" s="100" t="s">
        <v>40</v>
      </c>
      <c r="C31" s="65" t="s">
        <v>33</v>
      </c>
      <c r="D31" s="101"/>
      <c r="E31" s="67">
        <f>18*2.9*2</f>
        <v>104.39999999999999</v>
      </c>
      <c r="F31" s="68"/>
      <c r="G31" s="68"/>
      <c r="H31" s="84"/>
      <c r="I31" s="69"/>
      <c r="J31" s="69"/>
      <c r="L31" s="95" t="s">
        <v>184</v>
      </c>
      <c r="M31" s="96">
        <v>168</v>
      </c>
      <c r="N31" s="96">
        <f>(M31-46.44*2)*3+12</f>
        <v>237.36</v>
      </c>
    </row>
    <row r="32" spans="1:16" s="95" customFormat="1" ht="15.75">
      <c r="A32" s="72" t="s">
        <v>41</v>
      </c>
      <c r="B32" s="102" t="s">
        <v>209</v>
      </c>
      <c r="C32" s="86" t="s">
        <v>33</v>
      </c>
      <c r="D32" s="2">
        <v>1.034</v>
      </c>
      <c r="E32" s="99">
        <f>18*3*2</f>
        <v>108</v>
      </c>
      <c r="F32" s="103"/>
      <c r="G32" s="89"/>
      <c r="H32" s="62"/>
      <c r="I32" s="69"/>
      <c r="J32" s="69"/>
      <c r="L32" s="95" t="s">
        <v>185</v>
      </c>
      <c r="M32" s="96">
        <v>24.1</v>
      </c>
      <c r="N32" s="96">
        <f>M32*3</f>
        <v>72.300000000000011</v>
      </c>
    </row>
    <row r="33" spans="1:14" s="95" customFormat="1" ht="15.75">
      <c r="A33" s="58" t="s">
        <v>188</v>
      </c>
      <c r="B33" s="104" t="s">
        <v>181</v>
      </c>
      <c r="C33" s="65" t="s">
        <v>33</v>
      </c>
      <c r="D33" s="105"/>
      <c r="E33" s="106">
        <f>(22*2.7+28*3)*3</f>
        <v>430.20000000000005</v>
      </c>
      <c r="F33" s="103"/>
      <c r="G33" s="89"/>
      <c r="H33" s="62"/>
      <c r="I33" s="69"/>
      <c r="J33" s="69"/>
      <c r="M33" s="96"/>
      <c r="N33" s="107">
        <f>SUM(N30:N32)</f>
        <v>396.66</v>
      </c>
    </row>
    <row r="34" spans="1:14" s="95" customFormat="1" ht="15.75">
      <c r="A34" s="72" t="s">
        <v>189</v>
      </c>
      <c r="B34" s="108" t="s">
        <v>182</v>
      </c>
      <c r="C34" s="109" t="s">
        <v>33</v>
      </c>
      <c r="D34" s="87">
        <v>1.05</v>
      </c>
      <c r="E34" s="106">
        <f>(22+28)*3*3</f>
        <v>450</v>
      </c>
      <c r="F34" s="103"/>
      <c r="G34" s="89"/>
      <c r="H34" s="62"/>
      <c r="I34" s="69"/>
      <c r="J34" s="69"/>
      <c r="M34" s="96"/>
    </row>
    <row r="35" spans="1:14" ht="31.5" customHeight="1">
      <c r="A35" s="58" t="s">
        <v>42</v>
      </c>
      <c r="B35" s="92" t="s">
        <v>43</v>
      </c>
      <c r="C35" s="65" t="s">
        <v>11</v>
      </c>
      <c r="D35" s="110"/>
      <c r="E35" s="83">
        <v>255.72</v>
      </c>
      <c r="F35" s="68"/>
      <c r="G35" s="68"/>
      <c r="H35" s="84"/>
      <c r="I35" s="69"/>
      <c r="J35" s="69"/>
    </row>
    <row r="36" spans="1:14" ht="15.75">
      <c r="A36" s="72" t="s">
        <v>44</v>
      </c>
      <c r="B36" s="85" t="s">
        <v>205</v>
      </c>
      <c r="C36" s="65" t="s">
        <v>28</v>
      </c>
      <c r="D36" s="98">
        <v>0.15</v>
      </c>
      <c r="E36" s="111">
        <f>E35*0.6*D36</f>
        <v>23.014799999999997</v>
      </c>
      <c r="F36" s="88"/>
      <c r="G36" s="89"/>
      <c r="H36" s="63"/>
      <c r="I36" s="69"/>
      <c r="J36" s="69"/>
    </row>
    <row r="37" spans="1:14" ht="15.75">
      <c r="A37" s="72" t="s">
        <v>45</v>
      </c>
      <c r="B37" s="73" t="s">
        <v>191</v>
      </c>
      <c r="C37" s="109" t="s">
        <v>16</v>
      </c>
      <c r="D37" s="98">
        <v>0.3</v>
      </c>
      <c r="E37" s="111">
        <f>E35*0.4*D37</f>
        <v>30.686400000000003</v>
      </c>
      <c r="F37" s="88"/>
      <c r="G37" s="89"/>
      <c r="H37" s="63"/>
      <c r="I37" s="69"/>
      <c r="J37" s="69"/>
    </row>
    <row r="38" spans="1:14" ht="15.75">
      <c r="A38" s="72" t="s">
        <v>46</v>
      </c>
      <c r="B38" s="85" t="s">
        <v>210</v>
      </c>
      <c r="C38" s="86" t="s">
        <v>16</v>
      </c>
      <c r="D38" s="2">
        <v>30</v>
      </c>
      <c r="E38" s="111">
        <f>E35*D38</f>
        <v>7671.6</v>
      </c>
      <c r="F38" s="88"/>
      <c r="G38" s="89"/>
      <c r="H38" s="62"/>
      <c r="I38" s="69"/>
      <c r="J38" s="69"/>
    </row>
    <row r="39" spans="1:14" ht="15.75">
      <c r="A39" s="72" t="s">
        <v>47</v>
      </c>
      <c r="B39" s="102" t="s">
        <v>211</v>
      </c>
      <c r="C39" s="86" t="s">
        <v>33</v>
      </c>
      <c r="D39" s="2">
        <v>1.34</v>
      </c>
      <c r="E39" s="111">
        <f>E35*D39</f>
        <v>342.66480000000001</v>
      </c>
      <c r="F39" s="88"/>
      <c r="G39" s="89"/>
      <c r="H39" s="62"/>
      <c r="I39" s="69"/>
      <c r="J39" s="69"/>
    </row>
    <row r="40" spans="1:14" ht="15.75">
      <c r="A40" s="72" t="s">
        <v>48</v>
      </c>
      <c r="B40" s="112" t="s">
        <v>203</v>
      </c>
      <c r="C40" s="86" t="s">
        <v>11</v>
      </c>
      <c r="D40" s="2">
        <v>0.2</v>
      </c>
      <c r="E40" s="99">
        <f>E35*D40</f>
        <v>51.144000000000005</v>
      </c>
      <c r="F40" s="88"/>
      <c r="G40" s="89"/>
      <c r="H40" s="62"/>
      <c r="I40" s="69"/>
      <c r="J40" s="69"/>
    </row>
    <row r="41" spans="1:14" ht="15.75" customHeight="1">
      <c r="A41" s="58" t="s">
        <v>49</v>
      </c>
      <c r="B41" s="81" t="s">
        <v>288</v>
      </c>
      <c r="C41" s="65" t="s">
        <v>11</v>
      </c>
      <c r="D41" s="113"/>
      <c r="E41" s="94">
        <f>E35</f>
        <v>255.72</v>
      </c>
      <c r="F41" s="68"/>
      <c r="G41" s="68"/>
      <c r="H41" s="84"/>
      <c r="I41" s="69"/>
      <c r="J41" s="69"/>
    </row>
    <row r="42" spans="1:14" ht="15.75">
      <c r="A42" s="72" t="s">
        <v>50</v>
      </c>
      <c r="B42" s="85" t="s">
        <v>205</v>
      </c>
      <c r="C42" s="86" t="s">
        <v>28</v>
      </c>
      <c r="D42" s="87">
        <v>0.15</v>
      </c>
      <c r="E42" s="99">
        <f>E41*D42</f>
        <v>38.357999999999997</v>
      </c>
      <c r="F42" s="88"/>
      <c r="G42" s="89"/>
      <c r="H42" s="62"/>
      <c r="I42" s="69"/>
      <c r="J42" s="69"/>
    </row>
    <row r="43" spans="1:14" s="122" customFormat="1">
      <c r="A43" s="72" t="s">
        <v>51</v>
      </c>
      <c r="B43" s="114" t="s">
        <v>169</v>
      </c>
      <c r="C43" s="115" t="s">
        <v>11</v>
      </c>
      <c r="D43" s="116">
        <v>1.1000000000000001</v>
      </c>
      <c r="E43" s="117">
        <f>E41*D43</f>
        <v>281.29200000000003</v>
      </c>
      <c r="F43" s="118"/>
      <c r="G43" s="119"/>
      <c r="H43" s="120"/>
      <c r="I43" s="69"/>
      <c r="J43" s="121"/>
      <c r="M43" s="123"/>
    </row>
    <row r="44" spans="1:14" ht="15.75">
      <c r="A44" s="72" t="s">
        <v>52</v>
      </c>
      <c r="B44" s="124" t="s">
        <v>212</v>
      </c>
      <c r="C44" s="86" t="s">
        <v>16</v>
      </c>
      <c r="D44" s="87">
        <v>7.6</v>
      </c>
      <c r="E44" s="99">
        <f>D44*E41</f>
        <v>1943.472</v>
      </c>
      <c r="F44" s="88"/>
      <c r="G44" s="89"/>
      <c r="H44" s="62"/>
      <c r="I44" s="69"/>
      <c r="J44" s="69"/>
    </row>
    <row r="45" spans="1:14" ht="15.75">
      <c r="A45" s="72" t="s">
        <v>53</v>
      </c>
      <c r="B45" s="112" t="s">
        <v>213</v>
      </c>
      <c r="C45" s="86" t="s">
        <v>16</v>
      </c>
      <c r="D45" s="87">
        <v>0.3</v>
      </c>
      <c r="E45" s="99">
        <f>E41*D45</f>
        <v>76.715999999999994</v>
      </c>
      <c r="F45" s="88"/>
      <c r="G45" s="89"/>
      <c r="H45" s="62"/>
      <c r="I45" s="69"/>
      <c r="J45" s="69"/>
    </row>
    <row r="46" spans="1:14" ht="30" customHeight="1">
      <c r="A46" s="58" t="s">
        <v>54</v>
      </c>
      <c r="B46" s="92" t="s">
        <v>55</v>
      </c>
      <c r="C46" s="65" t="s">
        <v>11</v>
      </c>
      <c r="D46" s="125"/>
      <c r="E46" s="67">
        <v>398</v>
      </c>
      <c r="F46" s="67"/>
      <c r="G46" s="68"/>
      <c r="H46" s="84"/>
      <c r="I46" s="69"/>
      <c r="J46" s="69"/>
    </row>
    <row r="47" spans="1:14" ht="15.75">
      <c r="A47" s="72" t="s">
        <v>56</v>
      </c>
      <c r="B47" s="85" t="s">
        <v>205</v>
      </c>
      <c r="C47" s="109" t="s">
        <v>28</v>
      </c>
      <c r="D47" s="126">
        <v>0.15</v>
      </c>
      <c r="E47" s="99">
        <f>E46*0.75*D47</f>
        <v>44.774999999999999</v>
      </c>
      <c r="F47" s="103"/>
      <c r="G47" s="89"/>
      <c r="H47" s="63"/>
      <c r="I47" s="69"/>
      <c r="J47" s="69"/>
    </row>
    <row r="48" spans="1:14" ht="15.75">
      <c r="A48" s="72" t="s">
        <v>57</v>
      </c>
      <c r="B48" s="73" t="s">
        <v>191</v>
      </c>
      <c r="C48" s="109" t="s">
        <v>16</v>
      </c>
      <c r="D48" s="126">
        <v>0.3</v>
      </c>
      <c r="E48" s="99">
        <f>E46*0.25*D48</f>
        <v>29.849999999999998</v>
      </c>
      <c r="F48" s="103"/>
      <c r="G48" s="89"/>
      <c r="H48" s="63"/>
      <c r="I48" s="69"/>
      <c r="J48" s="69"/>
    </row>
    <row r="49" spans="1:13" ht="15.75">
      <c r="A49" s="72" t="s">
        <v>58</v>
      </c>
      <c r="B49" s="85" t="s">
        <v>214</v>
      </c>
      <c r="C49" s="86" t="s">
        <v>16</v>
      </c>
      <c r="D49" s="127">
        <v>20</v>
      </c>
      <c r="E49" s="99">
        <f>D49*E46</f>
        <v>7960</v>
      </c>
      <c r="F49" s="103"/>
      <c r="G49" s="89"/>
      <c r="H49" s="62"/>
      <c r="I49" s="69"/>
      <c r="J49" s="69"/>
    </row>
    <row r="50" spans="1:13" ht="15.75">
      <c r="A50" s="72" t="s">
        <v>59</v>
      </c>
      <c r="B50" s="102" t="s">
        <v>211</v>
      </c>
      <c r="C50" s="86" t="s">
        <v>60</v>
      </c>
      <c r="D50" s="127">
        <v>1.34</v>
      </c>
      <c r="E50" s="99">
        <f>D50*E46</f>
        <v>533.32000000000005</v>
      </c>
      <c r="F50" s="103"/>
      <c r="G50" s="89"/>
      <c r="H50" s="62"/>
      <c r="I50" s="69"/>
      <c r="J50" s="69"/>
    </row>
    <row r="51" spans="1:13" ht="15.75">
      <c r="A51" s="72" t="s">
        <v>61</v>
      </c>
      <c r="B51" s="112" t="s">
        <v>203</v>
      </c>
      <c r="C51" s="86" t="s">
        <v>11</v>
      </c>
      <c r="D51" s="127">
        <v>0.2</v>
      </c>
      <c r="E51" s="99">
        <f>D51*E46</f>
        <v>79.600000000000009</v>
      </c>
      <c r="F51" s="103"/>
      <c r="G51" s="89"/>
      <c r="H51" s="62"/>
      <c r="I51" s="69"/>
      <c r="J51" s="69"/>
    </row>
    <row r="52" spans="1:13" s="36" customFormat="1" ht="15.75">
      <c r="A52" s="58" t="s">
        <v>62</v>
      </c>
      <c r="B52" s="81" t="s">
        <v>289</v>
      </c>
      <c r="C52" s="65" t="s">
        <v>63</v>
      </c>
      <c r="D52" s="113"/>
      <c r="E52" s="83">
        <f>E46</f>
        <v>398</v>
      </c>
      <c r="F52" s="67"/>
      <c r="G52" s="68"/>
      <c r="H52" s="84"/>
      <c r="I52" s="69"/>
      <c r="J52" s="69"/>
      <c r="M52" s="91"/>
    </row>
    <row r="53" spans="1:13" s="36" customFormat="1" ht="15.75">
      <c r="A53" s="72" t="s">
        <v>64</v>
      </c>
      <c r="B53" s="85" t="s">
        <v>205</v>
      </c>
      <c r="C53" s="86" t="s">
        <v>28</v>
      </c>
      <c r="D53" s="2">
        <v>0.15</v>
      </c>
      <c r="E53" s="2">
        <f>D53*E52</f>
        <v>59.699999999999996</v>
      </c>
      <c r="F53" s="103"/>
      <c r="G53" s="89"/>
      <c r="H53" s="63"/>
      <c r="I53" s="69"/>
      <c r="J53" s="69"/>
      <c r="M53" s="91"/>
    </row>
    <row r="54" spans="1:13" s="36" customFormat="1" ht="15.75">
      <c r="A54" s="72" t="s">
        <v>65</v>
      </c>
      <c r="B54" s="90" t="s">
        <v>207</v>
      </c>
      <c r="C54" s="86" t="s">
        <v>16</v>
      </c>
      <c r="D54" s="2">
        <v>0.9</v>
      </c>
      <c r="E54" s="2">
        <f>D54*E52</f>
        <v>358.2</v>
      </c>
      <c r="F54" s="103"/>
      <c r="G54" s="89"/>
      <c r="H54" s="62"/>
      <c r="I54" s="69"/>
      <c r="J54" s="69"/>
      <c r="M54" s="91"/>
    </row>
    <row r="55" spans="1:13" s="36" customFormat="1" ht="31.5">
      <c r="A55" s="58" t="s">
        <v>66</v>
      </c>
      <c r="B55" s="92" t="s">
        <v>35</v>
      </c>
      <c r="C55" s="65" t="s">
        <v>11</v>
      </c>
      <c r="D55" s="110"/>
      <c r="E55" s="94">
        <f>E52-E59</f>
        <v>325.7</v>
      </c>
      <c r="F55" s="67"/>
      <c r="G55" s="68"/>
      <c r="H55" s="62"/>
      <c r="I55" s="69"/>
      <c r="J55" s="69"/>
      <c r="M55" s="91"/>
    </row>
    <row r="56" spans="1:13" s="36" customFormat="1" ht="15.75">
      <c r="A56" s="72" t="s">
        <v>67</v>
      </c>
      <c r="B56" s="97" t="s">
        <v>190</v>
      </c>
      <c r="C56" s="98" t="s">
        <v>16</v>
      </c>
      <c r="D56" s="2">
        <v>0.15</v>
      </c>
      <c r="E56" s="99">
        <f>D56*E55</f>
        <v>48.854999999999997</v>
      </c>
      <c r="F56" s="103"/>
      <c r="G56" s="89"/>
      <c r="H56" s="62"/>
      <c r="I56" s="69"/>
      <c r="J56" s="69"/>
      <c r="M56" s="91"/>
    </row>
    <row r="57" spans="1:13" s="36" customFormat="1" ht="15.75">
      <c r="A57" s="72" t="s">
        <v>68</v>
      </c>
      <c r="B57" s="97" t="s">
        <v>198</v>
      </c>
      <c r="C57" s="98" t="s">
        <v>16</v>
      </c>
      <c r="D57" s="2">
        <v>2</v>
      </c>
      <c r="E57" s="99">
        <f>D57*E55</f>
        <v>651.4</v>
      </c>
      <c r="F57" s="103"/>
      <c r="G57" s="89"/>
      <c r="H57" s="62"/>
      <c r="I57" s="69"/>
      <c r="J57" s="69"/>
      <c r="M57" s="91"/>
    </row>
    <row r="58" spans="1:13" s="36" customFormat="1" ht="15.75">
      <c r="A58" s="72" t="s">
        <v>69</v>
      </c>
      <c r="B58" s="97" t="s">
        <v>194</v>
      </c>
      <c r="C58" s="98" t="s">
        <v>28</v>
      </c>
      <c r="D58" s="2">
        <v>0.01</v>
      </c>
      <c r="E58" s="99">
        <f>D58*E55</f>
        <v>3.2570000000000001</v>
      </c>
      <c r="F58" s="103"/>
      <c r="G58" s="89"/>
      <c r="H58" s="62"/>
      <c r="I58" s="69"/>
      <c r="J58" s="69"/>
      <c r="M58" s="91"/>
    </row>
    <row r="59" spans="1:13" s="95" customFormat="1" ht="31.5">
      <c r="A59" s="58" t="s">
        <v>70</v>
      </c>
      <c r="B59" s="100" t="s">
        <v>290</v>
      </c>
      <c r="C59" s="65" t="s">
        <v>63</v>
      </c>
      <c r="D59" s="105"/>
      <c r="E59" s="128">
        <f>3*24.1</f>
        <v>72.300000000000011</v>
      </c>
      <c r="F59" s="68"/>
      <c r="G59" s="68"/>
      <c r="H59" s="84"/>
      <c r="I59" s="69"/>
      <c r="J59" s="69"/>
      <c r="M59" s="96"/>
    </row>
    <row r="60" spans="1:13" s="95" customFormat="1" ht="15.75">
      <c r="A60" s="72" t="s">
        <v>71</v>
      </c>
      <c r="B60" s="85" t="s">
        <v>205</v>
      </c>
      <c r="C60" s="86" t="s">
        <v>28</v>
      </c>
      <c r="D60" s="87">
        <v>0.15</v>
      </c>
      <c r="E60" s="99">
        <f>E59*D60</f>
        <v>10.845000000000001</v>
      </c>
      <c r="F60" s="88"/>
      <c r="G60" s="89"/>
      <c r="H60" s="63"/>
      <c r="I60" s="69"/>
      <c r="J60" s="69"/>
      <c r="M60" s="96"/>
    </row>
    <row r="61" spans="1:13" s="36" customFormat="1" ht="15.75">
      <c r="A61" s="72" t="s">
        <v>72</v>
      </c>
      <c r="B61" s="112" t="s">
        <v>215</v>
      </c>
      <c r="C61" s="52" t="s">
        <v>28</v>
      </c>
      <c r="D61" s="129">
        <v>0.3</v>
      </c>
      <c r="E61" s="99">
        <f>D61*E59</f>
        <v>21.69</v>
      </c>
      <c r="F61" s="88"/>
      <c r="G61" s="89"/>
      <c r="H61" s="62"/>
      <c r="I61" s="69"/>
      <c r="J61" s="69"/>
      <c r="M61" s="91"/>
    </row>
    <row r="62" spans="1:13" s="36" customFormat="1" ht="30.75">
      <c r="A62" s="58" t="s">
        <v>73</v>
      </c>
      <c r="B62" s="130" t="s">
        <v>291</v>
      </c>
      <c r="C62" s="131" t="s">
        <v>33</v>
      </c>
      <c r="D62" s="82"/>
      <c r="E62" s="94">
        <f>3*2*(2.4+2.7*2)</f>
        <v>46.800000000000004</v>
      </c>
      <c r="F62" s="68"/>
      <c r="G62" s="68"/>
      <c r="H62" s="84"/>
      <c r="I62" s="69"/>
      <c r="J62" s="69"/>
      <c r="M62" s="91"/>
    </row>
    <row r="63" spans="1:13" s="36" customFormat="1" ht="15.75">
      <c r="A63" s="72" t="s">
        <v>74</v>
      </c>
      <c r="B63" s="85" t="s">
        <v>195</v>
      </c>
      <c r="C63" s="86" t="s">
        <v>11</v>
      </c>
      <c r="D63" s="87">
        <f>1.05*0.4</f>
        <v>0.42000000000000004</v>
      </c>
      <c r="E63" s="99">
        <f>E62*D63</f>
        <v>19.656000000000002</v>
      </c>
      <c r="F63" s="88"/>
      <c r="G63" s="89"/>
      <c r="H63" s="63"/>
      <c r="I63" s="69"/>
      <c r="J63" s="69"/>
      <c r="M63" s="91"/>
    </row>
    <row r="64" spans="1:13" s="36" customFormat="1" ht="15.75">
      <c r="A64" s="72" t="s">
        <v>75</v>
      </c>
      <c r="B64" s="85" t="s">
        <v>199</v>
      </c>
      <c r="C64" s="86" t="s">
        <v>16</v>
      </c>
      <c r="D64" s="87">
        <f>5*0.4</f>
        <v>2</v>
      </c>
      <c r="E64" s="99">
        <f>D64*E62</f>
        <v>93.600000000000009</v>
      </c>
      <c r="F64" s="88"/>
      <c r="G64" s="89"/>
      <c r="H64" s="63"/>
      <c r="I64" s="69"/>
      <c r="J64" s="69"/>
      <c r="M64" s="91"/>
    </row>
    <row r="65" spans="1:13" s="36" customFormat="1" ht="15.75">
      <c r="A65" s="72" t="s">
        <v>76</v>
      </c>
      <c r="B65" s="85" t="s">
        <v>193</v>
      </c>
      <c r="C65" s="86" t="s">
        <v>33</v>
      </c>
      <c r="D65" s="87">
        <v>1.2</v>
      </c>
      <c r="E65" s="99">
        <f>E62*D65</f>
        <v>56.160000000000004</v>
      </c>
      <c r="F65" s="88"/>
      <c r="G65" s="89"/>
      <c r="H65" s="63"/>
      <c r="I65" s="69"/>
      <c r="J65" s="69"/>
      <c r="M65" s="91"/>
    </row>
    <row r="66" spans="1:13" s="36" customFormat="1" ht="15.75">
      <c r="A66" s="72" t="s">
        <v>77</v>
      </c>
      <c r="B66" s="132" t="s">
        <v>216</v>
      </c>
      <c r="C66" s="86" t="s">
        <v>16</v>
      </c>
      <c r="D66" s="87">
        <f>0.3*0.4</f>
        <v>0.12</v>
      </c>
      <c r="E66" s="99">
        <f>E62*D66</f>
        <v>5.6160000000000005</v>
      </c>
      <c r="F66" s="88"/>
      <c r="G66" s="89"/>
      <c r="H66" s="62"/>
      <c r="I66" s="69"/>
      <c r="J66" s="69"/>
      <c r="M66" s="91"/>
    </row>
    <row r="67" spans="1:13" s="36" customFormat="1" ht="30.75">
      <c r="A67" s="58" t="s">
        <v>78</v>
      </c>
      <c r="B67" s="133" t="s">
        <v>292</v>
      </c>
      <c r="C67" s="65" t="s">
        <v>33</v>
      </c>
      <c r="D67" s="82"/>
      <c r="E67" s="83">
        <f>E62</f>
        <v>46.800000000000004</v>
      </c>
      <c r="F67" s="68"/>
      <c r="G67" s="68"/>
      <c r="H67" s="84"/>
      <c r="I67" s="69"/>
      <c r="J67" s="69"/>
      <c r="M67" s="91"/>
    </row>
    <row r="68" spans="1:13" s="36" customFormat="1" ht="15.75">
      <c r="A68" s="72" t="s">
        <v>79</v>
      </c>
      <c r="B68" s="85" t="s">
        <v>205</v>
      </c>
      <c r="C68" s="86" t="s">
        <v>28</v>
      </c>
      <c r="D68" s="87">
        <f>0.15*0.4</f>
        <v>0.06</v>
      </c>
      <c r="E68" s="2">
        <f>D68*E67</f>
        <v>2.8080000000000003</v>
      </c>
      <c r="F68" s="88"/>
      <c r="G68" s="89"/>
      <c r="H68" s="63"/>
      <c r="I68" s="69"/>
      <c r="J68" s="69"/>
      <c r="M68" s="91"/>
    </row>
    <row r="69" spans="1:13" s="36" customFormat="1" ht="15.75">
      <c r="A69" s="72" t="s">
        <v>80</v>
      </c>
      <c r="B69" s="90" t="s">
        <v>207</v>
      </c>
      <c r="C69" s="86" t="s">
        <v>16</v>
      </c>
      <c r="D69" s="87">
        <f>0.9*0.4</f>
        <v>0.36000000000000004</v>
      </c>
      <c r="E69" s="2">
        <f>D69*E67</f>
        <v>16.848000000000003</v>
      </c>
      <c r="F69" s="88"/>
      <c r="G69" s="89"/>
      <c r="H69" s="62"/>
      <c r="I69" s="69"/>
      <c r="J69" s="69"/>
      <c r="M69" s="91"/>
    </row>
    <row r="70" spans="1:13" s="36" customFormat="1" ht="15.75">
      <c r="A70" s="72" t="s">
        <v>81</v>
      </c>
      <c r="B70" s="85" t="s">
        <v>208</v>
      </c>
      <c r="C70" s="86" t="s">
        <v>33</v>
      </c>
      <c r="D70" s="87">
        <v>1.05</v>
      </c>
      <c r="E70" s="2">
        <f>D70*E67</f>
        <v>49.140000000000008</v>
      </c>
      <c r="F70" s="88"/>
      <c r="G70" s="89"/>
      <c r="H70" s="62"/>
      <c r="I70" s="69"/>
      <c r="J70" s="69"/>
      <c r="M70" s="91"/>
    </row>
    <row r="71" spans="1:13" s="36" customFormat="1" ht="31.5">
      <c r="A71" s="58" t="s">
        <v>82</v>
      </c>
      <c r="B71" s="134" t="s">
        <v>293</v>
      </c>
      <c r="C71" s="65" t="s">
        <v>33</v>
      </c>
      <c r="D71" s="93"/>
      <c r="E71" s="94">
        <f>E62</f>
        <v>46.800000000000004</v>
      </c>
      <c r="F71" s="68"/>
      <c r="G71" s="68"/>
      <c r="H71" s="62"/>
      <c r="I71" s="69"/>
      <c r="J71" s="69"/>
      <c r="M71" s="91"/>
    </row>
    <row r="72" spans="1:13" s="36" customFormat="1" ht="15.75">
      <c r="A72" s="72" t="s">
        <v>83</v>
      </c>
      <c r="B72" s="97" t="s">
        <v>190</v>
      </c>
      <c r="C72" s="98" t="s">
        <v>16</v>
      </c>
      <c r="D72" s="2">
        <f>0.15*0.4</f>
        <v>0.06</v>
      </c>
      <c r="E72" s="99">
        <f>D72*E71</f>
        <v>2.8080000000000003</v>
      </c>
      <c r="F72" s="88"/>
      <c r="G72" s="89"/>
      <c r="H72" s="62"/>
      <c r="I72" s="69"/>
      <c r="J72" s="69"/>
      <c r="M72" s="91"/>
    </row>
    <row r="73" spans="1:13" s="36" customFormat="1" ht="15.75">
      <c r="A73" s="72" t="s">
        <v>84</v>
      </c>
      <c r="B73" s="97" t="s">
        <v>198</v>
      </c>
      <c r="C73" s="98" t="s">
        <v>16</v>
      </c>
      <c r="D73" s="2">
        <f>2*0.4</f>
        <v>0.8</v>
      </c>
      <c r="E73" s="99">
        <f>D73*E71</f>
        <v>37.440000000000005</v>
      </c>
      <c r="F73" s="88"/>
      <c r="G73" s="89"/>
      <c r="H73" s="62"/>
      <c r="I73" s="69"/>
      <c r="J73" s="69"/>
      <c r="M73" s="91"/>
    </row>
    <row r="74" spans="1:13" s="36" customFormat="1" ht="15.75">
      <c r="A74" s="72" t="s">
        <v>85</v>
      </c>
      <c r="B74" s="97" t="s">
        <v>194</v>
      </c>
      <c r="C74" s="98" t="s">
        <v>28</v>
      </c>
      <c r="D74" s="3">
        <f>0.01*0.4</f>
        <v>4.0000000000000001E-3</v>
      </c>
      <c r="E74" s="99">
        <f>D74*E71</f>
        <v>0.18720000000000003</v>
      </c>
      <c r="F74" s="88"/>
      <c r="G74" s="89"/>
      <c r="H74" s="62"/>
      <c r="I74" s="69"/>
      <c r="J74" s="69"/>
      <c r="M74" s="91"/>
    </row>
    <row r="75" spans="1:13" s="95" customFormat="1" ht="15.75">
      <c r="A75" s="58" t="s">
        <v>86</v>
      </c>
      <c r="B75" s="130" t="s">
        <v>178</v>
      </c>
      <c r="C75" s="135" t="s">
        <v>33</v>
      </c>
      <c r="D75" s="136"/>
      <c r="E75" s="137">
        <f>2.5*3*2</f>
        <v>15</v>
      </c>
      <c r="F75" s="138"/>
      <c r="G75" s="138"/>
      <c r="H75" s="139"/>
      <c r="I75" s="69"/>
      <c r="J75" s="140"/>
      <c r="M75" s="96"/>
    </row>
    <row r="76" spans="1:13" s="149" customFormat="1">
      <c r="A76" s="72" t="s">
        <v>87</v>
      </c>
      <c r="B76" s="141" t="s">
        <v>217</v>
      </c>
      <c r="C76" s="142" t="s">
        <v>33</v>
      </c>
      <c r="D76" s="143">
        <v>1</v>
      </c>
      <c r="E76" s="144">
        <f>E75*D76</f>
        <v>15</v>
      </c>
      <c r="F76" s="145"/>
      <c r="G76" s="146"/>
      <c r="H76" s="147"/>
      <c r="I76" s="69"/>
      <c r="J76" s="148"/>
      <c r="M76" s="150"/>
    </row>
    <row r="77" spans="1:13" s="95" customFormat="1" ht="15.75">
      <c r="A77" s="72" t="s">
        <v>88</v>
      </c>
      <c r="B77" s="151" t="s">
        <v>218</v>
      </c>
      <c r="C77" s="152" t="s">
        <v>28</v>
      </c>
      <c r="D77" s="153">
        <v>0.2</v>
      </c>
      <c r="E77" s="154">
        <f>D77*E75</f>
        <v>3</v>
      </c>
      <c r="F77" s="155"/>
      <c r="G77" s="156"/>
      <c r="H77" s="157"/>
      <c r="I77" s="69"/>
      <c r="J77" s="140"/>
      <c r="M77" s="96"/>
    </row>
    <row r="78" spans="1:13" ht="18">
      <c r="A78" s="58" t="s">
        <v>89</v>
      </c>
      <c r="B78" s="59" t="s">
        <v>90</v>
      </c>
      <c r="C78" s="60"/>
      <c r="D78" s="61"/>
      <c r="E78" s="61"/>
      <c r="F78" s="103"/>
      <c r="G78" s="158"/>
      <c r="H78" s="84"/>
      <c r="I78" s="63"/>
      <c r="J78" s="63"/>
    </row>
    <row r="79" spans="1:13" ht="15.75">
      <c r="A79" s="58" t="s">
        <v>91</v>
      </c>
      <c r="B79" s="100" t="s">
        <v>180</v>
      </c>
      <c r="C79" s="65" t="s">
        <v>63</v>
      </c>
      <c r="D79" s="82"/>
      <c r="E79" s="94">
        <f>33.7*3</f>
        <v>101.10000000000001</v>
      </c>
      <c r="F79" s="68"/>
      <c r="G79" s="68"/>
      <c r="H79" s="84"/>
      <c r="I79" s="69"/>
      <c r="J79" s="69"/>
    </row>
    <row r="80" spans="1:13" ht="15.75">
      <c r="A80" s="72" t="s">
        <v>92</v>
      </c>
      <c r="B80" s="85" t="s">
        <v>195</v>
      </c>
      <c r="C80" s="86" t="s">
        <v>11</v>
      </c>
      <c r="D80" s="87">
        <v>1.05</v>
      </c>
      <c r="E80" s="99">
        <f>E79*D80</f>
        <v>106.15500000000002</v>
      </c>
      <c r="F80" s="88"/>
      <c r="G80" s="89"/>
      <c r="H80" s="62"/>
      <c r="I80" s="69"/>
      <c r="J80" s="69"/>
    </row>
    <row r="81" spans="1:10" ht="15.75" customHeight="1">
      <c r="A81" s="72" t="s">
        <v>93</v>
      </c>
      <c r="B81" s="85" t="s">
        <v>219</v>
      </c>
      <c r="C81" s="86" t="s">
        <v>33</v>
      </c>
      <c r="D81" s="87">
        <v>1.1000000000000001</v>
      </c>
      <c r="E81" s="99">
        <f>E$79*D81</f>
        <v>111.21000000000002</v>
      </c>
      <c r="F81" s="88"/>
      <c r="G81" s="89"/>
      <c r="H81" s="62"/>
      <c r="I81" s="69"/>
      <c r="J81" s="69"/>
    </row>
    <row r="82" spans="1:10" ht="15.75">
      <c r="A82" s="72" t="s">
        <v>94</v>
      </c>
      <c r="B82" s="85" t="s">
        <v>220</v>
      </c>
      <c r="C82" s="86" t="s">
        <v>33</v>
      </c>
      <c r="D82" s="87">
        <v>2.9</v>
      </c>
      <c r="E82" s="99">
        <f t="shared" ref="E82:E90" si="0">E$79*D82</f>
        <v>293.19</v>
      </c>
      <c r="F82" s="88"/>
      <c r="G82" s="89"/>
      <c r="H82" s="62"/>
      <c r="I82" s="69"/>
      <c r="J82" s="69"/>
    </row>
    <row r="83" spans="1:10" ht="15.75">
      <c r="A83" s="72" t="s">
        <v>95</v>
      </c>
      <c r="B83" s="85" t="s">
        <v>221</v>
      </c>
      <c r="C83" s="86" t="s">
        <v>24</v>
      </c>
      <c r="D83" s="87">
        <v>2.2000000000000002</v>
      </c>
      <c r="E83" s="99">
        <f t="shared" si="0"/>
        <v>222.42000000000004</v>
      </c>
      <c r="F83" s="88"/>
      <c r="G83" s="89"/>
      <c r="H83" s="62"/>
      <c r="I83" s="69"/>
      <c r="J83" s="69"/>
    </row>
    <row r="84" spans="1:10" ht="15.75">
      <c r="A84" s="72" t="s">
        <v>96</v>
      </c>
      <c r="B84" s="85" t="s">
        <v>222</v>
      </c>
      <c r="C84" s="86" t="s">
        <v>24</v>
      </c>
      <c r="D84" s="87">
        <v>1.7</v>
      </c>
      <c r="E84" s="99">
        <f>E$79*D84</f>
        <v>171.87</v>
      </c>
      <c r="F84" s="88"/>
      <c r="G84" s="89"/>
      <c r="H84" s="62"/>
      <c r="I84" s="69"/>
      <c r="J84" s="69"/>
    </row>
    <row r="85" spans="1:10" ht="15.75">
      <c r="A85" s="72" t="s">
        <v>97</v>
      </c>
      <c r="B85" s="85" t="s">
        <v>223</v>
      </c>
      <c r="C85" s="86" t="s">
        <v>24</v>
      </c>
      <c r="D85" s="87">
        <v>23</v>
      </c>
      <c r="E85" s="99">
        <f t="shared" si="0"/>
        <v>2325.3000000000002</v>
      </c>
      <c r="F85" s="88"/>
      <c r="G85" s="89"/>
      <c r="H85" s="62"/>
      <c r="I85" s="69"/>
      <c r="J85" s="69"/>
    </row>
    <row r="86" spans="1:10" ht="15.75">
      <c r="A86" s="72" t="s">
        <v>98</v>
      </c>
      <c r="B86" s="85" t="s">
        <v>224</v>
      </c>
      <c r="C86" s="86" t="s">
        <v>24</v>
      </c>
      <c r="D86" s="87">
        <v>20</v>
      </c>
      <c r="E86" s="99">
        <f t="shared" si="0"/>
        <v>2022.0000000000002</v>
      </c>
      <c r="F86" s="88"/>
      <c r="G86" s="89"/>
      <c r="H86" s="62"/>
      <c r="I86" s="69"/>
      <c r="J86" s="69"/>
    </row>
    <row r="87" spans="1:10" ht="15.75">
      <c r="A87" s="72" t="s">
        <v>99</v>
      </c>
      <c r="B87" s="85" t="s">
        <v>225</v>
      </c>
      <c r="C87" s="86" t="s">
        <v>24</v>
      </c>
      <c r="D87" s="87">
        <v>2</v>
      </c>
      <c r="E87" s="99">
        <f t="shared" si="0"/>
        <v>202.20000000000002</v>
      </c>
      <c r="F87" s="88"/>
      <c r="G87" s="89"/>
      <c r="H87" s="62"/>
      <c r="I87" s="69"/>
      <c r="J87" s="69"/>
    </row>
    <row r="88" spans="1:10" ht="15.75">
      <c r="A88" s="72" t="s">
        <v>100</v>
      </c>
      <c r="B88" s="85" t="s">
        <v>226</v>
      </c>
      <c r="C88" s="86" t="s">
        <v>24</v>
      </c>
      <c r="D88" s="87">
        <v>1.3</v>
      </c>
      <c r="E88" s="99">
        <f t="shared" si="0"/>
        <v>131.43</v>
      </c>
      <c r="F88" s="88"/>
      <c r="G88" s="89"/>
      <c r="H88" s="62"/>
      <c r="I88" s="69"/>
      <c r="J88" s="69"/>
    </row>
    <row r="89" spans="1:10" ht="15.75">
      <c r="A89" s="72" t="s">
        <v>101</v>
      </c>
      <c r="B89" s="85" t="s">
        <v>192</v>
      </c>
      <c r="C89" s="86" t="s">
        <v>33</v>
      </c>
      <c r="D89" s="87">
        <v>1.05</v>
      </c>
      <c r="E89" s="99">
        <f t="shared" si="0"/>
        <v>106.15500000000002</v>
      </c>
      <c r="F89" s="88"/>
      <c r="G89" s="89"/>
      <c r="H89" s="62"/>
      <c r="I89" s="69"/>
      <c r="J89" s="69"/>
    </row>
    <row r="90" spans="1:10" ht="15.75">
      <c r="A90" s="72" t="s">
        <v>102</v>
      </c>
      <c r="B90" s="85" t="s">
        <v>227</v>
      </c>
      <c r="C90" s="86" t="s">
        <v>16</v>
      </c>
      <c r="D90" s="87">
        <v>0.3</v>
      </c>
      <c r="E90" s="99">
        <f t="shared" si="0"/>
        <v>30.330000000000002</v>
      </c>
      <c r="F90" s="88"/>
      <c r="G90" s="89"/>
      <c r="H90" s="62"/>
      <c r="I90" s="69"/>
      <c r="J90" s="69"/>
    </row>
    <row r="91" spans="1:10" ht="31.5">
      <c r="A91" s="58" t="s">
        <v>103</v>
      </c>
      <c r="B91" s="100" t="s">
        <v>104</v>
      </c>
      <c r="C91" s="159" t="s">
        <v>63</v>
      </c>
      <c r="D91" s="160"/>
      <c r="E91" s="94">
        <f>E79</f>
        <v>101.10000000000001</v>
      </c>
      <c r="F91" s="68"/>
      <c r="G91" s="68"/>
      <c r="H91" s="84"/>
      <c r="I91" s="69"/>
      <c r="J91" s="69"/>
    </row>
    <row r="92" spans="1:10" ht="15.75">
      <c r="A92" s="72" t="s">
        <v>105</v>
      </c>
      <c r="B92" s="85" t="s">
        <v>205</v>
      </c>
      <c r="C92" s="86" t="s">
        <v>16</v>
      </c>
      <c r="D92" s="87">
        <v>0.15</v>
      </c>
      <c r="E92" s="99">
        <f>D92*E91</f>
        <v>15.165000000000001</v>
      </c>
      <c r="F92" s="88"/>
      <c r="G92" s="89"/>
      <c r="H92" s="63"/>
      <c r="I92" s="69"/>
      <c r="J92" s="69"/>
    </row>
    <row r="93" spans="1:10" ht="15.75">
      <c r="A93" s="72" t="s">
        <v>106</v>
      </c>
      <c r="B93" s="102" t="s">
        <v>207</v>
      </c>
      <c r="C93" s="86" t="s">
        <v>16</v>
      </c>
      <c r="D93" s="153">
        <v>0.9</v>
      </c>
      <c r="E93" s="99">
        <f>E91*D93</f>
        <v>90.990000000000009</v>
      </c>
      <c r="F93" s="88"/>
      <c r="G93" s="89"/>
      <c r="H93" s="62"/>
      <c r="I93" s="69"/>
      <c r="J93" s="69"/>
    </row>
    <row r="94" spans="1:10" ht="15.75">
      <c r="A94" s="72" t="s">
        <v>107</v>
      </c>
      <c r="B94" s="102" t="s">
        <v>228</v>
      </c>
      <c r="C94" s="86" t="s">
        <v>11</v>
      </c>
      <c r="D94" s="87">
        <v>1.1000000000000001</v>
      </c>
      <c r="E94" s="99">
        <f>E91*D94</f>
        <v>111.21000000000002</v>
      </c>
      <c r="F94" s="88"/>
      <c r="G94" s="89"/>
      <c r="H94" s="62"/>
      <c r="I94" s="69"/>
      <c r="J94" s="69"/>
    </row>
    <row r="95" spans="1:10" ht="15.75">
      <c r="A95" s="72" t="s">
        <v>108</v>
      </c>
      <c r="B95" s="102" t="s">
        <v>229</v>
      </c>
      <c r="C95" s="86" t="s">
        <v>28</v>
      </c>
      <c r="D95" s="87">
        <v>0.2</v>
      </c>
      <c r="E95" s="99">
        <f>E91*D95</f>
        <v>20.220000000000002</v>
      </c>
      <c r="F95" s="88"/>
      <c r="G95" s="89"/>
      <c r="H95" s="62"/>
      <c r="I95" s="69"/>
      <c r="J95" s="69"/>
    </row>
    <row r="96" spans="1:10" ht="15.75">
      <c r="A96" s="58" t="s">
        <v>109</v>
      </c>
      <c r="B96" s="100" t="s">
        <v>110</v>
      </c>
      <c r="C96" s="159" t="s">
        <v>63</v>
      </c>
      <c r="D96" s="161"/>
      <c r="E96" s="94">
        <f>E91</f>
        <v>101.10000000000001</v>
      </c>
      <c r="F96" s="68"/>
      <c r="G96" s="68"/>
      <c r="H96" s="84"/>
      <c r="I96" s="69"/>
      <c r="J96" s="69"/>
    </row>
    <row r="97" spans="1:10" ht="15.75">
      <c r="A97" s="72" t="s">
        <v>111</v>
      </c>
      <c r="B97" s="85" t="s">
        <v>205</v>
      </c>
      <c r="C97" s="86" t="s">
        <v>28</v>
      </c>
      <c r="D97" s="87">
        <v>0.15</v>
      </c>
      <c r="E97" s="99">
        <f>E96*D97</f>
        <v>15.165000000000001</v>
      </c>
      <c r="F97" s="88"/>
      <c r="G97" s="89"/>
      <c r="H97" s="63"/>
      <c r="I97" s="69"/>
      <c r="J97" s="69"/>
    </row>
    <row r="98" spans="1:10" ht="15.75">
      <c r="A98" s="72" t="s">
        <v>112</v>
      </c>
      <c r="B98" s="162" t="s">
        <v>230</v>
      </c>
      <c r="C98" s="86" t="s">
        <v>28</v>
      </c>
      <c r="D98" s="87">
        <v>0.3</v>
      </c>
      <c r="E98" s="99">
        <f>E96*D98</f>
        <v>30.330000000000002</v>
      </c>
      <c r="F98" s="88"/>
      <c r="G98" s="89"/>
      <c r="H98" s="63"/>
      <c r="I98" s="69"/>
      <c r="J98" s="69"/>
    </row>
    <row r="99" spans="1:10" ht="31.5">
      <c r="A99" s="58" t="s">
        <v>233</v>
      </c>
      <c r="B99" s="100" t="s">
        <v>179</v>
      </c>
      <c r="C99" s="65" t="s">
        <v>63</v>
      </c>
      <c r="D99" s="82"/>
      <c r="E99" s="94">
        <f>22.2*3</f>
        <v>66.599999999999994</v>
      </c>
      <c r="F99" s="68"/>
      <c r="G99" s="68"/>
      <c r="H99" s="84"/>
      <c r="I99" s="69"/>
      <c r="J99" s="69"/>
    </row>
    <row r="100" spans="1:10" ht="15.75">
      <c r="A100" s="72" t="s">
        <v>234</v>
      </c>
      <c r="B100" s="73" t="s">
        <v>197</v>
      </c>
      <c r="C100" s="86" t="s">
        <v>11</v>
      </c>
      <c r="D100" s="87">
        <v>1.05</v>
      </c>
      <c r="E100" s="99">
        <f>E99*D100</f>
        <v>69.929999999999993</v>
      </c>
      <c r="F100" s="88"/>
      <c r="G100" s="89"/>
      <c r="H100" s="62"/>
      <c r="I100" s="69"/>
      <c r="J100" s="69"/>
    </row>
    <row r="101" spans="1:10" ht="15.75" customHeight="1">
      <c r="A101" s="72" t="s">
        <v>235</v>
      </c>
      <c r="B101" s="85" t="s">
        <v>219</v>
      </c>
      <c r="C101" s="86" t="s">
        <v>33</v>
      </c>
      <c r="D101" s="87">
        <v>1.1000000000000001</v>
      </c>
      <c r="E101" s="99">
        <f>E$79*D101</f>
        <v>111.21000000000002</v>
      </c>
      <c r="F101" s="88"/>
      <c r="G101" s="89"/>
      <c r="H101" s="62"/>
      <c r="I101" s="69"/>
      <c r="J101" s="69"/>
    </row>
    <row r="102" spans="1:10" ht="15.75">
      <c r="A102" s="72" t="s">
        <v>236</v>
      </c>
      <c r="B102" s="85" t="s">
        <v>220</v>
      </c>
      <c r="C102" s="86" t="s">
        <v>33</v>
      </c>
      <c r="D102" s="87">
        <v>2.9</v>
      </c>
      <c r="E102" s="99">
        <f t="shared" ref="E102:E103" si="1">E$79*D102</f>
        <v>293.19</v>
      </c>
      <c r="F102" s="88"/>
      <c r="G102" s="89"/>
      <c r="H102" s="62"/>
      <c r="I102" s="69"/>
      <c r="J102" s="69"/>
    </row>
    <row r="103" spans="1:10" ht="15.75">
      <c r="A103" s="72" t="s">
        <v>237</v>
      </c>
      <c r="B103" s="85" t="s">
        <v>221</v>
      </c>
      <c r="C103" s="86" t="s">
        <v>24</v>
      </c>
      <c r="D103" s="87">
        <v>2.2000000000000002</v>
      </c>
      <c r="E103" s="99">
        <f t="shared" si="1"/>
        <v>222.42000000000004</v>
      </c>
      <c r="F103" s="88"/>
      <c r="G103" s="89"/>
      <c r="H103" s="62"/>
      <c r="I103" s="69"/>
      <c r="J103" s="69"/>
    </row>
    <row r="104" spans="1:10" ht="15.75">
      <c r="A104" s="72" t="s">
        <v>238</v>
      </c>
      <c r="B104" s="85" t="s">
        <v>222</v>
      </c>
      <c r="C104" s="86" t="s">
        <v>24</v>
      </c>
      <c r="D104" s="87">
        <v>1.7</v>
      </c>
      <c r="E104" s="99">
        <f>E$79*D104</f>
        <v>171.87</v>
      </c>
      <c r="F104" s="88"/>
      <c r="G104" s="89"/>
      <c r="H104" s="62"/>
      <c r="I104" s="69"/>
      <c r="J104" s="69"/>
    </row>
    <row r="105" spans="1:10" ht="15.75">
      <c r="A105" s="72" t="s">
        <v>239</v>
      </c>
      <c r="B105" s="85" t="s">
        <v>223</v>
      </c>
      <c r="C105" s="86" t="s">
        <v>24</v>
      </c>
      <c r="D105" s="87">
        <v>23</v>
      </c>
      <c r="E105" s="99">
        <f t="shared" ref="E105:E110" si="2">E$79*D105</f>
        <v>2325.3000000000002</v>
      </c>
      <c r="F105" s="88"/>
      <c r="G105" s="89"/>
      <c r="H105" s="62"/>
      <c r="I105" s="69"/>
      <c r="J105" s="69"/>
    </row>
    <row r="106" spans="1:10" ht="15.75">
      <c r="A106" s="72" t="s">
        <v>240</v>
      </c>
      <c r="B106" s="85" t="s">
        <v>224</v>
      </c>
      <c r="C106" s="86" t="s">
        <v>24</v>
      </c>
      <c r="D106" s="87">
        <v>20</v>
      </c>
      <c r="E106" s="99">
        <f t="shared" si="2"/>
        <v>2022.0000000000002</v>
      </c>
      <c r="F106" s="88"/>
      <c r="G106" s="89"/>
      <c r="H106" s="62"/>
      <c r="I106" s="69"/>
      <c r="J106" s="69"/>
    </row>
    <row r="107" spans="1:10" ht="15.75">
      <c r="A107" s="72" t="s">
        <v>241</v>
      </c>
      <c r="B107" s="85" t="s">
        <v>225</v>
      </c>
      <c r="C107" s="86" t="s">
        <v>24</v>
      </c>
      <c r="D107" s="87">
        <v>2</v>
      </c>
      <c r="E107" s="99">
        <f t="shared" si="2"/>
        <v>202.20000000000002</v>
      </c>
      <c r="F107" s="88"/>
      <c r="G107" s="89"/>
      <c r="H107" s="62"/>
      <c r="I107" s="69"/>
      <c r="J107" s="69"/>
    </row>
    <row r="108" spans="1:10" ht="15.75">
      <c r="A108" s="72" t="s">
        <v>242</v>
      </c>
      <c r="B108" s="85" t="s">
        <v>226</v>
      </c>
      <c r="C108" s="86" t="s">
        <v>24</v>
      </c>
      <c r="D108" s="87">
        <v>1.3</v>
      </c>
      <c r="E108" s="99">
        <f t="shared" si="2"/>
        <v>131.43</v>
      </c>
      <c r="F108" s="88"/>
      <c r="G108" s="89"/>
      <c r="H108" s="62"/>
      <c r="I108" s="69"/>
      <c r="J108" s="69"/>
    </row>
    <row r="109" spans="1:10" ht="15.75">
      <c r="A109" s="72" t="s">
        <v>243</v>
      </c>
      <c r="B109" s="85" t="s">
        <v>192</v>
      </c>
      <c r="C109" s="86" t="s">
        <v>33</v>
      </c>
      <c r="D109" s="87">
        <v>1.05</v>
      </c>
      <c r="E109" s="99">
        <f t="shared" si="2"/>
        <v>106.15500000000002</v>
      </c>
      <c r="F109" s="88"/>
      <c r="G109" s="89"/>
      <c r="H109" s="62"/>
      <c r="I109" s="69"/>
      <c r="J109" s="69"/>
    </row>
    <row r="110" spans="1:10" ht="15.75">
      <c r="A110" s="72" t="s">
        <v>244</v>
      </c>
      <c r="B110" s="85" t="s">
        <v>227</v>
      </c>
      <c r="C110" s="86" t="s">
        <v>16</v>
      </c>
      <c r="D110" s="87">
        <v>0.3</v>
      </c>
      <c r="E110" s="99">
        <f t="shared" si="2"/>
        <v>30.330000000000002</v>
      </c>
      <c r="F110" s="88"/>
      <c r="G110" s="89"/>
      <c r="H110" s="62"/>
      <c r="I110" s="69"/>
      <c r="J110" s="69"/>
    </row>
    <row r="111" spans="1:10" ht="31.5">
      <c r="A111" s="58" t="s">
        <v>245</v>
      </c>
      <c r="B111" s="100" t="s">
        <v>104</v>
      </c>
      <c r="C111" s="159" t="s">
        <v>63</v>
      </c>
      <c r="D111" s="160"/>
      <c r="E111" s="94">
        <f>E99</f>
        <v>66.599999999999994</v>
      </c>
      <c r="F111" s="68"/>
      <c r="G111" s="68"/>
      <c r="H111" s="84"/>
      <c r="I111" s="69"/>
      <c r="J111" s="69"/>
    </row>
    <row r="112" spans="1:10" ht="15.75">
      <c r="A112" s="72" t="s">
        <v>246</v>
      </c>
      <c r="B112" s="85" t="s">
        <v>205</v>
      </c>
      <c r="C112" s="86" t="s">
        <v>16</v>
      </c>
      <c r="D112" s="87">
        <v>0.15</v>
      </c>
      <c r="E112" s="99">
        <f>D112*E111</f>
        <v>9.9899999999999984</v>
      </c>
      <c r="F112" s="88"/>
      <c r="G112" s="89"/>
      <c r="H112" s="63"/>
      <c r="I112" s="69"/>
      <c r="J112" s="69"/>
    </row>
    <row r="113" spans="1:13" ht="15.75">
      <c r="A113" s="72" t="s">
        <v>247</v>
      </c>
      <c r="B113" s="102" t="s">
        <v>207</v>
      </c>
      <c r="C113" s="86" t="s">
        <v>16</v>
      </c>
      <c r="D113" s="153">
        <v>0.9</v>
      </c>
      <c r="E113" s="99">
        <f>E111*D113</f>
        <v>59.94</v>
      </c>
      <c r="F113" s="88"/>
      <c r="G113" s="89"/>
      <c r="H113" s="62"/>
      <c r="I113" s="69"/>
      <c r="J113" s="69"/>
    </row>
    <row r="114" spans="1:13" ht="15.75">
      <c r="A114" s="72" t="s">
        <v>248</v>
      </c>
      <c r="B114" s="102" t="s">
        <v>228</v>
      </c>
      <c r="C114" s="86" t="s">
        <v>11</v>
      </c>
      <c r="D114" s="87">
        <v>1.1000000000000001</v>
      </c>
      <c r="E114" s="99">
        <f>E111*D114</f>
        <v>73.260000000000005</v>
      </c>
      <c r="F114" s="88"/>
      <c r="G114" s="89"/>
      <c r="H114" s="62"/>
      <c r="I114" s="69"/>
      <c r="J114" s="69"/>
    </row>
    <row r="115" spans="1:13" ht="15.75">
      <c r="A115" s="72" t="s">
        <v>249</v>
      </c>
      <c r="B115" s="102" t="s">
        <v>229</v>
      </c>
      <c r="C115" s="86" t="s">
        <v>28</v>
      </c>
      <c r="D115" s="87">
        <v>0.2</v>
      </c>
      <c r="E115" s="99">
        <f>E111*D115</f>
        <v>13.32</v>
      </c>
      <c r="F115" s="88"/>
      <c r="G115" s="89"/>
      <c r="H115" s="62"/>
      <c r="I115" s="69"/>
      <c r="J115" s="69"/>
    </row>
    <row r="116" spans="1:13" ht="15.75">
      <c r="A116" s="58" t="s">
        <v>250</v>
      </c>
      <c r="B116" s="100" t="s">
        <v>110</v>
      </c>
      <c r="C116" s="159" t="s">
        <v>63</v>
      </c>
      <c r="D116" s="161"/>
      <c r="E116" s="94">
        <f>E111</f>
        <v>66.599999999999994</v>
      </c>
      <c r="F116" s="68"/>
      <c r="G116" s="68"/>
      <c r="H116" s="84"/>
      <c r="I116" s="69"/>
      <c r="J116" s="69"/>
    </row>
    <row r="117" spans="1:13" ht="15.75">
      <c r="A117" s="72" t="s">
        <v>251</v>
      </c>
      <c r="B117" s="85" t="s">
        <v>205</v>
      </c>
      <c r="C117" s="86" t="s">
        <v>28</v>
      </c>
      <c r="D117" s="87">
        <v>0.15</v>
      </c>
      <c r="E117" s="99">
        <f>E116*D117</f>
        <v>9.9899999999999984</v>
      </c>
      <c r="F117" s="88"/>
      <c r="G117" s="89"/>
      <c r="H117" s="63"/>
      <c r="I117" s="69"/>
      <c r="J117" s="69"/>
    </row>
    <row r="118" spans="1:13" ht="15.75">
      <c r="A118" s="72" t="s">
        <v>252</v>
      </c>
      <c r="B118" s="162" t="s">
        <v>230</v>
      </c>
      <c r="C118" s="86" t="s">
        <v>28</v>
      </c>
      <c r="D118" s="87">
        <v>0.3</v>
      </c>
      <c r="E118" s="99">
        <f>E116*D118</f>
        <v>19.979999999999997</v>
      </c>
      <c r="F118" s="88"/>
      <c r="G118" s="89"/>
      <c r="H118" s="63"/>
      <c r="I118" s="69"/>
      <c r="J118" s="69"/>
    </row>
    <row r="119" spans="1:13" s="36" customFormat="1" ht="46.5">
      <c r="A119" s="58" t="s">
        <v>253</v>
      </c>
      <c r="B119" s="104" t="s">
        <v>294</v>
      </c>
      <c r="C119" s="131" t="s">
        <v>33</v>
      </c>
      <c r="D119" s="82"/>
      <c r="E119" s="163">
        <f>1.4*3*2</f>
        <v>8.3999999999999986</v>
      </c>
      <c r="F119" s="68"/>
      <c r="G119" s="68"/>
      <c r="H119" s="84"/>
      <c r="I119" s="69"/>
      <c r="J119" s="69"/>
      <c r="M119" s="91"/>
    </row>
    <row r="120" spans="1:13" s="36" customFormat="1" ht="15.75">
      <c r="A120" s="72" t="s">
        <v>254</v>
      </c>
      <c r="B120" s="102" t="s">
        <v>196</v>
      </c>
      <c r="C120" s="86" t="s">
        <v>11</v>
      </c>
      <c r="D120" s="87">
        <f>1.05*0.04</f>
        <v>4.2000000000000003E-2</v>
      </c>
      <c r="E120" s="99">
        <f>D120*E119</f>
        <v>0.35279999999999995</v>
      </c>
      <c r="F120" s="88"/>
      <c r="G120" s="89"/>
      <c r="H120" s="62"/>
      <c r="I120" s="69"/>
      <c r="J120" s="69"/>
      <c r="M120" s="91"/>
    </row>
    <row r="121" spans="1:13" s="36" customFormat="1" ht="15.75">
      <c r="A121" s="72" t="s">
        <v>255</v>
      </c>
      <c r="B121" s="102" t="s">
        <v>219</v>
      </c>
      <c r="C121" s="86" t="s">
        <v>33</v>
      </c>
      <c r="D121" s="87">
        <f>2.2</f>
        <v>2.2000000000000002</v>
      </c>
      <c r="E121" s="99">
        <f>D121*E119</f>
        <v>18.479999999999997</v>
      </c>
      <c r="F121" s="88"/>
      <c r="G121" s="89"/>
      <c r="H121" s="62"/>
      <c r="I121" s="69"/>
      <c r="J121" s="69"/>
      <c r="M121" s="91"/>
    </row>
    <row r="122" spans="1:13" s="36" customFormat="1" ht="15.75">
      <c r="A122" s="72" t="s">
        <v>256</v>
      </c>
      <c r="B122" s="102" t="s">
        <v>223</v>
      </c>
      <c r="C122" s="86" t="s">
        <v>24</v>
      </c>
      <c r="D122" s="87">
        <f>6</f>
        <v>6</v>
      </c>
      <c r="E122" s="99">
        <f>D122*E119</f>
        <v>50.399999999999991</v>
      </c>
      <c r="F122" s="88"/>
      <c r="G122" s="89"/>
      <c r="H122" s="62"/>
      <c r="I122" s="69"/>
      <c r="J122" s="69"/>
      <c r="M122" s="91"/>
    </row>
    <row r="123" spans="1:13" s="36" customFormat="1" ht="15.75">
      <c r="A123" s="72" t="s">
        <v>257</v>
      </c>
      <c r="B123" s="102" t="s">
        <v>224</v>
      </c>
      <c r="C123" s="86" t="s">
        <v>24</v>
      </c>
      <c r="D123" s="87">
        <f>8</f>
        <v>8</v>
      </c>
      <c r="E123" s="99">
        <f>D123*E119</f>
        <v>67.199999999999989</v>
      </c>
      <c r="F123" s="88"/>
      <c r="G123" s="89"/>
      <c r="H123" s="62"/>
      <c r="I123" s="69"/>
      <c r="J123" s="69"/>
      <c r="M123" s="91"/>
    </row>
    <row r="124" spans="1:13" s="36" customFormat="1" ht="15.75">
      <c r="A124" s="72" t="s">
        <v>258</v>
      </c>
      <c r="B124" s="102" t="s">
        <v>225</v>
      </c>
      <c r="C124" s="86" t="s">
        <v>24</v>
      </c>
      <c r="D124" s="87">
        <f>6</f>
        <v>6</v>
      </c>
      <c r="E124" s="99">
        <f>D124*E119</f>
        <v>50.399999999999991</v>
      </c>
      <c r="F124" s="88"/>
      <c r="G124" s="89"/>
      <c r="H124" s="62"/>
      <c r="I124" s="69"/>
      <c r="J124" s="69"/>
      <c r="M124" s="91"/>
    </row>
    <row r="125" spans="1:13" s="36" customFormat="1" ht="15.75">
      <c r="A125" s="72" t="s">
        <v>259</v>
      </c>
      <c r="B125" s="102" t="s">
        <v>193</v>
      </c>
      <c r="C125" s="86" t="s">
        <v>33</v>
      </c>
      <c r="D125" s="87">
        <f>1.2</f>
        <v>1.2</v>
      </c>
      <c r="E125" s="99">
        <f>D125*E119</f>
        <v>10.079999999999998</v>
      </c>
      <c r="F125" s="88"/>
      <c r="G125" s="89"/>
      <c r="H125" s="62"/>
      <c r="I125" s="69"/>
      <c r="J125" s="69"/>
      <c r="M125" s="91"/>
    </row>
    <row r="126" spans="1:13" s="36" customFormat="1" ht="15.75">
      <c r="A126" s="72" t="s">
        <v>260</v>
      </c>
      <c r="B126" s="102" t="s">
        <v>216</v>
      </c>
      <c r="C126" s="86" t="s">
        <v>16</v>
      </c>
      <c r="D126" s="87">
        <f>0.3*0.04</f>
        <v>1.2E-2</v>
      </c>
      <c r="E126" s="99">
        <f>D126*E119</f>
        <v>0.10079999999999999</v>
      </c>
      <c r="F126" s="88"/>
      <c r="G126" s="89"/>
      <c r="H126" s="62"/>
      <c r="I126" s="69"/>
      <c r="J126" s="69"/>
      <c r="M126" s="91"/>
    </row>
    <row r="127" spans="1:13" s="36" customFormat="1" ht="46.5">
      <c r="A127" s="58" t="s">
        <v>261</v>
      </c>
      <c r="B127" s="104" t="s">
        <v>295</v>
      </c>
      <c r="C127" s="131" t="s">
        <v>33</v>
      </c>
      <c r="D127" s="164"/>
      <c r="E127" s="163">
        <f>E119</f>
        <v>8.3999999999999986</v>
      </c>
      <c r="F127" s="68"/>
      <c r="G127" s="68"/>
      <c r="H127" s="84"/>
      <c r="I127" s="69"/>
      <c r="J127" s="69"/>
      <c r="M127" s="91"/>
    </row>
    <row r="128" spans="1:13" s="36" customFormat="1" ht="15.75">
      <c r="A128" s="72" t="s">
        <v>262</v>
      </c>
      <c r="B128" s="85" t="s">
        <v>205</v>
      </c>
      <c r="C128" s="86" t="s">
        <v>16</v>
      </c>
      <c r="D128" s="87">
        <f>0.15*0.04</f>
        <v>6.0000000000000001E-3</v>
      </c>
      <c r="E128" s="99">
        <f>E127*D128</f>
        <v>5.0399999999999993E-2</v>
      </c>
      <c r="F128" s="88"/>
      <c r="G128" s="89"/>
      <c r="H128" s="63"/>
      <c r="I128" s="69"/>
      <c r="J128" s="69"/>
      <c r="M128" s="91"/>
    </row>
    <row r="129" spans="1:13" s="36" customFormat="1" ht="15.75">
      <c r="A129" s="72" t="s">
        <v>263</v>
      </c>
      <c r="B129" s="102" t="s">
        <v>207</v>
      </c>
      <c r="C129" s="86" t="s">
        <v>16</v>
      </c>
      <c r="D129" s="87">
        <f>0.9*0.04</f>
        <v>3.6000000000000004E-2</v>
      </c>
      <c r="E129" s="99">
        <f>E127*D129</f>
        <v>0.3024</v>
      </c>
      <c r="F129" s="88"/>
      <c r="G129" s="89"/>
      <c r="H129" s="62"/>
      <c r="I129" s="69"/>
      <c r="J129" s="69"/>
      <c r="M129" s="91"/>
    </row>
    <row r="130" spans="1:13" s="36" customFormat="1" ht="15.75">
      <c r="A130" s="72" t="s">
        <v>264</v>
      </c>
      <c r="B130" s="102" t="s">
        <v>228</v>
      </c>
      <c r="C130" s="86" t="s">
        <v>11</v>
      </c>
      <c r="D130" s="87">
        <f>1.1*0.04</f>
        <v>4.4000000000000004E-2</v>
      </c>
      <c r="E130" s="99">
        <f>E127*D130</f>
        <v>0.36959999999999998</v>
      </c>
      <c r="F130" s="88"/>
      <c r="G130" s="89"/>
      <c r="H130" s="62"/>
      <c r="I130" s="69"/>
      <c r="J130" s="69"/>
      <c r="M130" s="91"/>
    </row>
    <row r="131" spans="1:13" s="36" customFormat="1" ht="15.75">
      <c r="A131" s="72" t="s">
        <v>265</v>
      </c>
      <c r="B131" s="102" t="s">
        <v>229</v>
      </c>
      <c r="C131" s="86" t="s">
        <v>28</v>
      </c>
      <c r="D131" s="87">
        <f>0.2*0.04</f>
        <v>8.0000000000000002E-3</v>
      </c>
      <c r="E131" s="99">
        <f>E127*D131</f>
        <v>6.7199999999999996E-2</v>
      </c>
      <c r="F131" s="88"/>
      <c r="G131" s="89"/>
      <c r="H131" s="62"/>
      <c r="I131" s="69"/>
      <c r="J131" s="69"/>
      <c r="M131" s="91"/>
    </row>
    <row r="132" spans="1:13" s="36" customFormat="1" ht="30.75">
      <c r="A132" s="58" t="s">
        <v>266</v>
      </c>
      <c r="B132" s="104" t="s">
        <v>296</v>
      </c>
      <c r="C132" s="131" t="s">
        <v>33</v>
      </c>
      <c r="D132" s="131"/>
      <c r="E132" s="94">
        <f>E127</f>
        <v>8.3999999999999986</v>
      </c>
      <c r="F132" s="68"/>
      <c r="G132" s="68"/>
      <c r="H132" s="84"/>
      <c r="I132" s="69"/>
      <c r="J132" s="69"/>
      <c r="M132" s="91"/>
    </row>
    <row r="133" spans="1:13" s="36" customFormat="1" ht="15.75">
      <c r="A133" s="72" t="s">
        <v>267</v>
      </c>
      <c r="B133" s="85" t="s">
        <v>205</v>
      </c>
      <c r="C133" s="165" t="s">
        <v>28</v>
      </c>
      <c r="D133" s="166">
        <f>0.15*0.04</f>
        <v>6.0000000000000001E-3</v>
      </c>
      <c r="E133" s="99">
        <f>E132*D133</f>
        <v>5.0399999999999993E-2</v>
      </c>
      <c r="F133" s="88"/>
      <c r="G133" s="89"/>
      <c r="H133" s="63"/>
      <c r="I133" s="69"/>
      <c r="J133" s="69"/>
      <c r="M133" s="91"/>
    </row>
    <row r="134" spans="1:13" s="36" customFormat="1" ht="15.75">
      <c r="A134" s="72" t="s">
        <v>268</v>
      </c>
      <c r="B134" s="162" t="s">
        <v>230</v>
      </c>
      <c r="C134" s="165" t="s">
        <v>28</v>
      </c>
      <c r="D134" s="166">
        <f>0.3*0.04</f>
        <v>1.2E-2</v>
      </c>
      <c r="E134" s="99">
        <f>E132*D134</f>
        <v>0.10079999999999999</v>
      </c>
      <c r="F134" s="88"/>
      <c r="G134" s="89"/>
      <c r="H134" s="62"/>
      <c r="I134" s="69"/>
      <c r="J134" s="69"/>
      <c r="M134" s="91"/>
    </row>
    <row r="135" spans="1:13" s="95" customFormat="1" ht="31.5">
      <c r="A135" s="58" t="s">
        <v>113</v>
      </c>
      <c r="B135" s="100" t="s">
        <v>123</v>
      </c>
      <c r="C135" s="159" t="s">
        <v>63</v>
      </c>
      <c r="D135" s="160"/>
      <c r="E135" s="83">
        <f>(21.75+21.75)*3+4.5*1.4*2</f>
        <v>143.1</v>
      </c>
      <c r="F135" s="68"/>
      <c r="G135" s="68"/>
      <c r="H135" s="84"/>
      <c r="I135" s="69"/>
      <c r="J135" s="69"/>
      <c r="M135" s="96"/>
    </row>
    <row r="136" spans="1:13" s="95" customFormat="1">
      <c r="A136" s="72" t="s">
        <v>114</v>
      </c>
      <c r="B136" s="73" t="s">
        <v>191</v>
      </c>
      <c r="C136" s="74" t="s">
        <v>16</v>
      </c>
      <c r="D136" s="74">
        <v>0.3</v>
      </c>
      <c r="E136" s="75">
        <f>D136*E135</f>
        <v>42.93</v>
      </c>
      <c r="F136" s="76"/>
      <c r="G136" s="76"/>
      <c r="H136" s="63"/>
      <c r="I136" s="69"/>
      <c r="J136" s="69"/>
      <c r="M136" s="96"/>
    </row>
    <row r="137" spans="1:13" s="95" customFormat="1" ht="15.75">
      <c r="A137" s="72" t="s">
        <v>115</v>
      </c>
      <c r="B137" s="102" t="s">
        <v>207</v>
      </c>
      <c r="C137" s="86" t="s">
        <v>16</v>
      </c>
      <c r="D137" s="87">
        <v>0.9</v>
      </c>
      <c r="E137" s="99">
        <f>E135*D137</f>
        <v>128.79</v>
      </c>
      <c r="F137" s="88"/>
      <c r="G137" s="89"/>
      <c r="H137" s="62"/>
      <c r="I137" s="69"/>
      <c r="J137" s="69"/>
      <c r="M137" s="96"/>
    </row>
    <row r="138" spans="1:13" s="36" customFormat="1" ht="15.75">
      <c r="A138" s="72" t="s">
        <v>116</v>
      </c>
      <c r="B138" s="85" t="s">
        <v>205</v>
      </c>
      <c r="C138" s="165" t="s">
        <v>28</v>
      </c>
      <c r="D138" s="87">
        <v>0.15</v>
      </c>
      <c r="E138" s="99">
        <f>E135*D138</f>
        <v>21.465</v>
      </c>
      <c r="F138" s="88"/>
      <c r="G138" s="89"/>
      <c r="H138" s="63"/>
      <c r="I138" s="69"/>
      <c r="J138" s="69"/>
      <c r="M138" s="91"/>
    </row>
    <row r="139" spans="1:13" s="95" customFormat="1" ht="15.75">
      <c r="A139" s="72" t="s">
        <v>117</v>
      </c>
      <c r="B139" s="85" t="s">
        <v>30</v>
      </c>
      <c r="C139" s="86" t="s">
        <v>16</v>
      </c>
      <c r="D139" s="87">
        <v>1.5</v>
      </c>
      <c r="E139" s="99">
        <f>E135*D139</f>
        <v>214.64999999999998</v>
      </c>
      <c r="F139" s="88"/>
      <c r="G139" s="89"/>
      <c r="H139" s="62"/>
      <c r="I139" s="69"/>
      <c r="J139" s="69"/>
      <c r="M139" s="96"/>
    </row>
    <row r="140" spans="1:13" s="95" customFormat="1" ht="15.75">
      <c r="A140" s="72" t="s">
        <v>118</v>
      </c>
      <c r="B140" s="102" t="s">
        <v>228</v>
      </c>
      <c r="C140" s="86" t="s">
        <v>11</v>
      </c>
      <c r="D140" s="87">
        <v>1.1000000000000001</v>
      </c>
      <c r="E140" s="99">
        <f>E135*D140</f>
        <v>157.41</v>
      </c>
      <c r="F140" s="88"/>
      <c r="G140" s="89"/>
      <c r="H140" s="62"/>
      <c r="I140" s="69"/>
      <c r="J140" s="69"/>
      <c r="M140" s="96"/>
    </row>
    <row r="141" spans="1:13" s="95" customFormat="1" ht="15.75">
      <c r="A141" s="72" t="s">
        <v>119</v>
      </c>
      <c r="B141" s="102" t="s">
        <v>229</v>
      </c>
      <c r="C141" s="86" t="s">
        <v>28</v>
      </c>
      <c r="D141" s="87">
        <v>0.2</v>
      </c>
      <c r="E141" s="99">
        <f>E135*D141</f>
        <v>28.62</v>
      </c>
      <c r="F141" s="88"/>
      <c r="G141" s="89"/>
      <c r="H141" s="62"/>
      <c r="I141" s="69"/>
      <c r="J141" s="69"/>
      <c r="M141" s="96"/>
    </row>
    <row r="142" spans="1:13" s="95" customFormat="1" ht="15.75">
      <c r="A142" s="58" t="s">
        <v>120</v>
      </c>
      <c r="B142" s="100" t="s">
        <v>110</v>
      </c>
      <c r="C142" s="159" t="s">
        <v>63</v>
      </c>
      <c r="D142" s="161"/>
      <c r="E142" s="94">
        <f>E135</f>
        <v>143.1</v>
      </c>
      <c r="F142" s="68"/>
      <c r="G142" s="68"/>
      <c r="H142" s="62"/>
      <c r="I142" s="69"/>
      <c r="J142" s="69"/>
      <c r="M142" s="96"/>
    </row>
    <row r="143" spans="1:13" s="95" customFormat="1" ht="15.75">
      <c r="A143" s="72" t="s">
        <v>121</v>
      </c>
      <c r="B143" s="85" t="s">
        <v>205</v>
      </c>
      <c r="C143" s="86" t="s">
        <v>28</v>
      </c>
      <c r="D143" s="87">
        <v>0.15</v>
      </c>
      <c r="E143" s="99">
        <f>D143*E142</f>
        <v>21.465</v>
      </c>
      <c r="F143" s="88"/>
      <c r="G143" s="89"/>
      <c r="H143" s="62"/>
      <c r="I143" s="69"/>
      <c r="J143" s="69"/>
      <c r="M143" s="96"/>
    </row>
    <row r="144" spans="1:13" s="95" customFormat="1" ht="15.75">
      <c r="A144" s="72" t="s">
        <v>122</v>
      </c>
      <c r="B144" s="162" t="s">
        <v>230</v>
      </c>
      <c r="C144" s="86" t="s">
        <v>28</v>
      </c>
      <c r="D144" s="87">
        <v>0.3</v>
      </c>
      <c r="E144" s="99">
        <f>D144*E142</f>
        <v>42.93</v>
      </c>
      <c r="F144" s="88"/>
      <c r="G144" s="89"/>
      <c r="H144" s="62"/>
      <c r="I144" s="69"/>
      <c r="J144" s="69"/>
      <c r="M144" s="96"/>
    </row>
    <row r="145" spans="1:13" ht="18">
      <c r="A145" s="58" t="s">
        <v>124</v>
      </c>
      <c r="B145" s="59" t="s">
        <v>125</v>
      </c>
      <c r="C145" s="98"/>
      <c r="D145" s="61"/>
      <c r="E145" s="61"/>
      <c r="F145" s="103"/>
      <c r="G145" s="158"/>
      <c r="H145" s="84"/>
      <c r="I145" s="63"/>
      <c r="J145" s="63"/>
    </row>
    <row r="146" spans="1:13" s="95" customFormat="1" ht="15.75">
      <c r="A146" s="58" t="s">
        <v>126</v>
      </c>
      <c r="B146" s="167" t="s">
        <v>171</v>
      </c>
      <c r="C146" s="65" t="s">
        <v>11</v>
      </c>
      <c r="D146" s="98"/>
      <c r="E146" s="168">
        <f>29.16*2*3</f>
        <v>174.96</v>
      </c>
      <c r="F146" s="68"/>
      <c r="G146" s="68"/>
      <c r="H146" s="84"/>
      <c r="I146" s="69"/>
      <c r="J146" s="69"/>
      <c r="L146" s="169"/>
      <c r="M146" s="96"/>
    </row>
    <row r="147" spans="1:13" s="95" customFormat="1" ht="15.75">
      <c r="A147" s="72" t="s">
        <v>127</v>
      </c>
      <c r="B147" s="85" t="s">
        <v>205</v>
      </c>
      <c r="C147" s="86" t="s">
        <v>28</v>
      </c>
      <c r="D147" s="87">
        <v>0.15</v>
      </c>
      <c r="E147" s="170">
        <f>E146*D147</f>
        <v>26.244</v>
      </c>
      <c r="F147" s="88"/>
      <c r="G147" s="89"/>
      <c r="H147" s="63"/>
      <c r="I147" s="69"/>
      <c r="J147" s="69"/>
      <c r="M147" s="96"/>
    </row>
    <row r="148" spans="1:13" s="122" customFormat="1">
      <c r="A148" s="72" t="s">
        <v>128</v>
      </c>
      <c r="B148" s="114" t="s">
        <v>169</v>
      </c>
      <c r="C148" s="171" t="s">
        <v>11</v>
      </c>
      <c r="D148" s="115">
        <v>1.1000000000000001</v>
      </c>
      <c r="E148" s="172">
        <f>E146*D148</f>
        <v>192.45600000000002</v>
      </c>
      <c r="F148" s="173"/>
      <c r="G148" s="174"/>
      <c r="H148" s="120"/>
      <c r="I148" s="69"/>
      <c r="J148" s="121"/>
      <c r="M148" s="123"/>
    </row>
    <row r="149" spans="1:13" s="36" customFormat="1" ht="15.75">
      <c r="A149" s="72" t="s">
        <v>129</v>
      </c>
      <c r="B149" s="124" t="s">
        <v>172</v>
      </c>
      <c r="C149" s="86" t="s">
        <v>16</v>
      </c>
      <c r="D149" s="87">
        <v>7.5</v>
      </c>
      <c r="E149" s="175">
        <f>D149*E146</f>
        <v>1312.2</v>
      </c>
      <c r="F149" s="88"/>
      <c r="G149" s="89"/>
      <c r="H149" s="62"/>
      <c r="I149" s="69"/>
      <c r="J149" s="69"/>
      <c r="M149" s="91"/>
    </row>
    <row r="150" spans="1:13" s="36" customFormat="1" ht="15.75">
      <c r="A150" s="72" t="s">
        <v>130</v>
      </c>
      <c r="B150" s="112" t="s">
        <v>231</v>
      </c>
      <c r="C150" s="86" t="s">
        <v>16</v>
      </c>
      <c r="D150" s="87">
        <v>0.3</v>
      </c>
      <c r="E150" s="176">
        <f>E146*D150</f>
        <v>52.488</v>
      </c>
      <c r="F150" s="88"/>
      <c r="G150" s="89"/>
      <c r="H150" s="62"/>
      <c r="I150" s="69"/>
      <c r="J150" s="69"/>
      <c r="M150" s="91"/>
    </row>
    <row r="151" spans="1:13" s="36" customFormat="1" ht="15.75">
      <c r="A151" s="58" t="s">
        <v>131</v>
      </c>
      <c r="B151" s="81" t="s">
        <v>168</v>
      </c>
      <c r="C151" s="65" t="s">
        <v>11</v>
      </c>
      <c r="D151" s="82"/>
      <c r="E151" s="68">
        <f>13.48*2*3</f>
        <v>80.88</v>
      </c>
      <c r="F151" s="68"/>
      <c r="G151" s="68"/>
      <c r="H151" s="84"/>
      <c r="I151" s="69"/>
      <c r="J151" s="69"/>
      <c r="M151" s="91"/>
    </row>
    <row r="152" spans="1:13" s="36" customFormat="1" ht="15.75">
      <c r="A152" s="72" t="s">
        <v>132</v>
      </c>
      <c r="B152" s="85" t="s">
        <v>205</v>
      </c>
      <c r="C152" s="86" t="s">
        <v>28</v>
      </c>
      <c r="D152" s="87">
        <v>0.15</v>
      </c>
      <c r="E152" s="111">
        <f>E151*D152</f>
        <v>12.132</v>
      </c>
      <c r="F152" s="88"/>
      <c r="G152" s="89"/>
      <c r="H152" s="63"/>
      <c r="I152" s="69"/>
      <c r="J152" s="69"/>
      <c r="M152" s="91"/>
    </row>
    <row r="153" spans="1:13" s="36" customFormat="1" ht="15.75">
      <c r="A153" s="72" t="s">
        <v>133</v>
      </c>
      <c r="B153" s="114" t="s">
        <v>169</v>
      </c>
      <c r="C153" s="52" t="s">
        <v>11</v>
      </c>
      <c r="D153" s="115">
        <v>1.1000000000000001</v>
      </c>
      <c r="E153" s="172">
        <f>E151*D153</f>
        <v>88.968000000000004</v>
      </c>
      <c r="F153" s="88"/>
      <c r="G153" s="89"/>
      <c r="H153" s="63"/>
      <c r="I153" s="69"/>
      <c r="J153" s="69"/>
      <c r="M153" s="91"/>
    </row>
    <row r="154" spans="1:13" s="95" customFormat="1" ht="15.75">
      <c r="A154" s="72" t="s">
        <v>134</v>
      </c>
      <c r="B154" s="124" t="s">
        <v>172</v>
      </c>
      <c r="C154" s="86" t="s">
        <v>16</v>
      </c>
      <c r="D154" s="87">
        <v>7.5</v>
      </c>
      <c r="E154" s="111">
        <f>E151*D154</f>
        <v>606.59999999999991</v>
      </c>
      <c r="F154" s="88"/>
      <c r="G154" s="89"/>
      <c r="H154" s="62"/>
      <c r="I154" s="69"/>
      <c r="J154" s="69"/>
      <c r="M154" s="96"/>
    </row>
    <row r="155" spans="1:13" s="95" customFormat="1" ht="15.75">
      <c r="A155" s="72" t="s">
        <v>135</v>
      </c>
      <c r="B155" s="112" t="s">
        <v>231</v>
      </c>
      <c r="C155" s="86" t="s">
        <v>16</v>
      </c>
      <c r="D155" s="87">
        <v>0.3</v>
      </c>
      <c r="E155" s="111">
        <f>E151*D155</f>
        <v>24.263999999999999</v>
      </c>
      <c r="F155" s="88"/>
      <c r="G155" s="89"/>
      <c r="H155" s="62"/>
      <c r="I155" s="69"/>
      <c r="J155" s="69"/>
      <c r="M155" s="96"/>
    </row>
    <row r="156" spans="1:13" s="95" customFormat="1" ht="15.75" customHeight="1">
      <c r="A156" s="58" t="s">
        <v>136</v>
      </c>
      <c r="B156" s="177" t="s">
        <v>137</v>
      </c>
      <c r="C156" s="65" t="s">
        <v>138</v>
      </c>
      <c r="D156" s="113"/>
      <c r="E156" s="83">
        <f>1.4*130</f>
        <v>182</v>
      </c>
      <c r="F156" s="68"/>
      <c r="G156" s="68"/>
      <c r="H156" s="84"/>
      <c r="I156" s="69"/>
      <c r="J156" s="69"/>
      <c r="M156" s="96"/>
    </row>
    <row r="157" spans="1:13" s="95" customFormat="1" ht="15.75">
      <c r="A157" s="72" t="s">
        <v>139</v>
      </c>
      <c r="B157" s="85" t="s">
        <v>205</v>
      </c>
      <c r="C157" s="86" t="s">
        <v>28</v>
      </c>
      <c r="D157" s="87">
        <f>0.15*0.3</f>
        <v>4.4999999999999998E-2</v>
      </c>
      <c r="E157" s="111">
        <f>E156*D157</f>
        <v>8.19</v>
      </c>
      <c r="F157" s="88"/>
      <c r="G157" s="89"/>
      <c r="H157" s="63"/>
      <c r="I157" s="69"/>
      <c r="J157" s="69"/>
      <c r="M157" s="96"/>
    </row>
    <row r="158" spans="1:13" s="36" customFormat="1" ht="15.75">
      <c r="A158" s="72" t="s">
        <v>140</v>
      </c>
      <c r="B158" s="114" t="s">
        <v>169</v>
      </c>
      <c r="C158" s="52" t="s">
        <v>11</v>
      </c>
      <c r="D158" s="86">
        <f>1.1*0.3</f>
        <v>0.33</v>
      </c>
      <c r="E158" s="172">
        <f>E156*D158</f>
        <v>60.06</v>
      </c>
      <c r="F158" s="88"/>
      <c r="G158" s="89"/>
      <c r="H158" s="63"/>
      <c r="I158" s="69"/>
      <c r="J158" s="69"/>
      <c r="M158" s="91"/>
    </row>
    <row r="159" spans="1:13" s="36" customFormat="1" ht="15.75">
      <c r="A159" s="72" t="s">
        <v>141</v>
      </c>
      <c r="B159" s="124" t="s">
        <v>172</v>
      </c>
      <c r="C159" s="86" t="s">
        <v>16</v>
      </c>
      <c r="D159" s="86">
        <f>7.5*0.3</f>
        <v>2.25</v>
      </c>
      <c r="E159" s="111">
        <f>E156*D159</f>
        <v>409.5</v>
      </c>
      <c r="F159" s="88"/>
      <c r="G159" s="89"/>
      <c r="H159" s="62"/>
      <c r="I159" s="69"/>
      <c r="J159" s="69"/>
      <c r="M159" s="91"/>
    </row>
    <row r="160" spans="1:13" s="36" customFormat="1" ht="15.75">
      <c r="A160" s="72" t="s">
        <v>142</v>
      </c>
      <c r="B160" s="112" t="s">
        <v>231</v>
      </c>
      <c r="C160" s="86" t="s">
        <v>16</v>
      </c>
      <c r="D160" s="87">
        <f>0.3*0.3</f>
        <v>0.09</v>
      </c>
      <c r="E160" s="111">
        <f>E156*D160</f>
        <v>16.38</v>
      </c>
      <c r="F160" s="88"/>
      <c r="G160" s="89"/>
      <c r="H160" s="62"/>
      <c r="I160" s="69"/>
      <c r="J160" s="69"/>
      <c r="M160" s="91"/>
    </row>
    <row r="161" spans="1:13" s="36" customFormat="1" ht="15.75" customHeight="1">
      <c r="A161" s="58" t="s">
        <v>143</v>
      </c>
      <c r="B161" s="167" t="s">
        <v>297</v>
      </c>
      <c r="C161" s="65" t="s">
        <v>138</v>
      </c>
      <c r="D161" s="113"/>
      <c r="E161" s="83">
        <f>1.4*144</f>
        <v>201.6</v>
      </c>
      <c r="F161" s="68"/>
      <c r="G161" s="68"/>
      <c r="H161" s="84"/>
      <c r="I161" s="69"/>
      <c r="J161" s="69"/>
      <c r="M161" s="91"/>
    </row>
    <row r="162" spans="1:13" s="36" customFormat="1" ht="15.75">
      <c r="A162" s="72" t="s">
        <v>144</v>
      </c>
      <c r="B162" s="85" t="s">
        <v>205</v>
      </c>
      <c r="C162" s="86" t="s">
        <v>28</v>
      </c>
      <c r="D162" s="87">
        <f>0.15*0.15</f>
        <v>2.2499999999999999E-2</v>
      </c>
      <c r="E162" s="111">
        <f>E161*D162</f>
        <v>4.5359999999999996</v>
      </c>
      <c r="F162" s="88"/>
      <c r="G162" s="89"/>
      <c r="H162" s="63"/>
      <c r="I162" s="69"/>
      <c r="J162" s="69"/>
      <c r="M162" s="91"/>
    </row>
    <row r="163" spans="1:13" s="36" customFormat="1" ht="15.75">
      <c r="A163" s="72" t="s">
        <v>145</v>
      </c>
      <c r="B163" s="114" t="s">
        <v>169</v>
      </c>
      <c r="C163" s="52" t="s">
        <v>11</v>
      </c>
      <c r="D163" s="178">
        <f>1.1*0.15</f>
        <v>0.16500000000000001</v>
      </c>
      <c r="E163" s="172">
        <f>E161*D163</f>
        <v>33.264000000000003</v>
      </c>
      <c r="F163" s="88"/>
      <c r="G163" s="89"/>
      <c r="H163" s="63"/>
      <c r="I163" s="69"/>
      <c r="J163" s="69"/>
      <c r="M163" s="91"/>
    </row>
    <row r="164" spans="1:13" s="95" customFormat="1" ht="15.75">
      <c r="A164" s="72" t="s">
        <v>146</v>
      </c>
      <c r="B164" s="124" t="s">
        <v>172</v>
      </c>
      <c r="C164" s="86" t="s">
        <v>16</v>
      </c>
      <c r="D164" s="86">
        <f>7.5*0.15</f>
        <v>1.125</v>
      </c>
      <c r="E164" s="111">
        <f>E161*D164</f>
        <v>226.79999999999998</v>
      </c>
      <c r="F164" s="88"/>
      <c r="G164" s="89"/>
      <c r="H164" s="62"/>
      <c r="I164" s="69"/>
      <c r="J164" s="69"/>
      <c r="M164" s="96"/>
    </row>
    <row r="165" spans="1:13" s="95" customFormat="1" ht="15.75">
      <c r="A165" s="72" t="s">
        <v>147</v>
      </c>
      <c r="B165" s="112" t="s">
        <v>231</v>
      </c>
      <c r="C165" s="86" t="s">
        <v>16</v>
      </c>
      <c r="D165" s="87">
        <f>0.3*0.15</f>
        <v>4.4999999999999998E-2</v>
      </c>
      <c r="E165" s="111">
        <f>E161*D165</f>
        <v>9.0719999999999992</v>
      </c>
      <c r="F165" s="88"/>
      <c r="G165" s="89"/>
      <c r="H165" s="62"/>
      <c r="I165" s="69"/>
      <c r="J165" s="69"/>
      <c r="M165" s="96"/>
    </row>
    <row r="166" spans="1:13" s="95" customFormat="1" ht="15.75">
      <c r="A166" s="72" t="s">
        <v>148</v>
      </c>
      <c r="B166" s="102" t="s">
        <v>232</v>
      </c>
      <c r="C166" s="86" t="s">
        <v>138</v>
      </c>
      <c r="D166" s="87">
        <v>1.07</v>
      </c>
      <c r="E166" s="111">
        <f>144/2*3</f>
        <v>216</v>
      </c>
      <c r="F166" s="88"/>
      <c r="G166" s="89"/>
      <c r="H166" s="62"/>
      <c r="I166" s="69"/>
      <c r="J166" s="69"/>
      <c r="M166" s="96"/>
    </row>
    <row r="167" spans="1:13" s="95" customFormat="1" ht="15.75" customHeight="1">
      <c r="A167" s="58" t="s">
        <v>149</v>
      </c>
      <c r="B167" s="100" t="s">
        <v>150</v>
      </c>
      <c r="C167" s="65" t="s">
        <v>138</v>
      </c>
      <c r="D167" s="2"/>
      <c r="E167" s="179">
        <f>17.5*3</f>
        <v>52.5</v>
      </c>
      <c r="F167" s="68"/>
      <c r="G167" s="68"/>
      <c r="H167" s="84"/>
      <c r="I167" s="69"/>
      <c r="J167" s="69"/>
      <c r="M167" s="96"/>
    </row>
    <row r="168" spans="1:13" s="95" customFormat="1" ht="15.75">
      <c r="A168" s="72" t="s">
        <v>151</v>
      </c>
      <c r="B168" s="85" t="s">
        <v>205</v>
      </c>
      <c r="C168" s="86" t="s">
        <v>28</v>
      </c>
      <c r="D168" s="180">
        <f>0.15*0.15</f>
        <v>2.2499999999999999E-2</v>
      </c>
      <c r="E168" s="111">
        <f>E167*D168</f>
        <v>1.1812499999999999</v>
      </c>
      <c r="F168" s="88"/>
      <c r="G168" s="89"/>
      <c r="H168" s="63"/>
      <c r="I168" s="69"/>
      <c r="J168" s="69"/>
      <c r="M168" s="96"/>
    </row>
    <row r="169" spans="1:13" s="122" customFormat="1">
      <c r="A169" s="72" t="s">
        <v>152</v>
      </c>
      <c r="B169" s="114" t="s">
        <v>169</v>
      </c>
      <c r="C169" s="115" t="s">
        <v>11</v>
      </c>
      <c r="D169" s="178">
        <f>1.1*0.15</f>
        <v>0.16500000000000001</v>
      </c>
      <c r="E169" s="181">
        <f>D169*E167</f>
        <v>8.6624999999999996</v>
      </c>
      <c r="F169" s="182"/>
      <c r="G169" s="119"/>
      <c r="H169" s="120"/>
      <c r="I169" s="69"/>
      <c r="J169" s="121"/>
      <c r="M169" s="123"/>
    </row>
    <row r="170" spans="1:13" s="95" customFormat="1" ht="15" customHeight="1">
      <c r="A170" s="72" t="s">
        <v>153</v>
      </c>
      <c r="B170" s="124" t="s">
        <v>172</v>
      </c>
      <c r="C170" s="86" t="s">
        <v>16</v>
      </c>
      <c r="D170" s="86">
        <f>7.5*0.15</f>
        <v>1.125</v>
      </c>
      <c r="E170" s="111">
        <f>D170*E167</f>
        <v>59.0625</v>
      </c>
      <c r="F170" s="88"/>
      <c r="G170" s="89"/>
      <c r="H170" s="62"/>
      <c r="I170" s="69"/>
      <c r="J170" s="69"/>
      <c r="M170" s="96"/>
    </row>
    <row r="171" spans="1:13" s="95" customFormat="1" ht="15.75">
      <c r="A171" s="72" t="s">
        <v>154</v>
      </c>
      <c r="B171" s="112" t="s">
        <v>231</v>
      </c>
      <c r="C171" s="86" t="s">
        <v>16</v>
      </c>
      <c r="D171" s="87">
        <f>0.4*0.15</f>
        <v>0.06</v>
      </c>
      <c r="E171" s="111">
        <f>D171*E167</f>
        <v>3.15</v>
      </c>
      <c r="F171" s="88"/>
      <c r="G171" s="89"/>
      <c r="H171" s="62"/>
      <c r="I171" s="69"/>
      <c r="J171" s="69"/>
      <c r="M171" s="96"/>
    </row>
    <row r="172" spans="1:13" s="95" customFormat="1" ht="15.75" customHeight="1">
      <c r="A172" s="58" t="s">
        <v>173</v>
      </c>
      <c r="B172" s="100" t="s">
        <v>170</v>
      </c>
      <c r="C172" s="65" t="s">
        <v>138</v>
      </c>
      <c r="D172" s="2"/>
      <c r="E172" s="179">
        <f>28*3</f>
        <v>84</v>
      </c>
      <c r="F172" s="68"/>
      <c r="G172" s="68"/>
      <c r="H172" s="84"/>
      <c r="I172" s="69"/>
      <c r="J172" s="69"/>
      <c r="M172" s="96"/>
    </row>
    <row r="173" spans="1:13" s="95" customFormat="1" ht="15.75">
      <c r="A173" s="72" t="s">
        <v>174</v>
      </c>
      <c r="B173" s="85" t="s">
        <v>205</v>
      </c>
      <c r="C173" s="86" t="s">
        <v>28</v>
      </c>
      <c r="D173" s="180">
        <f>0.15*0.1</f>
        <v>1.4999999999999999E-2</v>
      </c>
      <c r="E173" s="111">
        <f>E172*D173</f>
        <v>1.26</v>
      </c>
      <c r="F173" s="88"/>
      <c r="G173" s="89"/>
      <c r="H173" s="63"/>
      <c r="I173" s="69"/>
      <c r="J173" s="69"/>
      <c r="M173" s="96"/>
    </row>
    <row r="174" spans="1:13" s="122" customFormat="1">
      <c r="A174" s="72" t="s">
        <v>175</v>
      </c>
      <c r="B174" s="114" t="s">
        <v>169</v>
      </c>
      <c r="C174" s="115" t="s">
        <v>11</v>
      </c>
      <c r="D174" s="178">
        <f>1.1*0.1</f>
        <v>0.11000000000000001</v>
      </c>
      <c r="E174" s="181">
        <f>D174*E172</f>
        <v>9.240000000000002</v>
      </c>
      <c r="F174" s="182"/>
      <c r="G174" s="119"/>
      <c r="H174" s="120"/>
      <c r="I174" s="69"/>
      <c r="J174" s="121"/>
      <c r="M174" s="123"/>
    </row>
    <row r="175" spans="1:13" s="95" customFormat="1" ht="15" customHeight="1">
      <c r="A175" s="72" t="s">
        <v>176</v>
      </c>
      <c r="B175" s="124" t="s">
        <v>172</v>
      </c>
      <c r="C175" s="86" t="s">
        <v>16</v>
      </c>
      <c r="D175" s="86">
        <f>7.5*0.1</f>
        <v>0.75</v>
      </c>
      <c r="E175" s="111">
        <f>D175*E172</f>
        <v>63</v>
      </c>
      <c r="F175" s="88"/>
      <c r="G175" s="89"/>
      <c r="H175" s="62"/>
      <c r="I175" s="69"/>
      <c r="J175" s="69"/>
      <c r="M175" s="96"/>
    </row>
    <row r="176" spans="1:13" s="95" customFormat="1" ht="15.75">
      <c r="A176" s="72" t="s">
        <v>177</v>
      </c>
      <c r="B176" s="112" t="s">
        <v>231</v>
      </c>
      <c r="C176" s="86" t="s">
        <v>16</v>
      </c>
      <c r="D176" s="87">
        <f>0.4*0.1</f>
        <v>4.0000000000000008E-2</v>
      </c>
      <c r="E176" s="111">
        <f>D176*E172</f>
        <v>3.3600000000000008</v>
      </c>
      <c r="F176" s="88"/>
      <c r="G176" s="89"/>
      <c r="H176" s="62"/>
      <c r="I176" s="69"/>
      <c r="J176" s="69"/>
      <c r="M176" s="96"/>
    </row>
    <row r="177" spans="1:10" ht="15.75">
      <c r="A177" s="58"/>
      <c r="B177" s="100"/>
      <c r="C177" s="65"/>
      <c r="D177" s="87"/>
      <c r="E177" s="83"/>
      <c r="F177" s="183"/>
      <c r="G177" s="89"/>
      <c r="H177" s="84"/>
      <c r="I177" s="184"/>
      <c r="J177" s="69"/>
    </row>
    <row r="178" spans="1:10">
      <c r="A178" s="72"/>
      <c r="B178" s="185" t="s">
        <v>155</v>
      </c>
      <c r="C178" s="86"/>
      <c r="D178" s="86"/>
      <c r="E178" s="111"/>
      <c r="F178" s="184"/>
      <c r="G178" s="186"/>
      <c r="H178" s="84"/>
      <c r="I178" s="184"/>
      <c r="J178" s="184"/>
    </row>
    <row r="179" spans="1:10" ht="15.75">
      <c r="A179" s="58"/>
      <c r="B179" s="185" t="s">
        <v>156</v>
      </c>
      <c r="C179" s="86"/>
      <c r="D179" s="86"/>
      <c r="E179" s="111"/>
      <c r="F179" s="184"/>
      <c r="G179" s="186"/>
      <c r="H179" s="84"/>
      <c r="I179" s="186"/>
      <c r="J179" s="186"/>
    </row>
    <row r="180" spans="1:10" ht="15.75">
      <c r="A180" s="72"/>
      <c r="B180" s="187" t="s">
        <v>157</v>
      </c>
      <c r="C180" s="86"/>
      <c r="D180" s="86"/>
      <c r="E180" s="111"/>
      <c r="F180" s="184"/>
      <c r="G180" s="89"/>
      <c r="H180" s="84"/>
      <c r="I180" s="89"/>
      <c r="J180" s="89"/>
    </row>
    <row r="181" spans="1:10" ht="15.75">
      <c r="A181" s="72"/>
      <c r="B181" s="187" t="s">
        <v>158</v>
      </c>
      <c r="C181" s="86"/>
      <c r="D181" s="86"/>
      <c r="E181" s="111"/>
      <c r="F181" s="184"/>
      <c r="G181" s="186"/>
      <c r="H181" s="84"/>
      <c r="I181" s="184"/>
      <c r="J181" s="184"/>
    </row>
    <row r="182" spans="1:10" ht="15.75">
      <c r="A182" s="72"/>
      <c r="B182" s="188" t="s">
        <v>159</v>
      </c>
      <c r="C182" s="189"/>
      <c r="D182" s="189"/>
      <c r="E182" s="190"/>
      <c r="F182" s="89"/>
      <c r="G182" s="89"/>
      <c r="H182" s="158"/>
      <c r="I182" s="186"/>
      <c r="J182" s="186"/>
    </row>
    <row r="183" spans="1:10" ht="15.75">
      <c r="A183" s="72"/>
      <c r="B183" s="188" t="s">
        <v>156</v>
      </c>
      <c r="C183" s="189"/>
      <c r="D183" s="189"/>
      <c r="E183" s="190"/>
      <c r="F183" s="89"/>
      <c r="G183" s="89"/>
      <c r="H183" s="158"/>
      <c r="I183" s="186"/>
      <c r="J183" s="186"/>
    </row>
    <row r="184" spans="1:10" ht="15.75">
      <c r="A184" s="72"/>
      <c r="B184" s="191" t="s">
        <v>160</v>
      </c>
      <c r="C184" s="189"/>
      <c r="D184" s="189"/>
      <c r="E184" s="190"/>
      <c r="F184" s="89"/>
      <c r="G184" s="89"/>
      <c r="H184" s="158"/>
      <c r="I184" s="89"/>
      <c r="J184" s="89"/>
    </row>
    <row r="185" spans="1:10" ht="15.75">
      <c r="A185" s="58"/>
      <c r="B185" s="189"/>
      <c r="C185" s="189"/>
      <c r="D185" s="189"/>
      <c r="E185" s="190"/>
      <c r="F185" s="89"/>
      <c r="G185" s="89"/>
      <c r="H185" s="158"/>
      <c r="I185" s="89"/>
      <c r="J185" s="89"/>
    </row>
    <row r="186" spans="1:10" ht="15.75">
      <c r="A186" s="72"/>
      <c r="B186" s="192" t="s">
        <v>161</v>
      </c>
      <c r="C186" s="189"/>
      <c r="D186" s="189"/>
      <c r="E186" s="190"/>
      <c r="F186" s="89"/>
      <c r="G186" s="186"/>
      <c r="H186" s="193"/>
      <c r="I186" s="186"/>
      <c r="J186" s="186"/>
    </row>
    <row r="187" spans="1:10" ht="15.75">
      <c r="A187" s="72"/>
      <c r="B187" s="192" t="s">
        <v>156</v>
      </c>
      <c r="C187" s="189"/>
      <c r="D187" s="189"/>
      <c r="E187" s="190"/>
      <c r="F187" s="89"/>
      <c r="G187" s="186"/>
      <c r="H187" s="193"/>
      <c r="I187" s="186"/>
      <c r="J187" s="186"/>
    </row>
    <row r="188" spans="1:10" ht="15.75">
      <c r="A188" s="72"/>
      <c r="B188" s="189" t="s">
        <v>162</v>
      </c>
      <c r="C188" s="189"/>
      <c r="D188" s="189"/>
      <c r="E188" s="190"/>
      <c r="F188" s="89"/>
      <c r="G188" s="89"/>
      <c r="H188" s="158"/>
      <c r="I188" s="89"/>
      <c r="J188" s="89"/>
    </row>
    <row r="189" spans="1:10" ht="15.75">
      <c r="A189" s="194"/>
      <c r="B189" s="195"/>
      <c r="C189" s="196"/>
      <c r="D189" s="196"/>
      <c r="E189" s="197"/>
      <c r="F189" s="198"/>
      <c r="G189" s="198"/>
      <c r="H189" s="197"/>
      <c r="I189" s="199"/>
      <c r="J189" s="199"/>
    </row>
    <row r="190" spans="1:10">
      <c r="A190" s="6"/>
      <c r="B190" s="7" t="s">
        <v>270</v>
      </c>
      <c r="C190" s="8"/>
      <c r="D190" s="8"/>
      <c r="E190" s="8"/>
      <c r="F190" s="9"/>
      <c r="G190" s="9"/>
      <c r="H190" s="8"/>
      <c r="I190" s="10"/>
      <c r="J190" s="10"/>
    </row>
    <row r="191" spans="1:10" ht="80.25" customHeight="1">
      <c r="A191" s="6">
        <v>1</v>
      </c>
      <c r="B191" s="11" t="s">
        <v>271</v>
      </c>
      <c r="C191" s="11"/>
      <c r="D191" s="11"/>
      <c r="E191" s="11"/>
      <c r="F191" s="11"/>
      <c r="G191" s="11"/>
      <c r="H191" s="11"/>
      <c r="I191" s="11"/>
      <c r="J191" s="11"/>
    </row>
    <row r="192" spans="1:10">
      <c r="A192" s="6">
        <v>2</v>
      </c>
      <c r="B192" s="12" t="s">
        <v>272</v>
      </c>
      <c r="C192" s="13"/>
      <c r="D192" s="13"/>
      <c r="E192" s="13"/>
      <c r="F192" s="13"/>
      <c r="G192" s="13"/>
      <c r="H192" s="13"/>
      <c r="I192" s="13"/>
      <c r="J192" s="10"/>
    </row>
    <row r="193" spans="1:13">
      <c r="A193" s="6">
        <v>3</v>
      </c>
      <c r="B193" s="14" t="s">
        <v>273</v>
      </c>
      <c r="C193" s="14"/>
      <c r="D193" s="14"/>
      <c r="E193" s="14"/>
      <c r="F193" s="14"/>
      <c r="G193" s="14"/>
      <c r="H193" s="14"/>
      <c r="I193" s="14"/>
      <c r="J193" s="10"/>
    </row>
    <row r="194" spans="1:13">
      <c r="A194" s="6">
        <v>4</v>
      </c>
      <c r="B194" s="12" t="s">
        <v>165</v>
      </c>
      <c r="C194" s="14"/>
      <c r="D194" s="14"/>
      <c r="E194" s="14"/>
      <c r="F194" s="14"/>
      <c r="G194" s="14"/>
      <c r="H194" s="14"/>
      <c r="I194" s="14"/>
      <c r="J194" s="10"/>
    </row>
    <row r="195" spans="1:13">
      <c r="A195" s="6">
        <v>5</v>
      </c>
      <c r="B195" s="15" t="s">
        <v>166</v>
      </c>
      <c r="C195" s="15"/>
      <c r="D195" s="15"/>
      <c r="E195" s="15"/>
      <c r="F195" s="15"/>
      <c r="G195" s="15"/>
      <c r="H195" s="15"/>
      <c r="I195" s="15"/>
      <c r="J195" s="15"/>
    </row>
    <row r="196" spans="1:13" ht="15.75" customHeight="1">
      <c r="A196" s="6">
        <v>6</v>
      </c>
      <c r="B196" s="15" t="s">
        <v>274</v>
      </c>
      <c r="C196" s="15"/>
      <c r="D196" s="15"/>
      <c r="E196" s="15"/>
      <c r="F196" s="15"/>
      <c r="G196" s="15"/>
      <c r="H196" s="15"/>
      <c r="I196" s="15"/>
      <c r="J196" s="15"/>
    </row>
    <row r="197" spans="1:13">
      <c r="A197" s="6">
        <v>7</v>
      </c>
      <c r="B197" s="12" t="s">
        <v>275</v>
      </c>
      <c r="C197" s="16"/>
      <c r="D197" s="16"/>
      <c r="E197" s="16"/>
      <c r="F197" s="16"/>
      <c r="G197" s="16"/>
      <c r="H197" s="16"/>
      <c r="I197" s="16"/>
      <c r="J197" s="16"/>
    </row>
    <row r="198" spans="1:13">
      <c r="A198" s="6">
        <v>8</v>
      </c>
      <c r="B198" s="12" t="s">
        <v>276</v>
      </c>
      <c r="C198" s="8"/>
      <c r="D198" s="8"/>
      <c r="E198" s="8"/>
      <c r="F198" s="9"/>
      <c r="G198" s="9"/>
      <c r="H198" s="8"/>
      <c r="I198" s="10"/>
      <c r="J198" s="10"/>
    </row>
    <row r="199" spans="1:13">
      <c r="A199" s="6">
        <v>9</v>
      </c>
      <c r="B199" s="17" t="s">
        <v>277</v>
      </c>
      <c r="C199" s="8"/>
      <c r="D199" s="8"/>
      <c r="E199" s="8"/>
      <c r="F199" s="9"/>
      <c r="G199" s="9"/>
      <c r="H199" s="8"/>
      <c r="I199" s="10"/>
      <c r="J199" s="10"/>
    </row>
    <row r="200" spans="1:13" s="200" customFormat="1">
      <c r="A200" s="6">
        <v>10</v>
      </c>
      <c r="B200" s="17" t="s">
        <v>278</v>
      </c>
      <c r="C200" s="8"/>
      <c r="D200" s="8"/>
      <c r="E200" s="8"/>
      <c r="F200" s="9"/>
      <c r="G200" s="9"/>
      <c r="H200" s="8"/>
      <c r="I200" s="10"/>
      <c r="J200" s="10"/>
      <c r="M200" s="201"/>
    </row>
    <row r="201" spans="1:13" s="200" customFormat="1">
      <c r="A201" s="6">
        <v>11</v>
      </c>
      <c r="B201" s="1" t="s">
        <v>167</v>
      </c>
      <c r="C201" s="8"/>
      <c r="D201" s="8"/>
      <c r="E201" s="8"/>
      <c r="F201" s="9"/>
      <c r="G201" s="9"/>
      <c r="H201" s="8"/>
      <c r="I201" s="10"/>
      <c r="J201" s="10"/>
      <c r="M201" s="201"/>
    </row>
    <row r="202" spans="1:13" s="200" customFormat="1">
      <c r="A202" s="18"/>
      <c r="B202" s="19"/>
      <c r="C202" s="8"/>
      <c r="D202" s="8"/>
      <c r="E202" s="8"/>
      <c r="F202" s="8"/>
      <c r="G202" s="8"/>
      <c r="H202" s="8"/>
      <c r="I202" s="8"/>
      <c r="J202" s="8"/>
      <c r="M202" s="201"/>
    </row>
    <row r="203" spans="1:13" s="200" customFormat="1">
      <c r="A203" s="18"/>
      <c r="B203" s="20" t="s">
        <v>163</v>
      </c>
      <c r="C203" s="8"/>
      <c r="D203" s="8"/>
      <c r="E203" s="8"/>
      <c r="F203" s="8"/>
      <c r="G203" s="21" t="s">
        <v>279</v>
      </c>
      <c r="H203" s="21"/>
      <c r="I203" s="21"/>
      <c r="J203" s="8"/>
      <c r="M203" s="201"/>
    </row>
    <row r="204" spans="1:13" s="200" customFormat="1">
      <c r="A204" s="22"/>
      <c r="B204" s="23" t="s">
        <v>280</v>
      </c>
      <c r="C204" s="17"/>
      <c r="D204" s="17"/>
      <c r="E204" s="24"/>
      <c r="F204" s="17"/>
      <c r="G204" s="25" t="s">
        <v>281</v>
      </c>
      <c r="H204" s="25"/>
      <c r="I204" s="25"/>
      <c r="J204" s="26"/>
      <c r="M204" s="201"/>
    </row>
    <row r="205" spans="1:13" s="200" customFormat="1">
      <c r="A205" s="22"/>
      <c r="B205" s="27"/>
      <c r="C205" s="17"/>
      <c r="D205" s="17"/>
      <c r="E205" s="28"/>
      <c r="F205" s="29"/>
      <c r="G205" s="26"/>
      <c r="H205" s="26"/>
      <c r="I205" s="26"/>
      <c r="J205" s="26"/>
      <c r="M205" s="201"/>
    </row>
    <row r="206" spans="1:13">
      <c r="A206" s="22"/>
      <c r="B206" s="30" t="s">
        <v>282</v>
      </c>
      <c r="C206" s="17"/>
      <c r="D206" s="17"/>
      <c r="E206" s="28"/>
      <c r="F206" s="29"/>
      <c r="G206" s="31" t="s">
        <v>282</v>
      </c>
      <c r="H206" s="31"/>
      <c r="I206" s="31"/>
      <c r="J206" s="26"/>
    </row>
    <row r="207" spans="1:13">
      <c r="A207" s="22"/>
      <c r="B207" s="32" t="s">
        <v>283</v>
      </c>
      <c r="C207" s="17"/>
      <c r="D207" s="17"/>
      <c r="E207" s="24"/>
      <c r="F207" s="29"/>
      <c r="G207" s="33" t="s">
        <v>283</v>
      </c>
      <c r="H207" s="33"/>
      <c r="I207" s="33"/>
      <c r="J207" s="26"/>
    </row>
    <row r="208" spans="1:13">
      <c r="A208" s="22"/>
      <c r="B208" s="26" t="s">
        <v>60</v>
      </c>
      <c r="C208" s="26"/>
      <c r="D208" s="26"/>
      <c r="E208" s="26"/>
      <c r="F208" s="34"/>
      <c r="G208" s="26" t="s">
        <v>60</v>
      </c>
      <c r="H208" s="26"/>
      <c r="I208" s="26"/>
      <c r="J208" s="26"/>
    </row>
    <row r="209" spans="2:2">
      <c r="B209" s="1" t="s">
        <v>167</v>
      </c>
    </row>
  </sheetData>
  <mergeCells count="21">
    <mergeCell ref="G207:I207"/>
    <mergeCell ref="H12:I12"/>
    <mergeCell ref="J12:J13"/>
    <mergeCell ref="B196:J196"/>
    <mergeCell ref="F12:G12"/>
    <mergeCell ref="B191:J191"/>
    <mergeCell ref="B195:J195"/>
    <mergeCell ref="G203:I203"/>
    <mergeCell ref="G204:I204"/>
    <mergeCell ref="G206:I206"/>
    <mergeCell ref="A12:A13"/>
    <mergeCell ref="B12:B13"/>
    <mergeCell ref="C12:C13"/>
    <mergeCell ref="D12:D13"/>
    <mergeCell ref="E12:E13"/>
    <mergeCell ref="A10:J10"/>
    <mergeCell ref="A5:J5"/>
    <mergeCell ref="A6:J6"/>
    <mergeCell ref="A7:J7"/>
    <mergeCell ref="A8:J8"/>
    <mergeCell ref="A9:J9"/>
  </mergeCells>
  <hyperlinks>
    <hyperlink ref="B139" r:id="rId1" display="http://www.knauf.ru/products/alphabet/product.wbp?root_id=a1e9048a-372b-4e03-bb19-0bb2e21f30ca"/>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2025-01-23T07:45:26Z</dcterms:modified>
</cp:coreProperties>
</file>