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0"/>
  </bookViews>
  <sheets>
    <sheet name="2.2" sheetId="3" r:id="rId1"/>
  </sheets>
  <definedNames>
    <definedName name="_xlnm._FilterDatabase" localSheetId="0" hidden="1">'2.2'!$A$13:$J$155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1" i="3" l="1"/>
  <c r="D80" i="3"/>
  <c r="D79" i="3"/>
  <c r="E64" i="3" l="1"/>
  <c r="E63" i="3"/>
  <c r="E62" i="3"/>
  <c r="E86" i="3"/>
  <c r="E88" i="3"/>
  <c r="E87" i="3"/>
  <c r="E82" i="3"/>
  <c r="E32" i="3"/>
  <c r="E58" i="3" s="1"/>
  <c r="E48" i="3"/>
  <c r="E21" i="3"/>
  <c r="D20" i="3"/>
  <c r="E20" i="3" s="1"/>
  <c r="E23" i="3"/>
  <c r="E40" i="3"/>
  <c r="E127" i="3"/>
  <c r="E130" i="3" s="1"/>
  <c r="J133" i="3"/>
  <c r="J132" i="3"/>
  <c r="J131" i="3"/>
  <c r="J130" i="3"/>
  <c r="J129" i="3"/>
  <c r="E129" i="3"/>
  <c r="J128" i="3"/>
  <c r="E128" i="3"/>
  <c r="J127" i="3"/>
  <c r="E133" i="3" l="1"/>
  <c r="E85" i="3"/>
  <c r="E132" i="3"/>
  <c r="E19" i="3"/>
  <c r="E22" i="3"/>
  <c r="E131" i="3"/>
  <c r="E92" i="3" l="1"/>
  <c r="E93" i="3"/>
  <c r="E153" i="3" l="1"/>
  <c r="E147" i="3"/>
  <c r="R166" i="3" l="1"/>
  <c r="M166" i="3"/>
  <c r="R164" i="3"/>
  <c r="R163" i="3"/>
  <c r="M163" i="3"/>
  <c r="I160" i="3"/>
  <c r="I161" i="3" s="1"/>
  <c r="I162" i="3" s="1"/>
  <c r="G160" i="3"/>
  <c r="G161" i="3" s="1"/>
  <c r="G162" i="3" s="1"/>
  <c r="J155" i="3"/>
  <c r="E155" i="3"/>
  <c r="J154" i="3"/>
  <c r="J153" i="3"/>
  <c r="J152" i="3"/>
  <c r="J151" i="3"/>
  <c r="J150" i="3"/>
  <c r="J149" i="3"/>
  <c r="J148" i="3"/>
  <c r="J147" i="3"/>
  <c r="E151" i="3"/>
  <c r="J145" i="3"/>
  <c r="J144" i="3"/>
  <c r="E145" i="3"/>
  <c r="J143" i="3"/>
  <c r="J142" i="3"/>
  <c r="J141" i="3"/>
  <c r="J140" i="3"/>
  <c r="J139" i="3"/>
  <c r="J138" i="3"/>
  <c r="J137" i="3"/>
  <c r="E140" i="3"/>
  <c r="J136" i="3"/>
  <c r="J135" i="3"/>
  <c r="J134" i="3"/>
  <c r="E134" i="3"/>
  <c r="E136" i="3" s="1"/>
  <c r="J126" i="3"/>
  <c r="E126" i="3"/>
  <c r="J125" i="3"/>
  <c r="E125" i="3"/>
  <c r="J124" i="3"/>
  <c r="E124" i="3"/>
  <c r="J123" i="3"/>
  <c r="E123" i="3"/>
  <c r="J122" i="3"/>
  <c r="E122" i="3"/>
  <c r="J121" i="3"/>
  <c r="E121" i="3"/>
  <c r="J120" i="3"/>
  <c r="E120" i="3"/>
  <c r="J119" i="3"/>
  <c r="E119" i="3"/>
  <c r="J118" i="3"/>
  <c r="E118" i="3"/>
  <c r="J117" i="3"/>
  <c r="J116" i="3"/>
  <c r="J115" i="3"/>
  <c r="J114" i="3"/>
  <c r="J113" i="3"/>
  <c r="J112" i="3"/>
  <c r="J111" i="3"/>
  <c r="J110" i="3"/>
  <c r="J109" i="3"/>
  <c r="J108" i="3"/>
  <c r="J107" i="3"/>
  <c r="J106" i="3"/>
  <c r="J105" i="3"/>
  <c r="J104" i="3"/>
  <c r="J103" i="3"/>
  <c r="J102" i="3"/>
  <c r="J101" i="3"/>
  <c r="J100" i="3"/>
  <c r="J99" i="3"/>
  <c r="J98" i="3"/>
  <c r="J97" i="3"/>
  <c r="E99" i="3"/>
  <c r="J96" i="3"/>
  <c r="J95" i="3"/>
  <c r="J94" i="3"/>
  <c r="J93" i="3"/>
  <c r="J92" i="3"/>
  <c r="E94" i="3"/>
  <c r="J90" i="3"/>
  <c r="J89" i="3"/>
  <c r="E90" i="3"/>
  <c r="J88" i="3"/>
  <c r="J87" i="3"/>
  <c r="J84" i="3"/>
  <c r="J83" i="3"/>
  <c r="J82" i="3"/>
  <c r="E83" i="3"/>
  <c r="J81" i="3"/>
  <c r="J79" i="3"/>
  <c r="J78" i="3"/>
  <c r="J77" i="3"/>
  <c r="D77" i="3"/>
  <c r="J76" i="3"/>
  <c r="D76" i="3"/>
  <c r="J75" i="3"/>
  <c r="E75" i="3"/>
  <c r="E78" i="3" s="1"/>
  <c r="J74" i="3"/>
  <c r="D74" i="3"/>
  <c r="J73" i="3"/>
  <c r="D73" i="3"/>
  <c r="E73" i="3" s="1"/>
  <c r="J72" i="3"/>
  <c r="D72" i="3"/>
  <c r="J71" i="3"/>
  <c r="D71" i="3"/>
  <c r="E71" i="3" s="1"/>
  <c r="J70" i="3"/>
  <c r="V69" i="3"/>
  <c r="P69" i="3"/>
  <c r="J69" i="3"/>
  <c r="E69" i="3"/>
  <c r="AE68" i="3"/>
  <c r="J68" i="3"/>
  <c r="E68" i="3"/>
  <c r="AE67" i="3"/>
  <c r="X67" i="3"/>
  <c r="V67" i="3"/>
  <c r="N67" i="3"/>
  <c r="J67" i="3"/>
  <c r="E67" i="3"/>
  <c r="J66" i="3"/>
  <c r="E66" i="3"/>
  <c r="AG65" i="3"/>
  <c r="AE65" i="3"/>
  <c r="AB65" i="3"/>
  <c r="AB67" i="3" s="1"/>
  <c r="X65" i="3"/>
  <c r="V65" i="3"/>
  <c r="T65" i="3"/>
  <c r="T67" i="3" s="1"/>
  <c r="R65" i="3"/>
  <c r="P65" i="3"/>
  <c r="N65" i="3"/>
  <c r="L65" i="3"/>
  <c r="J65" i="3"/>
  <c r="J64" i="3"/>
  <c r="J63" i="3"/>
  <c r="J62" i="3"/>
  <c r="N61" i="3"/>
  <c r="N63" i="3" s="1"/>
  <c r="J61" i="3"/>
  <c r="J60" i="3"/>
  <c r="J59" i="3"/>
  <c r="J58" i="3"/>
  <c r="J57" i="3"/>
  <c r="J56" i="3"/>
  <c r="J55" i="3"/>
  <c r="J54" i="3"/>
  <c r="J53" i="3"/>
  <c r="J52" i="3"/>
  <c r="J51" i="3"/>
  <c r="J50" i="3"/>
  <c r="S49" i="3"/>
  <c r="J49" i="3"/>
  <c r="N48" i="3"/>
  <c r="N50" i="3" s="1"/>
  <c r="J48" i="3"/>
  <c r="J47" i="3"/>
  <c r="J46" i="3"/>
  <c r="J45" i="3"/>
  <c r="T44" i="3"/>
  <c r="J44" i="3"/>
  <c r="Q42" i="3"/>
  <c r="R42" i="3" s="1"/>
  <c r="N42" i="3"/>
  <c r="P42" i="3" s="1"/>
  <c r="J42" i="3"/>
  <c r="J41" i="3"/>
  <c r="L40" i="3"/>
  <c r="L42" i="3" s="1"/>
  <c r="J40" i="3"/>
  <c r="E42" i="3"/>
  <c r="J39" i="3"/>
  <c r="J38" i="3"/>
  <c r="J37" i="3"/>
  <c r="J36" i="3"/>
  <c r="J35" i="3"/>
  <c r="P34" i="3"/>
  <c r="N34" i="3"/>
  <c r="J34" i="3"/>
  <c r="J33" i="3"/>
  <c r="U32" i="3"/>
  <c r="U34" i="3" s="1"/>
  <c r="T36" i="3" s="1"/>
  <c r="J32" i="3"/>
  <c r="E35" i="3"/>
  <c r="J31" i="3"/>
  <c r="J30" i="3"/>
  <c r="J29" i="3"/>
  <c r="J28" i="3"/>
  <c r="J27" i="3"/>
  <c r="P26" i="3"/>
  <c r="N26" i="3"/>
  <c r="J26" i="3"/>
  <c r="J25" i="3"/>
  <c r="U24" i="3"/>
  <c r="U26" i="3" s="1"/>
  <c r="T28" i="3" s="1"/>
  <c r="J24" i="3"/>
  <c r="E28" i="3"/>
  <c r="J23" i="3"/>
  <c r="J22" i="3"/>
  <c r="J21" i="3"/>
  <c r="J20" i="3"/>
  <c r="J19" i="3"/>
  <c r="P18" i="3"/>
  <c r="N18" i="3"/>
  <c r="J18" i="3"/>
  <c r="J17" i="3"/>
  <c r="E135" i="3" l="1"/>
  <c r="E79" i="3"/>
  <c r="J160" i="3"/>
  <c r="J161" i="3" s="1"/>
  <c r="J162" i="3" s="1"/>
  <c r="X68" i="3"/>
  <c r="E37" i="3"/>
  <c r="O35" i="3"/>
  <c r="M169" i="3"/>
  <c r="M171" i="3" s="1"/>
  <c r="E43" i="3"/>
  <c r="E45" i="3"/>
  <c r="E47" i="3"/>
  <c r="E29" i="3"/>
  <c r="E36" i="3"/>
  <c r="E38" i="3"/>
  <c r="E44" i="3"/>
  <c r="E72" i="3"/>
  <c r="E74" i="3"/>
  <c r="E76" i="3"/>
  <c r="E77" i="3"/>
  <c r="O27" i="3"/>
  <c r="O18" i="3"/>
  <c r="O19" i="3" s="1"/>
  <c r="E30" i="3"/>
  <c r="E46" i="3"/>
  <c r="AE69" i="3"/>
  <c r="E81" i="3"/>
  <c r="R169" i="3"/>
  <c r="R171" i="3" s="1"/>
  <c r="E95" i="3"/>
  <c r="E96" i="3"/>
  <c r="E108" i="3"/>
  <c r="E148" i="3"/>
  <c r="E39" i="3"/>
  <c r="E101" i="3"/>
  <c r="E102" i="3"/>
  <c r="E41" i="3"/>
  <c r="E149" i="3"/>
  <c r="E150" i="3"/>
  <c r="E103" i="3"/>
  <c r="E104" i="3"/>
  <c r="E27" i="3"/>
  <c r="E31" i="3"/>
  <c r="E26" i="3"/>
  <c r="E141" i="3"/>
  <c r="E105" i="3"/>
  <c r="E109" i="3"/>
  <c r="E80" i="3"/>
  <c r="E25" i="3"/>
  <c r="E107" i="3"/>
  <c r="E98" i="3"/>
  <c r="E100" i="3"/>
  <c r="E138" i="3"/>
  <c r="E139" i="3"/>
  <c r="E33" i="3"/>
  <c r="E34" i="3"/>
  <c r="E106" i="3"/>
  <c r="E60" i="3" l="1"/>
  <c r="E59" i="3"/>
  <c r="E113" i="3"/>
  <c r="E112" i="3"/>
  <c r="E111" i="3"/>
  <c r="E114" i="3"/>
  <c r="E110" i="3"/>
  <c r="E143" i="3"/>
  <c r="E142" i="3"/>
  <c r="E116" i="3" l="1"/>
  <c r="E115" i="3"/>
  <c r="E56" i="3"/>
  <c r="E55" i="3"/>
  <c r="E54" i="3"/>
  <c r="E50" i="3" l="1"/>
  <c r="E49" i="3"/>
  <c r="E52" i="3"/>
  <c r="E51" i="3"/>
</calcChain>
</file>

<file path=xl/comments1.xml><?xml version="1.0" encoding="utf-8"?>
<comments xmlns="http://schemas.openxmlformats.org/spreadsheetml/2006/main">
  <authors>
    <author>Автор</author>
  </authors>
  <commentList>
    <comment ref="E147" authorId="0" shapeId="0">
      <text>
        <r>
          <rPr>
            <b/>
            <sz val="9"/>
            <color indexed="81"/>
            <rFont val="Tahoma"/>
            <family val="2"/>
            <charset val="204"/>
          </rPr>
          <t>Автор:</t>
        </r>
        <r>
          <rPr>
            <sz val="9"/>
            <color indexed="81"/>
            <rFont val="Tahoma"/>
            <family val="2"/>
            <charset val="204"/>
          </rPr>
          <t xml:space="preserve">
мінус фальшпідлога (окремо ТЗ)
</t>
        </r>
      </text>
    </comment>
  </commentList>
</comments>
</file>

<file path=xl/sharedStrings.xml><?xml version="1.0" encoding="utf-8"?>
<sst xmlns="http://schemas.openxmlformats.org/spreadsheetml/2006/main" count="581" uniqueCount="300">
  <si>
    <t>№ п/п</t>
  </si>
  <si>
    <t>Найменування робіт і матеріалів</t>
  </si>
  <si>
    <t>Од. вим.</t>
  </si>
  <si>
    <t>Норма витрат</t>
  </si>
  <si>
    <t>Кількість всього</t>
  </si>
  <si>
    <t>РОБОТИ</t>
  </si>
  <si>
    <t>МАТЕРІАЛИ</t>
  </si>
  <si>
    <t>Вартість
 всього грн., без ПДВ</t>
  </si>
  <si>
    <t>ціна од., грн без ПДВ</t>
  </si>
  <si>
    <t>разом, грн без ПДВ</t>
  </si>
  <si>
    <t>м2</t>
  </si>
  <si>
    <t>Влаштування та оздоблення стін</t>
  </si>
  <si>
    <t>1.1</t>
  </si>
  <si>
    <t>кг</t>
  </si>
  <si>
    <t>шт</t>
  </si>
  <si>
    <t>1.2</t>
  </si>
  <si>
    <t>1.2.1</t>
  </si>
  <si>
    <t>л</t>
  </si>
  <si>
    <t>1.2.2</t>
  </si>
  <si>
    <t>1.2.3</t>
  </si>
  <si>
    <t>1.2.4</t>
  </si>
  <si>
    <t>м/п</t>
  </si>
  <si>
    <t>1.3</t>
  </si>
  <si>
    <t>1.3.1</t>
  </si>
  <si>
    <t>1.3.2</t>
  </si>
  <si>
    <t>1.3.3</t>
  </si>
  <si>
    <t>1.4</t>
  </si>
  <si>
    <t>Улаштування штукатурних кутиків</t>
  </si>
  <si>
    <t>1.4.1</t>
  </si>
  <si>
    <t>1.6</t>
  </si>
  <si>
    <t>1.6.1</t>
  </si>
  <si>
    <t>1.6.2</t>
  </si>
  <si>
    <t>1.6.3</t>
  </si>
  <si>
    <t>1.6.4</t>
  </si>
  <si>
    <t>1.7</t>
  </si>
  <si>
    <t>1.7.1</t>
  </si>
  <si>
    <t>1.7.2</t>
  </si>
  <si>
    <t>мп</t>
  </si>
  <si>
    <t>1.8</t>
  </si>
  <si>
    <t>м²</t>
  </si>
  <si>
    <t>1.8.1</t>
  </si>
  <si>
    <t>1.8.2</t>
  </si>
  <si>
    <t>1.9</t>
  </si>
  <si>
    <t>1.9.1</t>
  </si>
  <si>
    <t>1.9.2</t>
  </si>
  <si>
    <t>1.9.3</t>
  </si>
  <si>
    <t>1.11</t>
  </si>
  <si>
    <t>1.11.1</t>
  </si>
  <si>
    <t>1.11.2</t>
  </si>
  <si>
    <t>2</t>
  </si>
  <si>
    <t>Влаштування та оздоблення стель</t>
  </si>
  <si>
    <t>2.1</t>
  </si>
  <si>
    <t>2.1.1</t>
  </si>
  <si>
    <t>Дюбель 6х40</t>
  </si>
  <si>
    <t>2.2</t>
  </si>
  <si>
    <t>Грунтування, шпаклювання та наклеювання склохолста на поверхню стель ГКЛ</t>
  </si>
  <si>
    <t>2.2.1</t>
  </si>
  <si>
    <t>2.2.2</t>
  </si>
  <si>
    <t>2.3</t>
  </si>
  <si>
    <t>2.3.1</t>
  </si>
  <si>
    <t>2.3.2</t>
  </si>
  <si>
    <t>2.4</t>
  </si>
  <si>
    <t>2.4.1</t>
  </si>
  <si>
    <t>2.5</t>
  </si>
  <si>
    <t>2.5.1</t>
  </si>
  <si>
    <t>2.6</t>
  </si>
  <si>
    <t>2.6.1</t>
  </si>
  <si>
    <t>2.7</t>
  </si>
  <si>
    <t>2.7.1</t>
  </si>
  <si>
    <t>2.7.2</t>
  </si>
  <si>
    <t>2.8</t>
  </si>
  <si>
    <t>2.8.1</t>
  </si>
  <si>
    <t>2.8.2</t>
  </si>
  <si>
    <t>2.9</t>
  </si>
  <si>
    <t>2.9.1</t>
  </si>
  <si>
    <t>3</t>
  </si>
  <si>
    <t>Облицювання підлог</t>
  </si>
  <si>
    <t>3.1</t>
  </si>
  <si>
    <t>3.2</t>
  </si>
  <si>
    <t>3.2.1</t>
  </si>
  <si>
    <t>м.п.</t>
  </si>
  <si>
    <t>РАЗОМ  без ПДВ:</t>
  </si>
  <si>
    <t>ПДВ 20%</t>
  </si>
  <si>
    <t>ВСЬОГО з ПДВ:</t>
  </si>
  <si>
    <t>в тому числі:</t>
  </si>
  <si>
    <t>Разом витрат Підрядника без ПДВ:</t>
  </si>
  <si>
    <t>Всього витрат Підрядника з ПДВ:</t>
  </si>
  <si>
    <t xml:space="preserve">Генпідрядник: </t>
  </si>
  <si>
    <t>Код ДКПП:43.39</t>
  </si>
  <si>
    <t>Договірна ціна</t>
  </si>
  <si>
    <t>на виконання комплексу робіт по опорядженню МЗК 1-го поверху</t>
  </si>
  <si>
    <t>w двері</t>
  </si>
  <si>
    <t>w стіни</t>
  </si>
  <si>
    <t>h двері</t>
  </si>
  <si>
    <t>h стіни</t>
  </si>
  <si>
    <t>Всього, м2</t>
  </si>
  <si>
    <t>1.2.5</t>
  </si>
  <si>
    <t>ГКЛ а С/В</t>
  </si>
  <si>
    <t>стена 16-17</t>
  </si>
  <si>
    <t>стена 10-12</t>
  </si>
  <si>
    <t>1.3.4</t>
  </si>
  <si>
    <t>Всього ГКЛ, м2</t>
  </si>
  <si>
    <t>1.3.5</t>
  </si>
  <si>
    <t>1.3.6</t>
  </si>
  <si>
    <t>1.3.7</t>
  </si>
  <si>
    <t>1,2</t>
  </si>
  <si>
    <t>1,05</t>
  </si>
  <si>
    <t>1.4.2</t>
  </si>
  <si>
    <t>1.4.3</t>
  </si>
  <si>
    <t>12,5</t>
  </si>
  <si>
    <t>тамбур</t>
  </si>
  <si>
    <t>та сходи</t>
  </si>
  <si>
    <t>кол. Стен= 2 сек.</t>
  </si>
  <si>
    <t>коридор.</t>
  </si>
  <si>
    <t>1.4.4</t>
  </si>
  <si>
    <t>7</t>
  </si>
  <si>
    <t>мини</t>
  </si>
  <si>
    <t>Всього</t>
  </si>
  <si>
    <t>Шпаклювання поверхонь стін з грунтуванням під декоративне тинкування</t>
  </si>
  <si>
    <t>тамбури сходи</t>
  </si>
  <si>
    <t xml:space="preserve">Облицювання стін керамогранітними плитками 1200х600мм </t>
  </si>
  <si>
    <t>м.п</t>
  </si>
  <si>
    <t>с/в</t>
  </si>
  <si>
    <t>відкоси</t>
  </si>
  <si>
    <t>w перегор.</t>
  </si>
  <si>
    <t>h перегор</t>
  </si>
  <si>
    <t>1.9.4</t>
  </si>
  <si>
    <t>w дзеркало</t>
  </si>
  <si>
    <t>Диспечерська</t>
  </si>
  <si>
    <t>тех.люки</t>
  </si>
  <si>
    <t>1.16</t>
  </si>
  <si>
    <t xml:space="preserve">Влаштування штукатурки укосів гіпсовим розчином під фарбування, тов.20мм </t>
  </si>
  <si>
    <t xml:space="preserve">Шпаклювання поверхонь укосів з грунтуванням </t>
  </si>
  <si>
    <t>2.3.3</t>
  </si>
  <si>
    <t>2.3.4</t>
  </si>
  <si>
    <t>2.3.5</t>
  </si>
  <si>
    <t>2.3.6</t>
  </si>
  <si>
    <t>2.3.7</t>
  </si>
  <si>
    <t>2.3.8</t>
  </si>
  <si>
    <t>2.3.9</t>
  </si>
  <si>
    <t>2.4.2</t>
  </si>
  <si>
    <t>2.4.3</t>
  </si>
  <si>
    <t>2.4.4</t>
  </si>
  <si>
    <t>2.4.5</t>
  </si>
  <si>
    <t>2.4.6</t>
  </si>
  <si>
    <t>Фарбування стель водоемульсійною фарбою в два шари</t>
  </si>
  <si>
    <t>2.5.2</t>
  </si>
  <si>
    <t xml:space="preserve">Шпаклювання поверхонь стель з грунтуванням </t>
  </si>
  <si>
    <t>ступені</t>
  </si>
  <si>
    <t>стунені</t>
  </si>
  <si>
    <t xml:space="preserve"> Разом матеріалів Генпідрядник без ПДВ:</t>
  </si>
  <si>
    <t>від ступ. До стіни дверей</t>
  </si>
  <si>
    <t>підступені</t>
  </si>
  <si>
    <t>1й пов. Під дверью</t>
  </si>
  <si>
    <t>Всього матеріалів Генпідрядник з ПДВ:</t>
  </si>
  <si>
    <t>сход. Марш</t>
  </si>
  <si>
    <t>від стени до ступеній</t>
  </si>
  <si>
    <t>1 секція</t>
  </si>
  <si>
    <t>секції</t>
  </si>
  <si>
    <t>всього</t>
  </si>
  <si>
    <t>плінтуса</t>
  </si>
  <si>
    <t>всього м.п. чорної плитки 600*600</t>
  </si>
  <si>
    <t xml:space="preserve">Влаштування плитки 1200х600 мм на підлогу </t>
  </si>
  <si>
    <t>Фарбування стель  в два шари</t>
  </si>
  <si>
    <t>2.5.3</t>
  </si>
  <si>
    <t>2.5.4</t>
  </si>
  <si>
    <t>2.5.5</t>
  </si>
  <si>
    <t>2.5.6</t>
  </si>
  <si>
    <t>2.5.7</t>
  </si>
  <si>
    <t>2.5.8</t>
  </si>
  <si>
    <t>2.5.9</t>
  </si>
  <si>
    <t xml:space="preserve">Улаштування стелі на металевому каркасі з обшиванням  перфорованими ГКЛ </t>
  </si>
  <si>
    <t xml:space="preserve">Улаштування стелі на металевому каркасі з обшиванням  ГКЛ </t>
  </si>
  <si>
    <t>2.6.2</t>
  </si>
  <si>
    <t>Фарбування стель  фарбою в два шари</t>
  </si>
  <si>
    <t>Улаштування  світлової  натяжної стелі</t>
  </si>
  <si>
    <t>2.7.3</t>
  </si>
  <si>
    <t>4,1</t>
  </si>
  <si>
    <t>4,5</t>
  </si>
  <si>
    <t>1.4.5</t>
  </si>
  <si>
    <t>1.4.6</t>
  </si>
  <si>
    <t>1.4.7</t>
  </si>
  <si>
    <t xml:space="preserve">Влаштування під інсталяцію з ГКЛ на металевому каркасі  у приміщенні санвузлу </t>
  </si>
  <si>
    <t xml:space="preserve">Влаштування штукатурки стін гіпсовим розчином, тов.20мм </t>
  </si>
  <si>
    <t>Улаштування декоративного тинкування укосів з попереднім грунтуванням</t>
  </si>
  <si>
    <t xml:space="preserve">Шпаклювання поверхонь стін з ГКЛ </t>
  </si>
  <si>
    <t xml:space="preserve">Встановлення алюмінієвого П-профілю </t>
  </si>
  <si>
    <t xml:space="preserve">Влаштування плінтусу накладного монтажу 100мм </t>
  </si>
  <si>
    <t>плінтус  накладного монтажу Profipas 100мм сатиновий 790/10</t>
  </si>
  <si>
    <t>м</t>
  </si>
  <si>
    <t xml:space="preserve">Влаштування плінтусу тіньового шва 20мм </t>
  </si>
  <si>
    <t>плінтус  тіньового шва 20мм  метал</t>
  </si>
  <si>
    <t>грунтовка глибокого проникнення СТ17</t>
  </si>
  <si>
    <t>керамограніт 1200х600 М88 GEA v53 (поставка Генпідрядника)</t>
  </si>
  <si>
    <t>клей для плитки СМ117, 25кг (або аналог)</t>
  </si>
  <si>
    <t xml:space="preserve">суміш для затирання швів </t>
  </si>
  <si>
    <t>3.1.1</t>
  </si>
  <si>
    <t>3.1.2</t>
  </si>
  <si>
    <t>3.1.3</t>
  </si>
  <si>
    <t>3.1.4</t>
  </si>
  <si>
    <r>
      <t xml:space="preserve">Генпідрядник: </t>
    </r>
    <r>
      <rPr>
        <b/>
        <sz val="12"/>
        <rFont val="Arial"/>
        <family val="2"/>
        <charset val="204"/>
      </rPr>
      <t>ТОВ "АНТІЛІЯ ЛТД"</t>
    </r>
  </si>
  <si>
    <r>
      <t>Стаття бюджету:</t>
    </r>
    <r>
      <rPr>
        <b/>
        <sz val="12"/>
        <rFont val="Arial"/>
        <family val="2"/>
        <charset val="204"/>
      </rPr>
      <t xml:space="preserve">  (6.12.1 )</t>
    </r>
  </si>
  <si>
    <t>3.3</t>
  </si>
  <si>
    <t>3.3.1</t>
  </si>
  <si>
    <r>
      <t xml:space="preserve">Улаштування підвісної стелі з   рейки  </t>
    </r>
    <r>
      <rPr>
        <b/>
        <i/>
        <sz val="12"/>
        <rFont val="Arial"/>
        <family val="2"/>
        <charset val="204"/>
      </rPr>
      <t>(витрати уточнюються по фактичній розкладці*)</t>
    </r>
  </si>
  <si>
    <t>Утеплення стін мінеральною ватою товщ. 50 мм (з улаштуванням армуючого шару)</t>
  </si>
  <si>
    <t>грунтовка бетоноконтакт</t>
  </si>
  <si>
    <t>мінеральна вата НГ 50мм (щільн. 65 кг/м3)</t>
  </si>
  <si>
    <t>м3</t>
  </si>
  <si>
    <t>суміш для мін.вати Ceresit 190</t>
  </si>
  <si>
    <t>10</t>
  </si>
  <si>
    <t>сітка армувальна Ceresit (щільн.160г/м2)</t>
  </si>
  <si>
    <t>1,1</t>
  </si>
  <si>
    <t>дюбель для теплоізоляції 10*100</t>
  </si>
  <si>
    <t>1.5</t>
  </si>
  <si>
    <t>1.5.1</t>
  </si>
  <si>
    <t>1.5.2</t>
  </si>
  <si>
    <t>1.5.3</t>
  </si>
  <si>
    <t>1.5.4</t>
  </si>
  <si>
    <t>профіль тіньового шва 8/13мм (узгодити з дизайнерами)</t>
  </si>
  <si>
    <t>профіль " Мерседес" 8мм анодований алюміній (узгодити з дизайнерами)</t>
  </si>
  <si>
    <t>фарба в/е  Alpina</t>
  </si>
  <si>
    <r>
      <t xml:space="preserve">Фарбування стін водоемульсійною фарбою з грунтуванням за 2 раза </t>
    </r>
    <r>
      <rPr>
        <sz val="12"/>
        <rFont val="Arial"/>
        <family val="2"/>
        <charset val="204"/>
      </rPr>
      <t>(Стіна за МДФ-панелями)</t>
    </r>
  </si>
  <si>
    <t>Грунтування грунтом, нанесення декоративної штукатурки на стіни</t>
  </si>
  <si>
    <t>грунтовка Caparol Hafgrund або аналог</t>
  </si>
  <si>
    <t>декоративна штукатурка Oikos Marmorino Naturale Fine, MM15-50%</t>
  </si>
  <si>
    <t xml:space="preserve">віск (лак) для штукатурки </t>
  </si>
  <si>
    <t>1.8.3</t>
  </si>
  <si>
    <t>1.10</t>
  </si>
  <si>
    <t>1.10.1</t>
  </si>
  <si>
    <t>1.10.2</t>
  </si>
  <si>
    <t>1.10.3</t>
  </si>
  <si>
    <t>1.10.4</t>
  </si>
  <si>
    <t>1.12</t>
  </si>
  <si>
    <t>1.12.1</t>
  </si>
  <si>
    <t>1.12.2</t>
  </si>
  <si>
    <t>1.12.3</t>
  </si>
  <si>
    <t>1.13</t>
  </si>
  <si>
    <t>1.13.1</t>
  </si>
  <si>
    <t>1.14</t>
  </si>
  <si>
    <t>1.14.1</t>
  </si>
  <si>
    <t>1.14.2</t>
  </si>
  <si>
    <t>1.15</t>
  </si>
  <si>
    <t>стрічка звукоізоляц. 3мм/30мм/30м</t>
  </si>
  <si>
    <t xml:space="preserve">гіпсокартон вологостійкий 12,5мм </t>
  </si>
  <si>
    <t>гіпсокартонний лист КН (гнучкий), 6,5*1200*3000мм</t>
  </si>
  <si>
    <t>гіпсокартон перфорований   Knauf Cleaneo Akustic (C1-KP) 8/18</t>
  </si>
  <si>
    <t>штукатурка гіпсова МП75 (25кг)</t>
  </si>
  <si>
    <t>рейка маячна штук. 6мм, 3,0м</t>
  </si>
  <si>
    <t>сітка 5*5 скловолокно темнозелена (щільн.165г/м2)</t>
  </si>
  <si>
    <t>суміш гіпсова шпаклювальна КНАУФ Старт</t>
  </si>
  <si>
    <t>суміш гіпсова шпаклювальна КНАУФ Мультіфініш</t>
  </si>
  <si>
    <t>кутник малярний посилений 3,0м</t>
  </si>
  <si>
    <t>клей для плитки Церезіт см 22, 25кг</t>
  </si>
  <si>
    <t>суміш для затирання швів СЕ40</t>
  </si>
  <si>
    <t>кутик для мокрої штукатурки ПВХ, 3,0м</t>
  </si>
  <si>
    <t>профіль UW-75, 3,00м (0,55)</t>
  </si>
  <si>
    <t xml:space="preserve">профіль СW-75, 4,00м (0,55) </t>
  </si>
  <si>
    <t>профіль UD-27, 3,00м (0,55)</t>
  </si>
  <si>
    <t xml:space="preserve">профіль СD-60, 4,00м (0,55) </t>
  </si>
  <si>
    <t xml:space="preserve">профіль UD-27, 3,00м (0,55) </t>
  </si>
  <si>
    <t xml:space="preserve">профіль СD-60, 3,00м (0,55) </t>
  </si>
  <si>
    <t>саморіз 3,5х9,5</t>
  </si>
  <si>
    <t>саморіз 3,5х25</t>
  </si>
  <si>
    <t>підвіс універсальний 125 (товщ. 0,8мм)</t>
  </si>
  <si>
    <t>дюбель металічний T-DN 6,0*40(100шт)</t>
  </si>
  <si>
    <t>стрічка самоклеюча для швів 50мм*45м</t>
  </si>
  <si>
    <t>шпаклівка Кнауф "Уніфлот"</t>
  </si>
  <si>
    <t>скловолокно SN40 (50м2) OWL</t>
  </si>
  <si>
    <t>клей для склохолсту Колорит Strong Adhesive 10кг</t>
  </si>
  <si>
    <t xml:space="preserve">з’єднувач дворівневий для CD </t>
  </si>
  <si>
    <t xml:space="preserve">стеля натяжна </t>
  </si>
  <si>
    <t>Встановлення зовнішніх кутиків ( керамограніт)</t>
  </si>
  <si>
    <t>рейка   Kraft S35xH85 мм ( колір та габарити погодити)(поставка Генпідрядника)</t>
  </si>
  <si>
    <t>дюбель 6х40</t>
  </si>
  <si>
    <t>Влаштування фальшстін на металевому каркасі з обшиванням листами ГКЛ   (крок 400)</t>
  </si>
  <si>
    <t>Влаштування радіальних фальшстін на металевому каркасі з обшиванням листами ГКЛ   (крок 400)</t>
  </si>
  <si>
    <r>
      <t xml:space="preserve">Підстава та шифр проекту: </t>
    </r>
    <r>
      <rPr>
        <b/>
        <sz val="12"/>
        <rFont val="Arial"/>
        <family val="2"/>
        <charset val="204"/>
      </rPr>
      <t>Дизайн-проект ЖК "Park Lake Citi" Буд.2.2 Лобі 1-го пов.</t>
    </r>
  </si>
  <si>
    <r>
      <t>Підрядник:</t>
    </r>
    <r>
      <rPr>
        <b/>
        <sz val="12"/>
        <rFont val="Arial"/>
        <family val="2"/>
        <charset val="204"/>
      </rPr>
      <t xml:space="preserve"> </t>
    </r>
  </si>
  <si>
    <t>Примітки:</t>
  </si>
  <si>
    <t>Вартість Робіт враховує весь комплекс (але не виключно) на даний вид робіт із витратними матеріалами що не визначені явно, всі витрати Підрядника на інструменти, заробітну плату, загальновиробничі та адміністративні витрати , заготівельно-складські витрати, прибуток, згідно переліку ДБН та ДСТУ, вартість пусконалагоджувальних робіт та технічних звітів, актів, протоколів (але не вичерпно) відповідно до систем, вартість гідравлічних та повторних гідравлічних випробувань (при необхідності), вартість експлуатації машин, механізмів (крім тих що надаються Генпідрядником) та засобів малої механізації, обладнання і оснастки, засоби підмощування та риштування, будівельні люльки та підйомники (при необхідності), вартість перебазування на об'єкт, вартість паливно-мастильних матеріалів, прибирання сміття та збирання його у відведених місцях, навантажувально-розвантажувальні роботи, перенесення виробів, інструментів, матеріалів вручну до місця монтажу, геодезичний супровід процесу виконання робіт (при необхідності), дрібні, допоміжні та супутні операції необхідні для виконання Робіт у відповідній якості та комплексності за проектом.</t>
  </si>
  <si>
    <t>Договірною ціною не враховуються витрати на електроенергію і воду.</t>
  </si>
  <si>
    <t>Вартість матеріальних ресурсів в Договірній ціні є з урахуванням транспортних витрат та потребує погодження на момент їх закупівлі.</t>
  </si>
  <si>
    <t>Додаткові та витратні матеріали враховано у вартість робіт.</t>
  </si>
  <si>
    <t>Обсяги і вартість робіт та матеріалів, що використовуються при виконанні робіт, можуть змінюватись відповідно до зміни проектних рішень  з поміткою "До виконання робіт".</t>
  </si>
  <si>
    <t>Норми витрат, встановлені договірною ціною підтверджуються Технологічною картою. Відхилення норм витрат фактичного виконання підтверджуються комісійно за погодженням Генпідрядника.</t>
  </si>
  <si>
    <t>Пробивання та свердлення отворів діаметром до 50мм (що не вказані явно в проектній документації) враховано вартістю робіт і окремо не оплачуються.</t>
  </si>
  <si>
    <t xml:space="preserve">Перед виконанням робіт та виготовленням виробів виконати заміри фактичних прорізів. </t>
  </si>
  <si>
    <t xml:space="preserve"> Конфігурація та комплектація виробів погоджується Генпідрядником та дизайнером.</t>
  </si>
  <si>
    <t xml:space="preserve">Підрядником розробляється проектна документація (КМД) перед початком виконнаня робіт та погоджується із Генпідрядником в установленому порядку.  </t>
  </si>
  <si>
    <t>Підрядник:</t>
  </si>
  <si>
    <t>ТОВ "__________________"</t>
  </si>
  <si>
    <t>ТОВ "____________________"</t>
  </si>
  <si>
    <t>Директор</t>
  </si>
  <si>
    <t>_____________________ ПІБ</t>
  </si>
  <si>
    <t>Всі фінішні покриття ( фарбу, плитку, декоративну штукатурку тощо) погодити з авторами дизайн-проекту.</t>
  </si>
  <si>
    <r>
      <t xml:space="preserve">Найменування об'єкту та його адреса: </t>
    </r>
    <r>
      <rPr>
        <b/>
        <sz val="12"/>
        <rFont val="Arial"/>
        <family val="2"/>
        <charset val="204"/>
      </rPr>
      <t xml:space="preserve">"Багатоквартирний житловий комплекс з об’єктами громадського призначення та благоустроєм території в межах  с. Підгірці Обухівського району Київської області".  </t>
    </r>
  </si>
  <si>
    <r>
      <t xml:space="preserve">Об'єкт будівництва: </t>
    </r>
    <r>
      <rPr>
        <b/>
        <sz val="12"/>
        <rFont val="Arial"/>
        <family val="2"/>
        <charset val="204"/>
      </rPr>
      <t>ПДГ2 Ч2 Будинок 2</t>
    </r>
  </si>
  <si>
    <t xml:space="preserve">Додаток № </t>
  </si>
  <si>
    <t>до тендерного завдання №   від   202_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</si>
</sst>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
    <numFmt numFmtId="166" formatCode="0.0"/>
    <numFmt numFmtId="167" formatCode="#,##0.0"/>
  </numFmts>
  <fonts count="33">
    <font>
      <sz val="11"/>
      <color theme="1"/>
      <name val="Calibri"/>
      <family val="2"/>
      <scheme val="minor"/>
    </font>
    <font>
      <sz val="11"/>
      <color indexed="8"/>
      <name val="Calibri"/>
      <family val="2"/>
      <charset val="204"/>
    </font>
    <font>
      <u/>
      <sz val="10"/>
      <color theme="10"/>
      <name val="Arial Cyr"/>
      <charset val="204"/>
    </font>
    <font>
      <sz val="10"/>
      <name val="Arial Cyr"/>
      <charset val="204"/>
    </font>
    <font>
      <sz val="10"/>
      <name val="Arial"/>
      <family val="2"/>
      <charset val="204"/>
    </font>
    <font>
      <b/>
      <sz val="10"/>
      <name val="Arial"/>
      <family val="2"/>
      <charset val="204"/>
    </font>
    <font>
      <i/>
      <sz val="10"/>
      <name val="Arial"/>
      <family val="2"/>
      <charset val="204"/>
    </font>
    <font>
      <b/>
      <i/>
      <sz val="10"/>
      <name val="Arial"/>
      <family val="2"/>
      <charset val="204"/>
    </font>
    <font>
      <sz val="11"/>
      <color indexed="8"/>
      <name val="Arial1"/>
      <charset val="204"/>
    </font>
    <font>
      <sz val="10"/>
      <color rgb="FF000000"/>
      <name val="Times New Roman"/>
      <family val="1"/>
      <charset val="204"/>
    </font>
    <font>
      <sz val="10"/>
      <name val="Arial Cyr"/>
      <family val="2"/>
      <charset val="204"/>
    </font>
    <font>
      <sz val="10"/>
      <color theme="1"/>
      <name val="Arial"/>
      <family val="2"/>
      <charset val="204"/>
    </font>
    <font>
      <i/>
      <sz val="10"/>
      <color theme="1"/>
      <name val="Arial"/>
      <family val="2"/>
      <charset val="204"/>
    </font>
    <font>
      <sz val="9"/>
      <color indexed="81"/>
      <name val="Tahoma"/>
      <family val="2"/>
      <charset val="204"/>
    </font>
    <font>
      <b/>
      <sz val="9"/>
      <color indexed="81"/>
      <name val="Tahoma"/>
      <family val="2"/>
      <charset val="204"/>
    </font>
    <font>
      <sz val="12"/>
      <name val="Arial"/>
      <family val="2"/>
      <charset val="204"/>
    </font>
    <font>
      <b/>
      <sz val="12"/>
      <name val="Arial"/>
      <family val="2"/>
      <charset val="204"/>
    </font>
    <font>
      <sz val="12"/>
      <color rgb="FFFF0000"/>
      <name val="Arial"/>
      <family val="2"/>
      <charset val="204"/>
    </font>
    <font>
      <b/>
      <sz val="12"/>
      <color rgb="FFFF0000"/>
      <name val="Arial"/>
      <family val="2"/>
      <charset val="204"/>
    </font>
    <font>
      <sz val="12"/>
      <color theme="1"/>
      <name val="Arial"/>
      <family val="2"/>
      <charset val="204"/>
    </font>
    <font>
      <b/>
      <i/>
      <sz val="12"/>
      <name val="Arial"/>
      <family val="2"/>
      <charset val="204"/>
    </font>
    <font>
      <sz val="12"/>
      <color theme="8" tint="-0.249977111117893"/>
      <name val="Arial"/>
      <family val="2"/>
      <charset val="204"/>
    </font>
    <font>
      <b/>
      <sz val="12"/>
      <color theme="8" tint="-0.249977111117893"/>
      <name val="Arial"/>
      <family val="2"/>
      <charset val="204"/>
    </font>
    <font>
      <b/>
      <i/>
      <sz val="12"/>
      <color theme="8" tint="-0.249977111117893"/>
      <name val="Arial"/>
      <family val="2"/>
      <charset val="204"/>
    </font>
    <font>
      <b/>
      <sz val="12"/>
      <color theme="4" tint="-0.249977111117893"/>
      <name val="Arial"/>
      <family val="2"/>
      <charset val="204"/>
    </font>
    <font>
      <i/>
      <sz val="12"/>
      <name val="Arial"/>
      <family val="2"/>
      <charset val="204"/>
    </font>
    <font>
      <sz val="12"/>
      <color rgb="FFFF0066"/>
      <name val="Arial"/>
      <family val="2"/>
      <charset val="204"/>
    </font>
    <font>
      <sz val="12"/>
      <color theme="4" tint="-0.249977111117893"/>
      <name val="Arial"/>
      <family val="2"/>
      <charset val="204"/>
    </font>
    <font>
      <sz val="12"/>
      <color rgb="FFC00000"/>
      <name val="Arial"/>
      <family val="2"/>
      <charset val="204"/>
    </font>
    <font>
      <i/>
      <sz val="12"/>
      <color rgb="FFFF0000"/>
      <name val="Arial"/>
      <family val="2"/>
      <charset val="204"/>
    </font>
    <font>
      <b/>
      <sz val="12"/>
      <color indexed="8"/>
      <name val="Arial"/>
      <family val="2"/>
      <charset val="204"/>
    </font>
    <font>
      <b/>
      <u/>
      <sz val="10"/>
      <name val="Arial"/>
      <family val="2"/>
      <charset val="204"/>
    </font>
    <font>
      <i/>
      <sz val="10"/>
      <color rgb="FFFF0000"/>
      <name val="Arial"/>
      <family val="2"/>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1" fillId="0" borderId="0"/>
    <xf numFmtId="0" fontId="2" fillId="0" borderId="0" applyNumberFormat="0" applyFill="0" applyBorder="0" applyAlignment="0" applyProtection="0">
      <alignment vertical="top"/>
      <protection locked="0"/>
    </xf>
    <xf numFmtId="0" fontId="1" fillId="0" borderId="0"/>
    <xf numFmtId="0" fontId="3" fillId="0" borderId="0"/>
    <xf numFmtId="0" fontId="1" fillId="0" borderId="0"/>
    <xf numFmtId="0" fontId="1" fillId="0" borderId="0"/>
    <xf numFmtId="0" fontId="9" fillId="0" borderId="0"/>
    <xf numFmtId="0" fontId="8" fillId="0" borderId="0"/>
    <xf numFmtId="0" fontId="10" fillId="0" borderId="0"/>
    <xf numFmtId="0" fontId="3" fillId="0" borderId="0"/>
    <xf numFmtId="0" fontId="3" fillId="0" borderId="0"/>
    <xf numFmtId="0" fontId="3" fillId="0" borderId="0"/>
    <xf numFmtId="0" fontId="3" fillId="0" borderId="0"/>
  </cellStyleXfs>
  <cellXfs count="224">
    <xf numFmtId="0" fontId="0" fillId="0" borderId="0" xfId="0"/>
    <xf numFmtId="0" fontId="5"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wrapText="1"/>
    </xf>
    <xf numFmtId="4" fontId="11" fillId="0" borderId="7" xfId="0" applyNumberFormat="1" applyFont="1" applyBorder="1"/>
    <xf numFmtId="0" fontId="4" fillId="0" borderId="1" xfId="0" applyFont="1" applyFill="1" applyBorder="1" applyAlignment="1">
      <alignment horizontal="center" wrapText="1"/>
    </xf>
    <xf numFmtId="0" fontId="4" fillId="0" borderId="0" xfId="0" applyFont="1" applyFill="1"/>
    <xf numFmtId="4" fontId="7" fillId="0" borderId="1" xfId="0" applyNumberFormat="1" applyFont="1" applyFill="1" applyBorder="1" applyAlignment="1">
      <alignment horizontal="center" wrapText="1"/>
    </xf>
    <xf numFmtId="4" fontId="12" fillId="0" borderId="7" xfId="0" applyNumberFormat="1" applyFont="1" applyBorder="1"/>
    <xf numFmtId="2" fontId="6" fillId="0" borderId="1" xfId="0" applyNumberFormat="1" applyFont="1" applyFill="1" applyBorder="1" applyAlignment="1">
      <alignment horizontal="right" vertical="center" wrapText="1"/>
    </xf>
    <xf numFmtId="0" fontId="15" fillId="0" borderId="0" xfId="0" applyNumberFormat="1" applyFont="1" applyFill="1" applyAlignment="1">
      <alignment vertical="center"/>
    </xf>
    <xf numFmtId="0" fontId="15" fillId="0" borderId="0" xfId="0" applyFont="1" applyFill="1"/>
    <xf numFmtId="0" fontId="17" fillId="0" borderId="0" xfId="0" applyFont="1" applyFill="1" applyAlignment="1">
      <alignment horizontal="center"/>
    </xf>
    <xf numFmtId="0" fontId="16" fillId="0" borderId="0" xfId="0" applyNumberFormat="1" applyFont="1" applyFill="1" applyAlignment="1">
      <alignment vertical="center"/>
    </xf>
    <xf numFmtId="0" fontId="16" fillId="0" borderId="0" xfId="0" applyNumberFormat="1" applyFont="1" applyFill="1" applyAlignment="1">
      <alignment horizontal="center"/>
    </xf>
    <xf numFmtId="0" fontId="16" fillId="0" borderId="0" xfId="0" applyNumberFormat="1" applyFont="1" applyFill="1" applyAlignment="1">
      <alignment horizontal="center" vertical="center"/>
    </xf>
    <xf numFmtId="0" fontId="15" fillId="0" borderId="0" xfId="0" applyFont="1" applyFill="1" applyBorder="1" applyAlignment="1">
      <alignment horizont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Alignment="1">
      <alignment horizontal="center" wrapText="1"/>
    </xf>
    <xf numFmtId="4" fontId="17" fillId="0" borderId="0" xfId="0" applyNumberFormat="1" applyFont="1" applyFill="1" applyAlignment="1">
      <alignment horizontal="center"/>
    </xf>
    <xf numFmtId="4" fontId="15" fillId="0" borderId="0" xfId="0" applyNumberFormat="1" applyFont="1" applyFill="1"/>
    <xf numFmtId="49"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wrapText="1"/>
    </xf>
    <xf numFmtId="4" fontId="15" fillId="0" borderId="1" xfId="0" applyNumberFormat="1" applyFont="1" applyFill="1" applyBorder="1" applyAlignment="1">
      <alignment horizontal="center" wrapText="1"/>
    </xf>
    <xf numFmtId="4"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wrapText="1"/>
    </xf>
    <xf numFmtId="4" fontId="16" fillId="0" borderId="1" xfId="0" applyNumberFormat="1" applyFont="1" applyFill="1" applyBorder="1" applyAlignment="1">
      <alignment horizontal="center" vertical="center" wrapText="1"/>
    </xf>
    <xf numFmtId="4" fontId="16" fillId="0" borderId="0" xfId="0" applyNumberFormat="1" applyFont="1" applyFill="1"/>
    <xf numFmtId="4" fontId="18" fillId="0" borderId="0" xfId="0" applyNumberFormat="1" applyFont="1" applyFill="1" applyAlignment="1">
      <alignment horizontal="center"/>
    </xf>
    <xf numFmtId="0" fontId="16" fillId="0" borderId="0" xfId="0" applyFont="1" applyFill="1"/>
    <xf numFmtId="4" fontId="16" fillId="0" borderId="0" xfId="0" applyNumberFormat="1" applyFont="1" applyFill="1" applyAlignment="1">
      <alignment horizontal="center"/>
    </xf>
    <xf numFmtId="4" fontId="16" fillId="0" borderId="0" xfId="0" applyNumberFormat="1" applyFont="1" applyFill="1" applyAlignment="1">
      <alignment vertical="top"/>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right" vertical="center" wrapText="1"/>
    </xf>
    <xf numFmtId="49"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wrapText="1"/>
    </xf>
    <xf numFmtId="4" fontId="16"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wrapText="1"/>
    </xf>
    <xf numFmtId="4" fontId="15" fillId="2" borderId="1" xfId="0" applyNumberFormat="1" applyFont="1" applyFill="1" applyBorder="1" applyAlignment="1">
      <alignment horizontal="center" vertical="center" wrapText="1"/>
    </xf>
    <xf numFmtId="0" fontId="19" fillId="0" borderId="0" xfId="0" applyFont="1" applyFill="1" applyAlignment="1">
      <alignment horizontal="center" vertical="top" wrapText="1"/>
    </xf>
    <xf numFmtId="2" fontId="15" fillId="0" borderId="1" xfId="0" applyNumberFormat="1" applyFont="1" applyFill="1" applyBorder="1" applyAlignment="1">
      <alignment horizontal="center"/>
    </xf>
    <xf numFmtId="0" fontId="16" fillId="0" borderId="1" xfId="0" applyFont="1" applyFill="1" applyBorder="1" applyAlignment="1">
      <alignment vertical="center" wrapText="1"/>
    </xf>
    <xf numFmtId="49" fontId="16" fillId="0" borderId="1" xfId="3" applyNumberFormat="1" applyFont="1" applyFill="1" applyBorder="1" applyAlignment="1" applyProtection="1">
      <alignment horizontal="center" vertical="center" wrapText="1"/>
      <protection locked="0"/>
    </xf>
    <xf numFmtId="2" fontId="20" fillId="0" borderId="1" xfId="0" applyNumberFormat="1" applyFont="1" applyFill="1" applyBorder="1" applyAlignment="1">
      <alignment horizontal="center" vertical="center"/>
    </xf>
    <xf numFmtId="0" fontId="21" fillId="0" borderId="0" xfId="0" applyFont="1" applyFill="1"/>
    <xf numFmtId="4" fontId="22" fillId="0" borderId="0" xfId="0" applyNumberFormat="1" applyFont="1" applyFill="1" applyAlignment="1">
      <alignment vertical="top"/>
    </xf>
    <xf numFmtId="3" fontId="15" fillId="0" borderId="1" xfId="0" applyNumberFormat="1" applyFont="1" applyFill="1" applyBorder="1" applyAlignment="1">
      <alignment horizontal="center" wrapText="1"/>
    </xf>
    <xf numFmtId="0" fontId="23" fillId="0" borderId="0" xfId="0" applyFont="1" applyFill="1"/>
    <xf numFmtId="4" fontId="23" fillId="0" borderId="0" xfId="0" applyNumberFormat="1" applyFont="1" applyFill="1" applyAlignment="1">
      <alignment horizontal="left"/>
    </xf>
    <xf numFmtId="4" fontId="15" fillId="0" borderId="3" xfId="0" applyNumberFormat="1" applyFont="1" applyFill="1" applyBorder="1"/>
    <xf numFmtId="4" fontId="15" fillId="0" borderId="0" xfId="0" applyNumberFormat="1" applyFont="1" applyFill="1" applyBorder="1"/>
    <xf numFmtId="4" fontId="16" fillId="0" borderId="0" xfId="0" applyNumberFormat="1" applyFont="1" applyFill="1" applyBorder="1"/>
    <xf numFmtId="4" fontId="20" fillId="0" borderId="0" xfId="0" applyNumberFormat="1" applyFont="1" applyFill="1" applyAlignment="1">
      <alignment horizontal="center"/>
    </xf>
    <xf numFmtId="0" fontId="20" fillId="0" borderId="3" xfId="0" applyFont="1" applyFill="1" applyBorder="1"/>
    <xf numFmtId="4" fontId="16" fillId="0" borderId="0" xfId="0" applyNumberFormat="1" applyFont="1" applyFill="1" applyBorder="1" applyAlignment="1">
      <alignment vertical="top"/>
    </xf>
    <xf numFmtId="4" fontId="20" fillId="0" borderId="3" xfId="0" applyNumberFormat="1" applyFont="1" applyFill="1" applyBorder="1"/>
    <xf numFmtId="49" fontId="16" fillId="0" borderId="1" xfId="1"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xf>
    <xf numFmtId="2" fontId="16" fillId="0" borderId="1" xfId="0" applyNumberFormat="1" applyFont="1" applyFill="1" applyBorder="1" applyAlignment="1">
      <alignment horizontal="center" wrapText="1"/>
    </xf>
    <xf numFmtId="4" fontId="16" fillId="0" borderId="1" xfId="0" applyNumberFormat="1" applyFont="1" applyFill="1" applyBorder="1" applyAlignment="1">
      <alignment horizontal="right" vertical="center"/>
    </xf>
    <xf numFmtId="0" fontId="18" fillId="0" borderId="0" xfId="0" applyFont="1" applyFill="1" applyAlignment="1">
      <alignment horizontal="center"/>
    </xf>
    <xf numFmtId="0" fontId="24" fillId="0" borderId="0" xfId="0" applyFont="1" applyFill="1"/>
    <xf numFmtId="0" fontId="15" fillId="0" borderId="1" xfId="0" applyFont="1" applyFill="1" applyBorder="1" applyAlignment="1">
      <alignment horizontal="right" vertical="center" wrapText="1"/>
    </xf>
    <xf numFmtId="49" fontId="15" fillId="0" borderId="1" xfId="1" applyNumberFormat="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xf>
    <xf numFmtId="2" fontId="15" fillId="0" borderId="1" xfId="0" applyNumberFormat="1" applyFont="1" applyFill="1" applyBorder="1" applyAlignment="1">
      <alignment horizontal="center" wrapText="1"/>
    </xf>
    <xf numFmtId="4" fontId="16" fillId="0" borderId="1" xfId="0" applyNumberFormat="1" applyFont="1" applyFill="1" applyBorder="1" applyAlignment="1">
      <alignment horizontal="center" vertical="center"/>
    </xf>
    <xf numFmtId="2" fontId="15" fillId="0" borderId="1" xfId="0" applyNumberFormat="1" applyFont="1" applyFill="1" applyBorder="1" applyAlignment="1">
      <alignment horizontal="center" vertical="center"/>
    </xf>
    <xf numFmtId="0" fontId="15" fillId="0" borderId="1" xfId="0" applyFont="1" applyFill="1" applyBorder="1" applyAlignment="1">
      <alignment horizontal="right" vertical="top" wrapText="1"/>
    </xf>
    <xf numFmtId="0" fontId="15" fillId="0" borderId="1" xfId="0" applyFont="1" applyFill="1" applyBorder="1" applyAlignment="1">
      <alignment horizontal="right" vertical="top"/>
    </xf>
    <xf numFmtId="49" fontId="16" fillId="0" borderId="1" xfId="1" applyNumberFormat="1" applyFont="1" applyFill="1" applyBorder="1" applyAlignment="1" applyProtection="1">
      <alignment horizontal="left" vertical="center" wrapText="1"/>
      <protection locked="0"/>
    </xf>
    <xf numFmtId="4" fontId="16" fillId="0" borderId="1" xfId="0" applyNumberFormat="1" applyFont="1" applyFill="1" applyBorder="1" applyAlignment="1">
      <alignment horizontal="center"/>
    </xf>
    <xf numFmtId="0" fontId="15" fillId="0" borderId="1" xfId="0" applyFont="1" applyFill="1" applyBorder="1" applyAlignment="1">
      <alignment horizontal="right"/>
    </xf>
    <xf numFmtId="4" fontId="15" fillId="0" borderId="0" xfId="0" applyNumberFormat="1" applyFont="1" applyFill="1" applyAlignment="1">
      <alignment horizontal="left"/>
    </xf>
    <xf numFmtId="0" fontId="15" fillId="0" borderId="0" xfId="0" applyFont="1" applyFill="1" applyAlignment="1">
      <alignment horizontal="center"/>
    </xf>
    <xf numFmtId="49" fontId="16" fillId="2" borderId="1" xfId="1" applyNumberFormat="1" applyFont="1" applyFill="1" applyBorder="1" applyAlignment="1" applyProtection="1">
      <alignment horizontal="left" vertical="top"/>
      <protection locked="0"/>
    </xf>
    <xf numFmtId="49" fontId="16" fillId="2" borderId="1" xfId="1" applyNumberFormat="1" applyFont="1" applyFill="1" applyBorder="1" applyAlignment="1" applyProtection="1">
      <alignment horizontal="center" vertical="center" wrapText="1"/>
      <protection locked="0"/>
    </xf>
    <xf numFmtId="4" fontId="15" fillId="0" borderId="1" xfId="0" applyNumberFormat="1" applyFont="1" applyFill="1" applyBorder="1" applyAlignment="1">
      <alignment horizontal="right" vertical="center"/>
    </xf>
    <xf numFmtId="0" fontId="15" fillId="2" borderId="0" xfId="0" applyFont="1" applyFill="1"/>
    <xf numFmtId="0" fontId="15" fillId="2" borderId="0" xfId="0" applyFont="1" applyFill="1" applyAlignment="1">
      <alignment horizontal="center"/>
    </xf>
    <xf numFmtId="4" fontId="15" fillId="2" borderId="0" xfId="0" applyNumberFormat="1" applyFont="1" applyFill="1"/>
    <xf numFmtId="0" fontId="15" fillId="2" borderId="1" xfId="0" applyFont="1" applyFill="1" applyBorder="1" applyAlignment="1">
      <alignment horizontal="right" vertical="center" wrapText="1"/>
    </xf>
    <xf numFmtId="0" fontId="15" fillId="2" borderId="1" xfId="0" applyFont="1" applyFill="1" applyBorder="1" applyAlignment="1">
      <alignment horizontal="center" vertical="center"/>
    </xf>
    <xf numFmtId="4" fontId="16" fillId="2" borderId="1" xfId="0" applyNumberFormat="1" applyFont="1" applyFill="1" applyBorder="1" applyAlignment="1">
      <alignment horizontal="right" vertical="center" wrapText="1"/>
    </xf>
    <xf numFmtId="0" fontId="15" fillId="2" borderId="1" xfId="0" applyFont="1" applyFill="1" applyBorder="1" applyAlignment="1">
      <alignment horizontal="right"/>
    </xf>
    <xf numFmtId="0" fontId="15" fillId="0" borderId="0" xfId="0" applyFont="1" applyFill="1" applyAlignment="1">
      <alignment horizontal="right"/>
    </xf>
    <xf numFmtId="49" fontId="16" fillId="0" borderId="1" xfId="3" applyNumberFormat="1" applyFont="1" applyFill="1" applyBorder="1" applyAlignment="1" applyProtection="1">
      <alignment horizontal="left" vertical="top"/>
      <protection locked="0"/>
    </xf>
    <xf numFmtId="0" fontId="25" fillId="0" borderId="1" xfId="0" applyFont="1" applyFill="1" applyBorder="1" applyAlignment="1">
      <alignment horizontal="right" vertical="center" wrapText="1"/>
    </xf>
    <xf numFmtId="4" fontId="26" fillId="0" borderId="3" xfId="0" applyNumberFormat="1" applyFont="1" applyFill="1" applyBorder="1"/>
    <xf numFmtId="0" fontId="15" fillId="0" borderId="1" xfId="2" applyFont="1" applyFill="1" applyBorder="1" applyAlignment="1" applyProtection="1">
      <alignment horizontal="right" vertical="center" wrapText="1"/>
    </xf>
    <xf numFmtId="0" fontId="24" fillId="0" borderId="0" xfId="0" applyFont="1" applyFill="1" applyAlignment="1">
      <alignment horizontal="right"/>
    </xf>
    <xf numFmtId="0" fontId="27" fillId="0" borderId="0" xfId="0" applyFont="1" applyFill="1"/>
    <xf numFmtId="4" fontId="28" fillId="0" borderId="0" xfId="0" applyNumberFormat="1" applyFont="1" applyFill="1"/>
    <xf numFmtId="2" fontId="16" fillId="0" borderId="1" xfId="0" applyNumberFormat="1" applyFont="1" applyFill="1" applyBorder="1" applyAlignment="1">
      <alignment horizontal="center" vertical="center"/>
    </xf>
    <xf numFmtId="49" fontId="16" fillId="0" borderId="1" xfId="3" applyNumberFormat="1" applyFont="1" applyFill="1" applyBorder="1" applyAlignment="1" applyProtection="1">
      <alignment horizontal="left" vertical="top" wrapText="1"/>
      <protection locked="0"/>
    </xf>
    <xf numFmtId="49" fontId="15" fillId="0" borderId="1" xfId="3" applyNumberFormat="1" applyFont="1" applyFill="1" applyBorder="1" applyAlignment="1" applyProtection="1">
      <alignment horizontal="right" vertical="top" wrapText="1"/>
      <protection locked="0"/>
    </xf>
    <xf numFmtId="166" fontId="16" fillId="0" borderId="1" xfId="0" applyNumberFormat="1" applyFont="1" applyFill="1" applyBorder="1" applyAlignment="1">
      <alignment horizontal="center" wrapText="1"/>
    </xf>
    <xf numFmtId="49" fontId="16" fillId="2" borderId="1" xfId="1" applyNumberFormat="1" applyFont="1" applyFill="1" applyBorder="1" applyAlignment="1" applyProtection="1">
      <alignment horizontal="left" vertical="top" wrapText="1"/>
      <protection locked="0"/>
    </xf>
    <xf numFmtId="2" fontId="16" fillId="2" borderId="1" xfId="0" applyNumberFormat="1" applyFont="1" applyFill="1" applyBorder="1" applyAlignment="1">
      <alignment horizontal="center" vertical="center"/>
    </xf>
    <xf numFmtId="2" fontId="15" fillId="2" borderId="1" xfId="0" applyNumberFormat="1" applyFont="1" applyFill="1" applyBorder="1" applyAlignment="1">
      <alignment horizontal="center" vertical="center"/>
    </xf>
    <xf numFmtId="2" fontId="15" fillId="0" borderId="1" xfId="0" applyNumberFormat="1" applyFont="1" applyFill="1" applyBorder="1" applyAlignment="1">
      <alignment horizontal="center" vertical="center" wrapText="1"/>
    </xf>
    <xf numFmtId="0" fontId="15" fillId="2" borderId="1" xfId="0" applyFont="1" applyFill="1" applyBorder="1" applyAlignment="1">
      <alignment horizontal="right" vertical="top"/>
    </xf>
    <xf numFmtId="0" fontId="15" fillId="2" borderId="1" xfId="0" applyFont="1" applyFill="1" applyBorder="1" applyAlignment="1">
      <alignment horizontal="center" vertical="center" wrapText="1"/>
    </xf>
    <xf numFmtId="2" fontId="15" fillId="2"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xf>
    <xf numFmtId="49" fontId="25" fillId="0" borderId="1" xfId="0" applyNumberFormat="1" applyFont="1" applyFill="1" applyBorder="1" applyAlignment="1">
      <alignment horizontal="center" vertical="center"/>
    </xf>
    <xf numFmtId="0" fontId="25" fillId="0" borderId="4" xfId="0" applyFont="1" applyFill="1" applyBorder="1" applyAlignment="1">
      <alignment horizontal="right" vertical="center" wrapText="1"/>
    </xf>
    <xf numFmtId="2" fontId="25" fillId="0" borderId="1" xfId="0" applyNumberFormat="1" applyFont="1" applyFill="1" applyBorder="1" applyAlignment="1">
      <alignment horizontal="center" vertical="center"/>
    </xf>
    <xf numFmtId="4" fontId="16" fillId="0" borderId="4" xfId="0" applyNumberFormat="1" applyFont="1" applyFill="1" applyBorder="1" applyAlignment="1">
      <alignment horizontal="center" vertical="center"/>
    </xf>
    <xf numFmtId="4" fontId="25" fillId="0" borderId="1" xfId="0" applyNumberFormat="1" applyFont="1" applyFill="1" applyBorder="1" applyAlignment="1">
      <alignment horizontal="center" vertical="center" wrapText="1"/>
    </xf>
    <xf numFmtId="4" fontId="25" fillId="0" borderId="0" xfId="0" applyNumberFormat="1" applyFont="1" applyFill="1"/>
    <xf numFmtId="4" fontId="29" fillId="0" borderId="0" xfId="0" applyNumberFormat="1" applyFont="1" applyFill="1" applyAlignment="1">
      <alignment horizontal="center"/>
    </xf>
    <xf numFmtId="0" fontId="25" fillId="0" borderId="0" xfId="0" applyFont="1" applyFill="1"/>
    <xf numFmtId="49" fontId="16" fillId="0" borderId="2" xfId="3" applyNumberFormat="1" applyFont="1" applyFill="1" applyBorder="1" applyAlignment="1" applyProtection="1">
      <alignment horizontal="center" vertical="center" wrapText="1"/>
      <protection locked="0"/>
    </xf>
    <xf numFmtId="2" fontId="16" fillId="0" borderId="2" xfId="0" applyNumberFormat="1" applyFont="1" applyFill="1" applyBorder="1" applyAlignment="1">
      <alignment horizontal="center" vertical="center"/>
    </xf>
    <xf numFmtId="2" fontId="20" fillId="0" borderId="5" xfId="0" applyNumberFormat="1" applyFont="1" applyFill="1" applyBorder="1" applyAlignment="1">
      <alignment horizontal="center" vertical="center"/>
    </xf>
    <xf numFmtId="2" fontId="20" fillId="0" borderId="2" xfId="0" applyNumberFormat="1" applyFont="1" applyFill="1" applyBorder="1" applyAlignment="1">
      <alignment horizontal="center" vertical="center"/>
    </xf>
    <xf numFmtId="49" fontId="16" fillId="0" borderId="1" xfId="1" applyNumberFormat="1" applyFont="1" applyFill="1" applyBorder="1" applyAlignment="1" applyProtection="1">
      <alignment horizontal="left" vertical="top"/>
      <protection locked="0"/>
    </xf>
    <xf numFmtId="4" fontId="18" fillId="0" borderId="1"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wrapText="1"/>
    </xf>
    <xf numFmtId="0" fontId="30" fillId="0" borderId="4" xfId="13" applyFont="1" applyFill="1" applyBorder="1" applyAlignment="1">
      <alignment horizontal="left" vertical="top" wrapText="1"/>
    </xf>
    <xf numFmtId="49" fontId="15" fillId="0" borderId="2" xfId="3" applyNumberFormat="1" applyFont="1" applyFill="1" applyBorder="1" applyAlignment="1" applyProtection="1">
      <alignment horizontal="center" vertical="center" wrapText="1"/>
      <protection locked="0"/>
    </xf>
    <xf numFmtId="0" fontId="18" fillId="0" borderId="5" xfId="0" applyFont="1" applyFill="1" applyBorder="1" applyAlignment="1">
      <alignment vertical="center"/>
    </xf>
    <xf numFmtId="0" fontId="15" fillId="0" borderId="6" xfId="0" applyFont="1" applyFill="1" applyBorder="1" applyAlignment="1">
      <alignment vertical="center"/>
    </xf>
    <xf numFmtId="0" fontId="15" fillId="0" borderId="6" xfId="0" applyFont="1" applyFill="1" applyBorder="1" applyAlignment="1">
      <alignment horizontal="center"/>
    </xf>
    <xf numFmtId="49" fontId="16" fillId="0" borderId="1" xfId="1" applyNumberFormat="1" applyFont="1" applyFill="1" applyBorder="1" applyAlignment="1" applyProtection="1">
      <alignment horizontal="left" vertical="top" wrapText="1"/>
      <protection locked="0"/>
    </xf>
    <xf numFmtId="4" fontId="15" fillId="0" borderId="1" xfId="0" applyNumberFormat="1" applyFont="1" applyFill="1" applyBorder="1" applyAlignment="1">
      <alignment horizontal="center"/>
    </xf>
    <xf numFmtId="0" fontId="25" fillId="2" borderId="1" xfId="0" applyFont="1" applyFill="1" applyBorder="1" applyAlignment="1">
      <alignment horizontal="righ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15" fillId="2" borderId="1" xfId="2" applyFont="1" applyFill="1" applyBorder="1" applyAlignment="1" applyProtection="1">
      <alignment horizontal="right" vertical="center" wrapText="1"/>
    </xf>
    <xf numFmtId="165"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left" vertical="center" wrapText="1"/>
    </xf>
    <xf numFmtId="4" fontId="15" fillId="0" borderId="1" xfId="0" applyNumberFormat="1" applyFont="1" applyFill="1" applyBorder="1" applyAlignment="1">
      <alignment horizontal="center" vertical="center"/>
    </xf>
    <xf numFmtId="4" fontId="15" fillId="0" borderId="1" xfId="0" applyNumberFormat="1" applyFont="1" applyFill="1" applyBorder="1" applyAlignment="1">
      <alignment horizontal="right" vertical="center" wrapText="1"/>
    </xf>
    <xf numFmtId="0" fontId="16" fillId="0" borderId="1" xfId="0" applyNumberFormat="1" applyFont="1" applyFill="1" applyBorder="1" applyAlignment="1">
      <alignment horizontal="left" vertical="center" wrapText="1"/>
    </xf>
    <xf numFmtId="4" fontId="16" fillId="0" borderId="1" xfId="0" applyNumberFormat="1" applyFont="1" applyFill="1" applyBorder="1" applyAlignment="1">
      <alignment horizontal="right" vertical="center" wrapText="1"/>
    </xf>
    <xf numFmtId="0" fontId="15" fillId="0" borderId="1" xfId="0" applyNumberFormat="1" applyFont="1" applyFill="1" applyBorder="1" applyAlignment="1">
      <alignment horizontal="right" vertical="center" wrapText="1"/>
    </xf>
    <xf numFmtId="0" fontId="16" fillId="0" borderId="1" xfId="0" applyNumberFormat="1" applyFont="1" applyFill="1" applyBorder="1" applyAlignment="1">
      <alignment vertical="center" wrapText="1"/>
    </xf>
    <xf numFmtId="0" fontId="16" fillId="0" borderId="1" xfId="0" applyNumberFormat="1" applyFont="1" applyFill="1" applyBorder="1" applyAlignment="1">
      <alignment horizontal="center" wrapText="1"/>
    </xf>
    <xf numFmtId="0" fontId="16" fillId="0" borderId="1" xfId="0" applyNumberFormat="1" applyFont="1" applyFill="1" applyBorder="1" applyAlignment="1">
      <alignment horizontal="right" vertical="center" wrapText="1"/>
    </xf>
    <xf numFmtId="0" fontId="15" fillId="0" borderId="1" xfId="0" applyFont="1" applyFill="1" applyBorder="1"/>
    <xf numFmtId="0" fontId="15" fillId="0" borderId="1" xfId="0" applyNumberFormat="1" applyFont="1" applyFill="1" applyBorder="1" applyAlignment="1">
      <alignment vertical="center" wrapText="1"/>
    </xf>
    <xf numFmtId="0" fontId="15" fillId="0" borderId="0" xfId="0" applyNumberFormat="1" applyFont="1" applyFill="1" applyBorder="1" applyAlignment="1">
      <alignment vertical="center"/>
    </xf>
    <xf numFmtId="0" fontId="15" fillId="0" borderId="0" xfId="0" applyFont="1" applyFill="1" applyBorder="1"/>
    <xf numFmtId="4" fontId="15" fillId="0" borderId="0" xfId="0" applyNumberFormat="1" applyFont="1" applyFill="1" applyBorder="1" applyAlignment="1">
      <alignment horizontal="center"/>
    </xf>
    <xf numFmtId="4" fontId="16"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horizontal="center" vertical="top" wrapText="1"/>
    </xf>
    <xf numFmtId="0" fontId="20" fillId="0" borderId="0" xfId="0" applyFont="1" applyFill="1" applyBorder="1" applyAlignment="1">
      <alignment horizontal="center" wrapText="1"/>
    </xf>
    <xf numFmtId="0" fontId="25" fillId="0" borderId="0" xfId="0" applyNumberFormat="1" applyFont="1" applyFill="1" applyBorder="1" applyAlignment="1">
      <alignment horizontal="center" vertical="top" wrapText="1"/>
    </xf>
    <xf numFmtId="0" fontId="25" fillId="0" borderId="0" xfId="0" applyFont="1" applyFill="1" applyBorder="1" applyAlignment="1">
      <alignment horizontal="left" vertical="top"/>
    </xf>
    <xf numFmtId="0" fontId="25" fillId="0" borderId="0" xfId="0" applyFont="1" applyFill="1" applyBorder="1" applyAlignment="1">
      <alignment vertical="top"/>
    </xf>
    <xf numFmtId="0" fontId="25" fillId="0" borderId="0" xfId="0" applyFont="1" applyFill="1" applyBorder="1" applyAlignment="1">
      <alignment horizontal="center"/>
    </xf>
    <xf numFmtId="0" fontId="25" fillId="0" borderId="0" xfId="0" applyFont="1" applyFill="1" applyBorder="1" applyAlignment="1">
      <alignment horizontal="center" vertical="top"/>
    </xf>
    <xf numFmtId="0" fontId="15" fillId="0" borderId="0" xfId="0" applyFont="1" applyFill="1" applyAlignment="1">
      <alignment vertical="center"/>
    </xf>
    <xf numFmtId="0" fontId="17" fillId="0" borderId="0" xfId="0" applyFont="1" applyFill="1" applyAlignment="1">
      <alignment horizontal="center" vertical="center"/>
    </xf>
    <xf numFmtId="2" fontId="15" fillId="0" borderId="0" xfId="0" applyNumberFormat="1" applyFont="1" applyFill="1" applyAlignment="1">
      <alignment horizontal="center"/>
    </xf>
    <xf numFmtId="2" fontId="25" fillId="0" borderId="1" xfId="0" applyNumberFormat="1" applyFont="1" applyFill="1" applyBorder="1" applyAlignment="1">
      <alignment horizontal="center" vertical="center" wrapText="1"/>
    </xf>
    <xf numFmtId="49" fontId="16" fillId="2" borderId="1" xfId="3" applyNumberFormat="1" applyFont="1" applyFill="1" applyBorder="1" applyAlignment="1" applyProtection="1">
      <alignment horizontal="left" vertical="top" wrapText="1"/>
      <protection locked="0"/>
    </xf>
    <xf numFmtId="49" fontId="15" fillId="2" borderId="1" xfId="3" applyNumberFormat="1" applyFont="1" applyFill="1" applyBorder="1" applyAlignment="1" applyProtection="1">
      <alignment horizontal="right" vertical="top" wrapText="1"/>
      <protection locked="0"/>
    </xf>
    <xf numFmtId="49" fontId="15" fillId="2" borderId="1" xfId="1" applyNumberFormat="1" applyFont="1" applyFill="1" applyBorder="1" applyAlignment="1" applyProtection="1">
      <alignment horizontal="center" vertical="center" wrapText="1"/>
      <protection locked="0"/>
    </xf>
    <xf numFmtId="49" fontId="16" fillId="2" borderId="1" xfId="0" applyNumberFormat="1" applyFont="1" applyFill="1" applyBorder="1" applyAlignment="1">
      <alignment vertical="center" wrapText="1"/>
    </xf>
    <xf numFmtId="167" fontId="16" fillId="0" borderId="1" xfId="0" applyNumberFormat="1" applyFont="1" applyFill="1" applyBorder="1" applyAlignment="1">
      <alignment horizontal="center" vertical="center" wrapText="1"/>
    </xf>
    <xf numFmtId="49" fontId="15" fillId="2" borderId="1" xfId="0" applyNumberFormat="1" applyFont="1" applyFill="1" applyBorder="1" applyAlignment="1">
      <alignment horizontal="right" vertical="center" wrapText="1"/>
    </xf>
    <xf numFmtId="49" fontId="15" fillId="2" borderId="1" xfId="0" applyNumberFormat="1" applyFont="1" applyFill="1" applyBorder="1" applyAlignment="1">
      <alignment horizontal="center" vertical="center" wrapText="1"/>
    </xf>
    <xf numFmtId="167" fontId="15" fillId="0" borderId="1" xfId="0" applyNumberFormat="1"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16" fillId="2" borderId="1" xfId="0" applyFont="1" applyFill="1" applyBorder="1" applyAlignment="1">
      <alignment vertical="center" wrapText="1"/>
    </xf>
    <xf numFmtId="0" fontId="15" fillId="0" borderId="0" xfId="0" applyFont="1" applyFill="1" applyBorder="1" applyAlignment="1">
      <alignment horizontal="left" vertical="center"/>
    </xf>
    <xf numFmtId="0" fontId="16" fillId="0" borderId="0" xfId="0" applyFont="1" applyFill="1" applyAlignment="1">
      <alignment horizontal="right"/>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wrapText="1"/>
    </xf>
    <xf numFmtId="0" fontId="16" fillId="0" borderId="1" xfId="0" applyFont="1" applyFill="1" applyBorder="1" applyAlignment="1">
      <alignment horizontal="center" vertical="center" wrapText="1"/>
    </xf>
    <xf numFmtId="4" fontId="15" fillId="0" borderId="0" xfId="0" applyNumberFormat="1" applyFont="1" applyFill="1" applyAlignment="1">
      <alignment horizontal="center"/>
    </xf>
    <xf numFmtId="0" fontId="15" fillId="0" borderId="0" xfId="0" applyFont="1" applyFill="1" applyAlignment="1">
      <alignment horizontal="center" wrapText="1"/>
    </xf>
    <xf numFmtId="4" fontId="15" fillId="0" borderId="0" xfId="0" applyNumberFormat="1" applyFont="1" applyFill="1" applyAlignment="1">
      <alignment horizont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wrapText="1"/>
    </xf>
    <xf numFmtId="0" fontId="16" fillId="0" borderId="1" xfId="0" applyFont="1" applyFill="1" applyBorder="1" applyAlignment="1">
      <alignment horizontal="center" vertical="center" wrapText="1"/>
    </xf>
    <xf numFmtId="0" fontId="4" fillId="0" borderId="0" xfId="0" applyNumberFormat="1" applyFont="1" applyFill="1" applyBorder="1" applyAlignment="1">
      <alignment vertical="center"/>
    </xf>
    <xf numFmtId="0" fontId="31" fillId="0" borderId="0" xfId="0" applyFont="1" applyFill="1" applyBorder="1" applyAlignment="1">
      <alignment vertical="center"/>
    </xf>
    <xf numFmtId="0" fontId="4" fillId="0" borderId="0" xfId="0" applyFont="1" applyFill="1" applyBorder="1" applyAlignment="1">
      <alignment horizontal="center" vertical="center"/>
    </xf>
    <xf numFmtId="2" fontId="4" fillId="0" borderId="0" xfId="0" applyNumberFormat="1" applyFont="1" applyFill="1" applyBorder="1" applyAlignment="1">
      <alignment horizontal="center" vertical="center"/>
    </xf>
    <xf numFmtId="4" fontId="5" fillId="0" borderId="0" xfId="0" applyNumberFormat="1" applyFont="1" applyFill="1" applyBorder="1" applyAlignment="1">
      <alignment horizontal="center" vertical="center"/>
    </xf>
    <xf numFmtId="0" fontId="4" fillId="0" borderId="0" xfId="0" applyFont="1" applyAlignment="1">
      <alignment horizontal="left" vertical="center" wrapText="1"/>
    </xf>
    <xf numFmtId="0" fontId="4"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0" xfId="0" applyFont="1" applyFill="1" applyBorder="1" applyAlignment="1">
      <alignment vertical="center"/>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4" fillId="0" borderId="0" xfId="0" applyNumberFormat="1" applyFont="1" applyFill="1" applyAlignment="1">
      <alignment vertical="center"/>
    </xf>
    <xf numFmtId="0" fontId="5" fillId="0" borderId="0" xfId="0" applyFont="1" applyFill="1" applyAlignment="1">
      <alignment horizontal="center" vertical="center" wrapText="1"/>
    </xf>
    <xf numFmtId="2" fontId="4" fillId="0" borderId="0" xfId="0" applyNumberFormat="1" applyFont="1" applyFill="1" applyBorder="1" applyAlignment="1">
      <alignment horizontal="left" vertical="center"/>
    </xf>
    <xf numFmtId="2" fontId="5" fillId="0" borderId="0" xfId="0" applyNumberFormat="1"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xf>
    <xf numFmtId="2" fontId="4" fillId="0" borderId="0" xfId="0" applyNumberFormat="1"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right" vertical="center"/>
    </xf>
    <xf numFmtId="2" fontId="4" fillId="0" borderId="0" xfId="0" applyNumberFormat="1" applyFont="1" applyFill="1" applyAlignment="1">
      <alignment vertical="center"/>
    </xf>
    <xf numFmtId="0" fontId="32" fillId="0" borderId="0" xfId="11" applyFont="1" applyFill="1" applyBorder="1" applyAlignment="1">
      <alignment horizontal="left" vertical="top"/>
    </xf>
    <xf numFmtId="4" fontId="15" fillId="2" borderId="0" xfId="0" applyNumberFormat="1" applyFont="1" applyFill="1" applyBorder="1" applyAlignment="1">
      <alignment horizontal="left" vertical="center" wrapText="1"/>
    </xf>
    <xf numFmtId="0" fontId="15" fillId="2" borderId="0" xfId="0" applyFont="1" applyFill="1" applyBorder="1" applyAlignment="1">
      <alignment horizontal="left" vertical="center"/>
    </xf>
    <xf numFmtId="0" fontId="5" fillId="0" borderId="0" xfId="0" applyFont="1" applyFill="1" applyAlignment="1">
      <alignment horizontal="right" vertical="center"/>
    </xf>
  </cellXfs>
  <cellStyles count="14">
    <cellStyle name="Excel Built-in Normal 2" xfId="5"/>
    <cellStyle name="Excel Built-in Normal 2 2" xfId="1"/>
    <cellStyle name="Excel Built-in Normal 3" xfId="3"/>
    <cellStyle name="Excel Built-in Normal_Орієнтовна вартість_Старонаводницька" xfId="6"/>
    <cellStyle name="Гиперссылка" xfId="2" builtinId="8"/>
    <cellStyle name="Звичайний 2" xfId="9"/>
    <cellStyle name="Звичайний 3" xfId="10"/>
    <cellStyle name="Обычный" xfId="0" builtinId="0"/>
    <cellStyle name="Обычный 2" xfId="7"/>
    <cellStyle name="Обычный 2 2" xfId="11"/>
    <cellStyle name="Обычный 2 3" xfId="12"/>
    <cellStyle name="Обычный 3" xfId="8"/>
    <cellStyle name="Обычный 3 2" xfId="13"/>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32"/>
  <sheetViews>
    <sheetView tabSelected="1" workbookViewId="0">
      <selection activeCell="AK12" sqref="AK12"/>
    </sheetView>
  </sheetViews>
  <sheetFormatPr defaultColWidth="9.140625" defaultRowHeight="15" outlineLevelRow="1"/>
  <cols>
    <col min="1" max="1" width="10.42578125" style="10" customWidth="1"/>
    <col min="2" max="2" width="72.140625" style="11" customWidth="1"/>
    <col min="3" max="3" width="13.7109375" style="11" customWidth="1"/>
    <col min="4" max="4" width="10.42578125" style="11" customWidth="1"/>
    <col min="5" max="5" width="11.28515625" style="77" customWidth="1"/>
    <col min="6" max="6" width="11.42578125" style="161" customWidth="1"/>
    <col min="7" max="7" width="14.140625" style="11" bestFit="1" customWidth="1"/>
    <col min="8" max="8" width="11.7109375" style="11" customWidth="1"/>
    <col min="9" max="9" width="14" style="11" customWidth="1"/>
    <col min="10" max="10" width="15.7109375" style="11" customWidth="1"/>
    <col min="11" max="11" width="13.42578125" style="11" hidden="1" customWidth="1"/>
    <col min="12" max="12" width="10.7109375" style="12" hidden="1" customWidth="1"/>
    <col min="13" max="13" width="12.5703125" style="11" hidden="1" customWidth="1"/>
    <col min="14" max="14" width="8.7109375" style="11" hidden="1" customWidth="1"/>
    <col min="15" max="15" width="10" style="11" hidden="1" customWidth="1"/>
    <col min="16" max="16" width="8.7109375" style="11" hidden="1" customWidth="1"/>
    <col min="17" max="17" width="7.28515625" style="11" hidden="1" customWidth="1"/>
    <col min="18" max="18" width="9.28515625" style="11" hidden="1" customWidth="1"/>
    <col min="19" max="19" width="9.140625" style="11" hidden="1" customWidth="1"/>
    <col min="20" max="20" width="11.28515625" style="11" hidden="1" customWidth="1"/>
    <col min="21" max="21" width="11.7109375" style="11" hidden="1" customWidth="1"/>
    <col min="22" max="22" width="9.140625" style="11" hidden="1" customWidth="1"/>
    <col min="23" max="34" width="0" style="11" hidden="1" customWidth="1"/>
    <col min="35" max="37" width="9.140625" style="11"/>
    <col min="38" max="38" width="14.140625" style="11" customWidth="1"/>
    <col min="39" max="39" width="15" style="11" customWidth="1"/>
    <col min="40" max="16384" width="9.140625" style="11"/>
  </cols>
  <sheetData>
    <row r="1" spans="1:17" ht="15.75">
      <c r="E1" s="14"/>
      <c r="F1" s="15"/>
      <c r="G1" s="13"/>
      <c r="H1" s="13"/>
      <c r="I1" s="211"/>
      <c r="J1" s="223" t="s">
        <v>298</v>
      </c>
    </row>
    <row r="2" spans="1:17" ht="15.75">
      <c r="E2" s="14"/>
      <c r="F2" s="15"/>
      <c r="G2" s="13"/>
      <c r="H2" s="13"/>
      <c r="I2" s="211"/>
      <c r="J2" s="217" t="s">
        <v>299</v>
      </c>
    </row>
    <row r="3" spans="1:17" ht="15.75" outlineLevel="1">
      <c r="A3" s="10" t="s">
        <v>200</v>
      </c>
      <c r="B3" s="13"/>
      <c r="C3" s="13"/>
      <c r="D3" s="13"/>
      <c r="E3" s="14"/>
      <c r="F3" s="15"/>
      <c r="G3" s="13"/>
      <c r="H3" s="13"/>
      <c r="I3" s="13"/>
      <c r="J3" s="13"/>
    </row>
    <row r="4" spans="1:17" ht="15.75" outlineLevel="1">
      <c r="A4" s="10" t="s">
        <v>278</v>
      </c>
      <c r="B4" s="13"/>
      <c r="C4" s="13"/>
      <c r="D4" s="13"/>
      <c r="E4" s="14"/>
      <c r="F4" s="15"/>
      <c r="G4" s="13"/>
      <c r="H4" s="13"/>
      <c r="I4" s="13"/>
      <c r="J4" s="13"/>
    </row>
    <row r="5" spans="1:17" ht="15.75" customHeight="1" outlineLevel="1">
      <c r="A5" s="221" t="s">
        <v>296</v>
      </c>
      <c r="B5" s="221"/>
      <c r="C5" s="221"/>
      <c r="D5" s="221"/>
      <c r="E5" s="221"/>
      <c r="F5" s="221"/>
      <c r="G5" s="221"/>
      <c r="H5" s="221"/>
      <c r="I5" s="221"/>
      <c r="J5" s="221"/>
      <c r="L5" s="11"/>
    </row>
    <row r="6" spans="1:17" ht="15.75" outlineLevel="1">
      <c r="A6" s="184" t="s">
        <v>201</v>
      </c>
      <c r="B6" s="184"/>
      <c r="C6" s="184"/>
      <c r="D6" s="184"/>
      <c r="E6" s="184"/>
      <c r="F6" s="184"/>
      <c r="G6" s="184"/>
      <c r="H6" s="184"/>
      <c r="I6" s="184"/>
      <c r="J6" s="184"/>
      <c r="L6" s="11"/>
    </row>
    <row r="7" spans="1:17" outlineLevel="1">
      <c r="A7" s="184" t="s">
        <v>88</v>
      </c>
      <c r="B7" s="184"/>
      <c r="C7" s="175"/>
      <c r="D7" s="175"/>
      <c r="E7" s="16"/>
      <c r="F7" s="17"/>
      <c r="G7" s="175"/>
      <c r="H7" s="175"/>
      <c r="I7" s="175"/>
      <c r="J7" s="175"/>
      <c r="L7" s="11"/>
    </row>
    <row r="8" spans="1:17" ht="15.75" outlineLevel="1">
      <c r="A8" s="184" t="s">
        <v>277</v>
      </c>
      <c r="B8" s="184"/>
      <c r="C8" s="184"/>
      <c r="D8" s="184"/>
      <c r="E8" s="184"/>
      <c r="F8" s="184"/>
      <c r="G8" s="184"/>
      <c r="H8" s="184"/>
      <c r="I8" s="184"/>
      <c r="J8" s="184"/>
      <c r="L8" s="11"/>
    </row>
    <row r="9" spans="1:17" ht="15.75" outlineLevel="1">
      <c r="A9" s="222" t="s">
        <v>297</v>
      </c>
      <c r="B9" s="222"/>
      <c r="C9" s="222"/>
      <c r="D9" s="222"/>
      <c r="E9" s="222"/>
      <c r="F9" s="222"/>
      <c r="G9" s="222"/>
      <c r="H9" s="222"/>
      <c r="I9" s="222"/>
      <c r="J9" s="222"/>
      <c r="L9" s="11"/>
    </row>
    <row r="10" spans="1:17" ht="15.75" customHeight="1">
      <c r="A10" s="185" t="s">
        <v>89</v>
      </c>
      <c r="B10" s="185"/>
      <c r="C10" s="185"/>
      <c r="D10" s="185"/>
      <c r="E10" s="185"/>
      <c r="F10" s="185"/>
      <c r="G10" s="185"/>
      <c r="H10" s="185"/>
      <c r="I10" s="185"/>
      <c r="J10" s="185"/>
      <c r="L10" s="11"/>
    </row>
    <row r="11" spans="1:17" ht="15.75" customHeight="1">
      <c r="A11" s="186" t="s">
        <v>90</v>
      </c>
      <c r="B11" s="186"/>
      <c r="C11" s="186"/>
      <c r="D11" s="186"/>
      <c r="E11" s="186"/>
      <c r="F11" s="186"/>
      <c r="G11" s="186"/>
      <c r="H11" s="186"/>
      <c r="I11" s="186"/>
      <c r="J11" s="186"/>
    </row>
    <row r="12" spans="1:17" ht="15.75">
      <c r="A12" s="18"/>
      <c r="B12" s="19"/>
      <c r="C12" s="19"/>
      <c r="D12" s="19"/>
      <c r="E12" s="19"/>
      <c r="F12" s="19"/>
      <c r="G12" s="19"/>
      <c r="H12" s="19"/>
      <c r="I12" s="19"/>
      <c r="J12" s="19"/>
    </row>
    <row r="13" spans="1:17" ht="15.75" customHeight="1">
      <c r="A13" s="187" t="s">
        <v>0</v>
      </c>
      <c r="B13" s="188" t="s">
        <v>1</v>
      </c>
      <c r="C13" s="188" t="s">
        <v>2</v>
      </c>
      <c r="D13" s="188" t="s">
        <v>3</v>
      </c>
      <c r="E13" s="189" t="s">
        <v>4</v>
      </c>
      <c r="F13" s="190" t="s">
        <v>5</v>
      </c>
      <c r="G13" s="190"/>
      <c r="H13" s="190" t="s">
        <v>6</v>
      </c>
      <c r="I13" s="190"/>
      <c r="J13" s="188" t="s">
        <v>7</v>
      </c>
      <c r="K13" s="182"/>
    </row>
    <row r="14" spans="1:17" ht="45">
      <c r="A14" s="187"/>
      <c r="B14" s="188"/>
      <c r="C14" s="188"/>
      <c r="D14" s="188"/>
      <c r="E14" s="189"/>
      <c r="F14" s="178" t="s">
        <v>8</v>
      </c>
      <c r="G14" s="178" t="s">
        <v>9</v>
      </c>
      <c r="H14" s="178" t="s">
        <v>8</v>
      </c>
      <c r="I14" s="178" t="s">
        <v>9</v>
      </c>
      <c r="J14" s="188"/>
      <c r="K14" s="182"/>
      <c r="L14" s="20"/>
      <c r="M14" s="21"/>
      <c r="N14" s="21"/>
      <c r="O14" s="21"/>
      <c r="P14" s="21"/>
      <c r="Q14" s="21"/>
    </row>
    <row r="15" spans="1:17">
      <c r="A15" s="177">
        <v>1</v>
      </c>
      <c r="B15" s="178">
        <v>2</v>
      </c>
      <c r="C15" s="178">
        <v>4</v>
      </c>
      <c r="D15" s="178">
        <v>3</v>
      </c>
      <c r="E15" s="179">
        <v>5</v>
      </c>
      <c r="F15" s="179">
        <v>6</v>
      </c>
      <c r="G15" s="179">
        <v>7</v>
      </c>
      <c r="H15" s="179">
        <v>8</v>
      </c>
      <c r="I15" s="179">
        <v>9</v>
      </c>
      <c r="J15" s="178">
        <v>10</v>
      </c>
      <c r="K15" s="21"/>
      <c r="L15" s="20"/>
      <c r="M15" s="21"/>
      <c r="N15" s="21"/>
      <c r="O15" s="21"/>
      <c r="P15" s="21"/>
      <c r="Q15" s="21"/>
    </row>
    <row r="16" spans="1:17" ht="15.75" customHeight="1">
      <c r="A16" s="22">
        <v>1</v>
      </c>
      <c r="B16" s="180" t="s">
        <v>11</v>
      </c>
      <c r="C16" s="180"/>
      <c r="D16" s="180"/>
      <c r="E16" s="23"/>
      <c r="F16" s="24"/>
      <c r="G16" s="24"/>
      <c r="H16" s="24"/>
      <c r="I16" s="24"/>
      <c r="J16" s="25"/>
      <c r="K16" s="21"/>
      <c r="L16" s="20"/>
      <c r="M16" s="21" t="s">
        <v>91</v>
      </c>
      <c r="N16" s="21">
        <v>1.51</v>
      </c>
      <c r="O16" s="21" t="s">
        <v>92</v>
      </c>
      <c r="P16" s="21">
        <v>1.85</v>
      </c>
      <c r="Q16" s="21"/>
    </row>
    <row r="17" spans="1:22" s="32" customFormat="1" ht="15.75">
      <c r="A17" s="22" t="s">
        <v>12</v>
      </c>
      <c r="B17" s="26"/>
      <c r="C17" s="27"/>
      <c r="D17" s="27"/>
      <c r="E17" s="28"/>
      <c r="F17" s="29"/>
      <c r="G17" s="29"/>
      <c r="H17" s="23"/>
      <c r="I17" s="23"/>
      <c r="J17" s="29">
        <f>G17</f>
        <v>0</v>
      </c>
      <c r="K17" s="30"/>
      <c r="L17" s="31"/>
      <c r="M17" s="21" t="s">
        <v>93</v>
      </c>
      <c r="N17" s="21">
        <v>2.37</v>
      </c>
      <c r="O17" s="21" t="s">
        <v>94</v>
      </c>
      <c r="P17" s="21">
        <v>3.3</v>
      </c>
    </row>
    <row r="18" spans="1:22" s="32" customFormat="1" ht="31.5">
      <c r="A18" s="22" t="s">
        <v>15</v>
      </c>
      <c r="B18" s="166" t="s">
        <v>205</v>
      </c>
      <c r="C18" s="79" t="s">
        <v>10</v>
      </c>
      <c r="D18" s="37"/>
      <c r="E18" s="167">
        <v>49</v>
      </c>
      <c r="F18" s="29"/>
      <c r="G18" s="29"/>
      <c r="H18" s="23"/>
      <c r="I18" s="23"/>
      <c r="J18" s="29">
        <f>G18</f>
        <v>0</v>
      </c>
      <c r="K18" s="30"/>
      <c r="L18" s="33"/>
      <c r="M18" s="34" t="s">
        <v>95</v>
      </c>
      <c r="N18" s="34">
        <f>N16*N17</f>
        <v>3.5787</v>
      </c>
      <c r="O18" s="33">
        <f>P18-N18</f>
        <v>2.5262999999999995</v>
      </c>
      <c r="P18" s="34">
        <f>P16*P17</f>
        <v>6.1049999999999995</v>
      </c>
      <c r="Q18" s="30"/>
    </row>
    <row r="19" spans="1:22" ht="15.75">
      <c r="A19" s="35" t="s">
        <v>16</v>
      </c>
      <c r="B19" s="168" t="s">
        <v>206</v>
      </c>
      <c r="C19" s="169" t="s">
        <v>13</v>
      </c>
      <c r="D19" s="169">
        <v>0.3</v>
      </c>
      <c r="E19" s="170">
        <f>D19*E18</f>
        <v>14.7</v>
      </c>
      <c r="F19" s="24"/>
      <c r="G19" s="29"/>
      <c r="H19" s="24"/>
      <c r="I19" s="24"/>
      <c r="J19" s="25">
        <f t="shared" ref="J19:J23" si="0">I19</f>
        <v>0</v>
      </c>
      <c r="K19" s="21"/>
      <c r="L19" s="181"/>
      <c r="M19" s="21"/>
      <c r="N19" s="21"/>
      <c r="O19" s="21">
        <f>O18*2</f>
        <v>5.0525999999999991</v>
      </c>
      <c r="P19" s="21"/>
      <c r="Q19" s="21"/>
    </row>
    <row r="20" spans="1:22" ht="15.75">
      <c r="A20" s="35" t="s">
        <v>18</v>
      </c>
      <c r="B20" s="168" t="s">
        <v>207</v>
      </c>
      <c r="C20" s="169" t="s">
        <v>208</v>
      </c>
      <c r="D20" s="171">
        <f>1.05*0.05</f>
        <v>5.2500000000000005E-2</v>
      </c>
      <c r="E20" s="172">
        <f>E18*D20</f>
        <v>2.5725000000000002</v>
      </c>
      <c r="F20" s="24"/>
      <c r="G20" s="39"/>
      <c r="H20" s="24"/>
      <c r="I20" s="40"/>
      <c r="J20" s="41">
        <f t="shared" si="0"/>
        <v>0</v>
      </c>
      <c r="K20" s="42"/>
      <c r="L20" s="181"/>
      <c r="M20" s="21"/>
      <c r="N20" s="21"/>
      <c r="O20" s="21"/>
      <c r="P20" s="21"/>
      <c r="Q20" s="21"/>
    </row>
    <row r="21" spans="1:22" ht="15.75">
      <c r="A21" s="35" t="s">
        <v>19</v>
      </c>
      <c r="B21" s="168" t="s">
        <v>209</v>
      </c>
      <c r="C21" s="169" t="s">
        <v>13</v>
      </c>
      <c r="D21" s="169" t="s">
        <v>210</v>
      </c>
      <c r="E21" s="173">
        <f>D21*E18</f>
        <v>490</v>
      </c>
      <c r="F21" s="24"/>
      <c r="G21" s="29"/>
      <c r="H21" s="43"/>
      <c r="I21" s="24"/>
      <c r="J21" s="25">
        <f t="shared" si="0"/>
        <v>0</v>
      </c>
      <c r="K21" s="21"/>
      <c r="L21" s="181"/>
      <c r="M21" s="21"/>
      <c r="N21" s="21"/>
      <c r="O21" s="21"/>
      <c r="P21" s="21"/>
      <c r="Q21" s="21"/>
    </row>
    <row r="22" spans="1:22" ht="15.75">
      <c r="A22" s="35" t="s">
        <v>20</v>
      </c>
      <c r="B22" s="168" t="s">
        <v>211</v>
      </c>
      <c r="C22" s="169" t="s">
        <v>10</v>
      </c>
      <c r="D22" s="169" t="s">
        <v>212</v>
      </c>
      <c r="E22" s="173">
        <f>D22*E18</f>
        <v>53.900000000000006</v>
      </c>
      <c r="F22" s="24"/>
      <c r="G22" s="29"/>
      <c r="H22" s="24"/>
      <c r="I22" s="24"/>
      <c r="J22" s="25">
        <f t="shared" si="0"/>
        <v>0</v>
      </c>
      <c r="K22" s="21"/>
      <c r="L22" s="181"/>
      <c r="M22" s="21"/>
      <c r="N22" s="21"/>
      <c r="O22" s="21"/>
      <c r="P22" s="21"/>
      <c r="Q22" s="21"/>
    </row>
    <row r="23" spans="1:22" ht="15.75">
      <c r="A23" s="35" t="s">
        <v>96</v>
      </c>
      <c r="B23" s="168" t="s">
        <v>213</v>
      </c>
      <c r="C23" s="169" t="s">
        <v>14</v>
      </c>
      <c r="D23" s="169">
        <v>8</v>
      </c>
      <c r="E23" s="173">
        <f>D23*E18</f>
        <v>392</v>
      </c>
      <c r="F23" s="24"/>
      <c r="G23" s="29"/>
      <c r="H23" s="24"/>
      <c r="I23" s="24"/>
      <c r="J23" s="25">
        <f t="shared" si="0"/>
        <v>0</v>
      </c>
      <c r="K23" s="21"/>
      <c r="L23" s="20"/>
      <c r="M23" s="21"/>
      <c r="N23" s="21"/>
      <c r="O23" s="21"/>
      <c r="P23" s="21"/>
      <c r="Q23" s="21"/>
    </row>
    <row r="24" spans="1:22" s="32" customFormat="1" ht="30" customHeight="1">
      <c r="A24" s="22" t="s">
        <v>22</v>
      </c>
      <c r="B24" s="44" t="s">
        <v>275</v>
      </c>
      <c r="C24" s="45" t="s">
        <v>39</v>
      </c>
      <c r="D24" s="46"/>
      <c r="E24" s="23">
        <v>56</v>
      </c>
      <c r="F24" s="23"/>
      <c r="G24" s="29"/>
      <c r="H24" s="23"/>
      <c r="I24" s="23"/>
      <c r="J24" s="29">
        <f>G24</f>
        <v>0</v>
      </c>
      <c r="K24" s="30"/>
      <c r="L24" s="31"/>
      <c r="M24" s="21" t="s">
        <v>91</v>
      </c>
      <c r="N24" s="21">
        <v>1.01</v>
      </c>
      <c r="O24" s="21" t="s">
        <v>92</v>
      </c>
      <c r="P24" s="21">
        <v>4.0179999999999998</v>
      </c>
      <c r="Q24" s="30"/>
      <c r="T24" s="21" t="s">
        <v>92</v>
      </c>
      <c r="U24" s="21">
        <f>0.9+0.27</f>
        <v>1.17</v>
      </c>
    </row>
    <row r="25" spans="1:22" ht="15.75">
      <c r="A25" s="35" t="s">
        <v>23</v>
      </c>
      <c r="B25" s="36" t="s">
        <v>244</v>
      </c>
      <c r="C25" s="37" t="s">
        <v>10</v>
      </c>
      <c r="D25" s="37" t="s">
        <v>106</v>
      </c>
      <c r="E25" s="24">
        <f>E24*D25</f>
        <v>58.800000000000004</v>
      </c>
      <c r="F25" s="24"/>
      <c r="G25" s="29"/>
      <c r="H25" s="24"/>
      <c r="I25" s="24"/>
      <c r="J25" s="25">
        <f t="shared" ref="J25:J56" si="1">I25</f>
        <v>0</v>
      </c>
      <c r="K25" s="21"/>
      <c r="L25" s="20"/>
      <c r="M25" s="21" t="s">
        <v>93</v>
      </c>
      <c r="N25" s="21">
        <v>2.37</v>
      </c>
      <c r="O25" s="21" t="s">
        <v>94</v>
      </c>
      <c r="P25" s="21">
        <v>3.2</v>
      </c>
      <c r="Q25" s="21"/>
      <c r="T25" s="21" t="s">
        <v>94</v>
      </c>
      <c r="U25" s="21">
        <v>3.05</v>
      </c>
    </row>
    <row r="26" spans="1:22" ht="15.75">
      <c r="A26" s="35" t="s">
        <v>24</v>
      </c>
      <c r="B26" s="36" t="s">
        <v>256</v>
      </c>
      <c r="C26" s="37" t="s">
        <v>21</v>
      </c>
      <c r="D26" s="37">
        <v>0.8</v>
      </c>
      <c r="E26" s="24">
        <f>D26*E24</f>
        <v>44.800000000000004</v>
      </c>
      <c r="F26" s="24"/>
      <c r="G26" s="29"/>
      <c r="H26" s="24"/>
      <c r="I26" s="24"/>
      <c r="J26" s="25">
        <f t="shared" si="1"/>
        <v>0</v>
      </c>
      <c r="K26" s="21"/>
      <c r="L26" s="20"/>
      <c r="M26" s="34" t="s">
        <v>95</v>
      </c>
      <c r="N26" s="34">
        <f>(N24*N25)*2</f>
        <v>4.7873999999999999</v>
      </c>
      <c r="P26" s="34">
        <f>P24*P25</f>
        <v>12.8576</v>
      </c>
      <c r="Q26" s="21"/>
      <c r="T26" s="47" t="s">
        <v>97</v>
      </c>
      <c r="U26" s="48">
        <f>U24*U25</f>
        <v>3.5684999999999998</v>
      </c>
      <c r="V26" s="47" t="s">
        <v>10</v>
      </c>
    </row>
    <row r="27" spans="1:22" ht="15.75">
      <c r="A27" s="35" t="s">
        <v>25</v>
      </c>
      <c r="B27" s="36" t="s">
        <v>257</v>
      </c>
      <c r="C27" s="37" t="s">
        <v>21</v>
      </c>
      <c r="D27" s="37" t="s">
        <v>177</v>
      </c>
      <c r="E27" s="24">
        <f>D27*E24</f>
        <v>229.59999999999997</v>
      </c>
      <c r="F27" s="24"/>
      <c r="G27" s="29"/>
      <c r="H27" s="24"/>
      <c r="I27" s="24"/>
      <c r="J27" s="25">
        <f t="shared" si="1"/>
        <v>0</v>
      </c>
      <c r="K27" s="21"/>
      <c r="L27" s="20"/>
      <c r="M27" s="21"/>
      <c r="N27" s="21"/>
      <c r="O27" s="181">
        <f>P26-N26</f>
        <v>8.0701999999999998</v>
      </c>
      <c r="P27" s="21">
        <v>0.48</v>
      </c>
      <c r="Q27" s="21" t="s">
        <v>10</v>
      </c>
      <c r="R27" s="11" t="s">
        <v>98</v>
      </c>
      <c r="U27" s="11" t="s">
        <v>99</v>
      </c>
    </row>
    <row r="28" spans="1:22" ht="15.75">
      <c r="A28" s="35" t="s">
        <v>100</v>
      </c>
      <c r="B28" s="36" t="s">
        <v>262</v>
      </c>
      <c r="C28" s="37" t="s">
        <v>14</v>
      </c>
      <c r="D28" s="37">
        <v>17</v>
      </c>
      <c r="E28" s="49">
        <f>D28*E24</f>
        <v>952</v>
      </c>
      <c r="F28" s="24"/>
      <c r="G28" s="29"/>
      <c r="H28" s="24"/>
      <c r="I28" s="24"/>
      <c r="J28" s="25">
        <f t="shared" si="1"/>
        <v>0</v>
      </c>
      <c r="K28" s="21"/>
      <c r="L28" s="20"/>
      <c r="M28" s="21"/>
      <c r="N28" s="21"/>
      <c r="O28" s="21"/>
      <c r="P28" s="21"/>
      <c r="Q28" s="21"/>
      <c r="R28" s="50" t="s">
        <v>101</v>
      </c>
      <c r="S28" s="50"/>
      <c r="T28" s="51" t="e">
        <f>#REF!+U26</f>
        <v>#REF!</v>
      </c>
    </row>
    <row r="29" spans="1:22" ht="15.75">
      <c r="A29" s="35" t="s">
        <v>102</v>
      </c>
      <c r="B29" s="65" t="s">
        <v>263</v>
      </c>
      <c r="C29" s="37" t="s">
        <v>14</v>
      </c>
      <c r="D29" s="37">
        <v>25</v>
      </c>
      <c r="E29" s="49">
        <f>D29*E24</f>
        <v>1400</v>
      </c>
      <c r="F29" s="24"/>
      <c r="G29" s="29"/>
      <c r="H29" s="24"/>
      <c r="I29" s="24"/>
      <c r="J29" s="25">
        <f t="shared" si="1"/>
        <v>0</v>
      </c>
      <c r="K29" s="21"/>
      <c r="L29" s="20"/>
      <c r="M29" s="21"/>
      <c r="N29" s="21"/>
      <c r="O29" s="21"/>
      <c r="P29" s="21"/>
      <c r="Q29" s="21"/>
    </row>
    <row r="30" spans="1:22" ht="15.75">
      <c r="A30" s="35" t="s">
        <v>103</v>
      </c>
      <c r="B30" s="36" t="s">
        <v>53</v>
      </c>
      <c r="C30" s="37" t="s">
        <v>14</v>
      </c>
      <c r="D30" s="37" t="s">
        <v>49</v>
      </c>
      <c r="E30" s="49">
        <f>D30*E24</f>
        <v>112</v>
      </c>
      <c r="F30" s="24"/>
      <c r="G30" s="29"/>
      <c r="H30" s="24"/>
      <c r="I30" s="24"/>
      <c r="J30" s="25">
        <f t="shared" si="1"/>
        <v>0</v>
      </c>
      <c r="K30" s="21"/>
      <c r="L30" s="20"/>
      <c r="M30" s="21"/>
      <c r="N30" s="21"/>
      <c r="O30" s="21"/>
      <c r="P30" s="21"/>
      <c r="Q30" s="21"/>
    </row>
    <row r="31" spans="1:22" ht="15.75">
      <c r="A31" s="35" t="s">
        <v>104</v>
      </c>
      <c r="B31" s="36" t="s">
        <v>243</v>
      </c>
      <c r="C31" s="37" t="s">
        <v>21</v>
      </c>
      <c r="D31" s="37" t="s">
        <v>105</v>
      </c>
      <c r="E31" s="24">
        <f>D31*E24</f>
        <v>67.2</v>
      </c>
      <c r="F31" s="24"/>
      <c r="G31" s="29"/>
      <c r="H31" s="24"/>
      <c r="I31" s="24"/>
      <c r="J31" s="25">
        <f t="shared" si="1"/>
        <v>0</v>
      </c>
      <c r="K31" s="21"/>
      <c r="L31" s="20"/>
      <c r="M31" s="21"/>
      <c r="N31" s="21"/>
      <c r="O31" s="21"/>
      <c r="P31" s="21"/>
      <c r="Q31" s="21"/>
    </row>
    <row r="32" spans="1:22" s="32" customFormat="1" ht="30" customHeight="1">
      <c r="A32" s="22" t="s">
        <v>22</v>
      </c>
      <c r="B32" s="44" t="s">
        <v>276</v>
      </c>
      <c r="C32" s="45" t="s">
        <v>39</v>
      </c>
      <c r="D32" s="46"/>
      <c r="E32" s="69">
        <f>2.27*3.3+3.341*3.3+1.32*3.3-(0.091)*2.37</f>
        <v>22.656630000000003</v>
      </c>
      <c r="F32" s="29"/>
      <c r="G32" s="29"/>
      <c r="H32" s="23"/>
      <c r="I32" s="23"/>
      <c r="J32" s="29">
        <f>G32</f>
        <v>0</v>
      </c>
      <c r="K32" s="30"/>
      <c r="L32" s="31"/>
      <c r="M32" s="21" t="s">
        <v>91</v>
      </c>
      <c r="N32" s="21">
        <v>1.01</v>
      </c>
      <c r="O32" s="21" t="s">
        <v>92</v>
      </c>
      <c r="P32" s="21">
        <v>4.0179999999999998</v>
      </c>
      <c r="Q32" s="30"/>
      <c r="T32" s="21" t="s">
        <v>92</v>
      </c>
      <c r="U32" s="21">
        <f>0.9+0.27</f>
        <v>1.17</v>
      </c>
    </row>
    <row r="33" spans="1:22" ht="15.75">
      <c r="A33" s="35" t="s">
        <v>23</v>
      </c>
      <c r="B33" s="36" t="s">
        <v>245</v>
      </c>
      <c r="C33" s="37" t="s">
        <v>10</v>
      </c>
      <c r="D33" s="37" t="s">
        <v>106</v>
      </c>
      <c r="E33" s="24">
        <f>E32*D33</f>
        <v>23.789461500000005</v>
      </c>
      <c r="F33" s="24"/>
      <c r="G33" s="29"/>
      <c r="H33" s="24"/>
      <c r="I33" s="24"/>
      <c r="J33" s="25">
        <f t="shared" ref="J33:J39" si="2">I33</f>
        <v>0</v>
      </c>
      <c r="K33" s="21"/>
      <c r="L33" s="20"/>
      <c r="M33" s="21" t="s">
        <v>93</v>
      </c>
      <c r="N33" s="21">
        <v>2.37</v>
      </c>
      <c r="O33" s="21" t="s">
        <v>94</v>
      </c>
      <c r="P33" s="21">
        <v>3.2</v>
      </c>
      <c r="Q33" s="21"/>
      <c r="T33" s="21" t="s">
        <v>94</v>
      </c>
      <c r="U33" s="21">
        <v>3.05</v>
      </c>
    </row>
    <row r="34" spans="1:22" ht="15.75">
      <c r="A34" s="35" t="s">
        <v>24</v>
      </c>
      <c r="B34" s="36" t="s">
        <v>256</v>
      </c>
      <c r="C34" s="37" t="s">
        <v>21</v>
      </c>
      <c r="D34" s="37">
        <v>0.8</v>
      </c>
      <c r="E34" s="24">
        <f>D34*E32</f>
        <v>18.125304000000003</v>
      </c>
      <c r="F34" s="24"/>
      <c r="G34" s="29"/>
      <c r="H34" s="24"/>
      <c r="I34" s="24"/>
      <c r="J34" s="25">
        <f t="shared" si="2"/>
        <v>0</v>
      </c>
      <c r="K34" s="21"/>
      <c r="L34" s="20"/>
      <c r="M34" s="34" t="s">
        <v>95</v>
      </c>
      <c r="N34" s="34">
        <f>(N32*N33)*2</f>
        <v>4.7873999999999999</v>
      </c>
      <c r="P34" s="34">
        <f>P32*P33</f>
        <v>12.8576</v>
      </c>
      <c r="Q34" s="21"/>
      <c r="T34" s="47" t="s">
        <v>97</v>
      </c>
      <c r="U34" s="48">
        <f>U32*U33</f>
        <v>3.5684999999999998</v>
      </c>
      <c r="V34" s="47" t="s">
        <v>10</v>
      </c>
    </row>
    <row r="35" spans="1:22" ht="15.75">
      <c r="A35" s="35" t="s">
        <v>25</v>
      </c>
      <c r="B35" s="36" t="s">
        <v>257</v>
      </c>
      <c r="C35" s="37" t="s">
        <v>21</v>
      </c>
      <c r="D35" s="37" t="s">
        <v>177</v>
      </c>
      <c r="E35" s="24">
        <f>D35*E32</f>
        <v>92.892183000000003</v>
      </c>
      <c r="F35" s="24"/>
      <c r="G35" s="29"/>
      <c r="H35" s="24"/>
      <c r="I35" s="24"/>
      <c r="J35" s="25">
        <f t="shared" si="2"/>
        <v>0</v>
      </c>
      <c r="K35" s="21"/>
      <c r="L35" s="20"/>
      <c r="M35" s="21"/>
      <c r="N35" s="21"/>
      <c r="O35" s="181">
        <f>P34-N34</f>
        <v>8.0701999999999998</v>
      </c>
      <c r="P35" s="21">
        <v>0.48</v>
      </c>
      <c r="Q35" s="21" t="s">
        <v>10</v>
      </c>
      <c r="R35" s="11" t="s">
        <v>98</v>
      </c>
      <c r="U35" s="11" t="s">
        <v>99</v>
      </c>
    </row>
    <row r="36" spans="1:22" ht="15.75">
      <c r="A36" s="35" t="s">
        <v>100</v>
      </c>
      <c r="B36" s="36" t="s">
        <v>262</v>
      </c>
      <c r="C36" s="37" t="s">
        <v>14</v>
      </c>
      <c r="D36" s="37">
        <v>17</v>
      </c>
      <c r="E36" s="49">
        <f>D36*E32</f>
        <v>385.16271000000006</v>
      </c>
      <c r="F36" s="24"/>
      <c r="G36" s="29"/>
      <c r="H36" s="24"/>
      <c r="I36" s="24"/>
      <c r="J36" s="25">
        <f t="shared" si="2"/>
        <v>0</v>
      </c>
      <c r="K36" s="21"/>
      <c r="L36" s="20"/>
      <c r="M36" s="21"/>
      <c r="N36" s="21"/>
      <c r="O36" s="21"/>
      <c r="P36" s="21"/>
      <c r="Q36" s="21"/>
      <c r="R36" s="50" t="s">
        <v>101</v>
      </c>
      <c r="S36" s="50"/>
      <c r="T36" s="51" t="e">
        <f>#REF!+U34</f>
        <v>#REF!</v>
      </c>
    </row>
    <row r="37" spans="1:22" ht="15.75">
      <c r="A37" s="35" t="s">
        <v>102</v>
      </c>
      <c r="B37" s="65" t="s">
        <v>263</v>
      </c>
      <c r="C37" s="37" t="s">
        <v>14</v>
      </c>
      <c r="D37" s="37">
        <v>25</v>
      </c>
      <c r="E37" s="49">
        <f>D37*E32</f>
        <v>566.41575000000012</v>
      </c>
      <c r="F37" s="24"/>
      <c r="G37" s="29"/>
      <c r="H37" s="24"/>
      <c r="I37" s="24"/>
      <c r="J37" s="25">
        <f t="shared" si="2"/>
        <v>0</v>
      </c>
      <c r="K37" s="21"/>
      <c r="L37" s="20"/>
      <c r="M37" s="21"/>
      <c r="N37" s="21"/>
      <c r="O37" s="21"/>
      <c r="P37" s="21"/>
      <c r="Q37" s="21"/>
    </row>
    <row r="38" spans="1:22" ht="15.75">
      <c r="A38" s="35" t="s">
        <v>103</v>
      </c>
      <c r="B38" s="36" t="s">
        <v>53</v>
      </c>
      <c r="C38" s="37" t="s">
        <v>14</v>
      </c>
      <c r="D38" s="37" t="s">
        <v>49</v>
      </c>
      <c r="E38" s="49">
        <f>D38*E32</f>
        <v>45.313260000000007</v>
      </c>
      <c r="F38" s="24"/>
      <c r="G38" s="29"/>
      <c r="H38" s="24"/>
      <c r="I38" s="24"/>
      <c r="J38" s="25">
        <f t="shared" si="2"/>
        <v>0</v>
      </c>
      <c r="K38" s="21"/>
      <c r="L38" s="20"/>
      <c r="M38" s="21"/>
      <c r="N38" s="21"/>
      <c r="O38" s="21"/>
      <c r="P38" s="21"/>
      <c r="Q38" s="21"/>
    </row>
    <row r="39" spans="1:22" ht="15.75">
      <c r="A39" s="35" t="s">
        <v>104</v>
      </c>
      <c r="B39" s="36" t="s">
        <v>243</v>
      </c>
      <c r="C39" s="37" t="s">
        <v>21</v>
      </c>
      <c r="D39" s="37" t="s">
        <v>105</v>
      </c>
      <c r="E39" s="24">
        <f>D39*E32</f>
        <v>27.187956000000003</v>
      </c>
      <c r="F39" s="24"/>
      <c r="G39" s="29"/>
      <c r="H39" s="24"/>
      <c r="I39" s="24"/>
      <c r="J39" s="25">
        <f t="shared" si="2"/>
        <v>0</v>
      </c>
      <c r="K39" s="21"/>
      <c r="L39" s="20"/>
      <c r="M39" s="21"/>
      <c r="N39" s="21"/>
      <c r="O39" s="21"/>
      <c r="P39" s="21"/>
      <c r="Q39" s="21"/>
    </row>
    <row r="40" spans="1:22" s="32" customFormat="1" ht="31.5">
      <c r="A40" s="22" t="s">
        <v>26</v>
      </c>
      <c r="B40" s="44" t="s">
        <v>182</v>
      </c>
      <c r="C40" s="45" t="s">
        <v>39</v>
      </c>
      <c r="D40" s="46"/>
      <c r="E40" s="23">
        <f>1.6*3.3</f>
        <v>5.28</v>
      </c>
      <c r="F40" s="29"/>
      <c r="G40" s="29"/>
      <c r="H40" s="23"/>
      <c r="I40" s="23"/>
      <c r="J40" s="29">
        <f>G40</f>
        <v>0</v>
      </c>
      <c r="K40" s="30"/>
      <c r="L40" s="181">
        <f>1.572+1.596</f>
        <v>3.1680000000000001</v>
      </c>
      <c r="M40" s="52" t="s">
        <v>92</v>
      </c>
      <c r="N40" s="53">
        <v>7.5</v>
      </c>
      <c r="O40" s="54"/>
      <c r="P40" s="30"/>
    </row>
    <row r="41" spans="1:22" ht="15.75">
      <c r="A41" s="35" t="s">
        <v>28</v>
      </c>
      <c r="B41" s="36" t="s">
        <v>244</v>
      </c>
      <c r="C41" s="37" t="s">
        <v>10</v>
      </c>
      <c r="D41" s="37" t="s">
        <v>106</v>
      </c>
      <c r="E41" s="24">
        <f>E40*D41</f>
        <v>5.5440000000000005</v>
      </c>
      <c r="F41" s="24"/>
      <c r="G41" s="29"/>
      <c r="H41" s="24"/>
      <c r="I41" s="24"/>
      <c r="J41" s="25">
        <f t="shared" si="1"/>
        <v>0</v>
      </c>
      <c r="K41" s="21"/>
      <c r="L41" s="181">
        <v>3.2</v>
      </c>
      <c r="M41" s="52" t="s">
        <v>94</v>
      </c>
      <c r="N41" s="53">
        <v>3.3</v>
      </c>
      <c r="O41" s="53"/>
      <c r="P41" s="21"/>
    </row>
    <row r="42" spans="1:22" ht="15.75">
      <c r="A42" s="35" t="s">
        <v>107</v>
      </c>
      <c r="B42" s="36" t="s">
        <v>258</v>
      </c>
      <c r="C42" s="37" t="s">
        <v>21</v>
      </c>
      <c r="D42" s="37" t="s">
        <v>75</v>
      </c>
      <c r="E42" s="24">
        <f>D42*E40</f>
        <v>15.84</v>
      </c>
      <c r="F42" s="24"/>
      <c r="G42" s="29"/>
      <c r="H42" s="24"/>
      <c r="I42" s="24"/>
      <c r="J42" s="25">
        <f t="shared" si="1"/>
        <v>0</v>
      </c>
      <c r="K42" s="21"/>
      <c r="L42" s="55">
        <f>L41*L40</f>
        <v>10.137600000000001</v>
      </c>
      <c r="M42" s="56"/>
      <c r="N42" s="57">
        <f>N40*N41</f>
        <v>24.75</v>
      </c>
      <c r="O42" s="53">
        <v>2</v>
      </c>
      <c r="P42" s="53">
        <f>N42*O42</f>
        <v>49.5</v>
      </c>
      <c r="Q42" s="32">
        <f>(5.07*2.1)+(1.13*3.3)</f>
        <v>14.375999999999999</v>
      </c>
      <c r="R42" s="11">
        <f>Q42*2</f>
        <v>28.751999999999999</v>
      </c>
    </row>
    <row r="43" spans="1:22" ht="15.75">
      <c r="A43" s="35" t="s">
        <v>108</v>
      </c>
      <c r="B43" s="36" t="s">
        <v>259</v>
      </c>
      <c r="C43" s="37" t="s">
        <v>21</v>
      </c>
      <c r="D43" s="37" t="s">
        <v>178</v>
      </c>
      <c r="E43" s="24">
        <f>E40*D43</f>
        <v>23.76</v>
      </c>
      <c r="F43" s="24"/>
      <c r="G43" s="29"/>
      <c r="H43" s="24"/>
      <c r="I43" s="24"/>
      <c r="J43" s="25"/>
      <c r="K43" s="21"/>
      <c r="L43" s="55"/>
      <c r="M43" s="56"/>
      <c r="N43" s="57"/>
      <c r="O43" s="53"/>
      <c r="P43" s="53"/>
      <c r="Q43" s="32"/>
    </row>
    <row r="44" spans="1:22" ht="15.75">
      <c r="A44" s="35" t="s">
        <v>114</v>
      </c>
      <c r="B44" s="36" t="s">
        <v>262</v>
      </c>
      <c r="C44" s="37" t="s">
        <v>14</v>
      </c>
      <c r="D44" s="37">
        <v>17</v>
      </c>
      <c r="E44" s="49">
        <f>D44*E40</f>
        <v>89.76</v>
      </c>
      <c r="F44" s="24"/>
      <c r="G44" s="29"/>
      <c r="H44" s="24"/>
      <c r="I44" s="24"/>
      <c r="J44" s="25">
        <f t="shared" ref="J44" si="3">I44</f>
        <v>0</v>
      </c>
      <c r="K44" s="21"/>
      <c r="L44" s="20"/>
      <c r="M44" s="21"/>
      <c r="N44" s="21"/>
      <c r="O44" s="21"/>
      <c r="P44" s="21"/>
      <c r="Q44" s="21"/>
      <c r="R44" s="50" t="s">
        <v>101</v>
      </c>
      <c r="S44" s="50"/>
      <c r="T44" s="51" t="e">
        <f>#REF!+U42</f>
        <v>#REF!</v>
      </c>
    </row>
    <row r="45" spans="1:22" ht="15.75">
      <c r="A45" s="35" t="s">
        <v>179</v>
      </c>
      <c r="B45" s="65" t="s">
        <v>263</v>
      </c>
      <c r="C45" s="37" t="s">
        <v>14</v>
      </c>
      <c r="D45" s="37" t="s">
        <v>109</v>
      </c>
      <c r="E45" s="49">
        <f>D45*E40</f>
        <v>66</v>
      </c>
      <c r="F45" s="24"/>
      <c r="G45" s="29"/>
      <c r="H45" s="24"/>
      <c r="I45" s="24"/>
      <c r="J45" s="25">
        <f t="shared" si="1"/>
        <v>0</v>
      </c>
      <c r="K45" s="21"/>
      <c r="L45" s="55" t="s">
        <v>110</v>
      </c>
      <c r="M45" s="58" t="s">
        <v>111</v>
      </c>
      <c r="N45" s="53"/>
      <c r="O45" s="53" t="s">
        <v>112</v>
      </c>
      <c r="P45" s="21"/>
      <c r="Q45" s="11" t="s">
        <v>113</v>
      </c>
    </row>
    <row r="46" spans="1:22" ht="15.75">
      <c r="A46" s="35" t="s">
        <v>180</v>
      </c>
      <c r="B46" s="36" t="s">
        <v>53</v>
      </c>
      <c r="C46" s="37" t="s">
        <v>14</v>
      </c>
      <c r="D46" s="37" t="s">
        <v>115</v>
      </c>
      <c r="E46" s="49">
        <f>D46*E40</f>
        <v>36.96</v>
      </c>
      <c r="F46" s="24"/>
      <c r="G46" s="29"/>
      <c r="H46" s="24"/>
      <c r="I46" s="24"/>
      <c r="J46" s="25">
        <f t="shared" si="1"/>
        <v>0</v>
      </c>
      <c r="K46" s="21"/>
      <c r="L46" s="20" t="s">
        <v>116</v>
      </c>
      <c r="M46" s="52"/>
      <c r="O46" s="53"/>
      <c r="P46" s="21"/>
    </row>
    <row r="47" spans="1:22" ht="15.75">
      <c r="A47" s="35" t="s">
        <v>181</v>
      </c>
      <c r="B47" s="36" t="s">
        <v>243</v>
      </c>
      <c r="C47" s="37" t="s">
        <v>21</v>
      </c>
      <c r="D47" s="37" t="s">
        <v>105</v>
      </c>
      <c r="E47" s="24">
        <f>D47*E40</f>
        <v>6.3360000000000003</v>
      </c>
      <c r="F47" s="24"/>
      <c r="G47" s="29"/>
      <c r="H47" s="24"/>
      <c r="I47" s="24"/>
      <c r="J47" s="25">
        <f t="shared" si="1"/>
        <v>0</v>
      </c>
      <c r="K47" s="21"/>
      <c r="L47" s="20"/>
      <c r="M47" s="21"/>
      <c r="N47" s="21"/>
      <c r="O47" s="21"/>
      <c r="P47" s="21"/>
      <c r="Q47" s="21"/>
    </row>
    <row r="48" spans="1:22" s="32" customFormat="1" ht="15.75">
      <c r="A48" s="22" t="s">
        <v>214</v>
      </c>
      <c r="B48" s="44" t="s">
        <v>183</v>
      </c>
      <c r="C48" s="59" t="s">
        <v>10</v>
      </c>
      <c r="D48" s="60"/>
      <c r="E48" s="61">
        <f>E53</f>
        <v>433.4</v>
      </c>
      <c r="F48" s="29"/>
      <c r="G48" s="29"/>
      <c r="H48" s="62"/>
      <c r="I48" s="23"/>
      <c r="J48" s="29">
        <f>G48</f>
        <v>0</v>
      </c>
      <c r="K48" s="30"/>
      <c r="L48" s="63"/>
      <c r="M48" s="52" t="s">
        <v>92</v>
      </c>
      <c r="N48" s="53">
        <f>3.3+0.13+0.27+3.3+1.41</f>
        <v>8.41</v>
      </c>
      <c r="O48" s="30"/>
      <c r="P48" s="52"/>
      <c r="Q48" s="53"/>
      <c r="R48" s="64" t="s">
        <v>123</v>
      </c>
      <c r="S48" s="64"/>
    </row>
    <row r="49" spans="1:40" ht="15.75">
      <c r="A49" s="35" t="s">
        <v>215</v>
      </c>
      <c r="B49" s="65" t="s">
        <v>192</v>
      </c>
      <c r="C49" s="66" t="s">
        <v>13</v>
      </c>
      <c r="D49" s="67">
        <v>0.15</v>
      </c>
      <c r="E49" s="68">
        <f>D49*E48</f>
        <v>65.009999999999991</v>
      </c>
      <c r="F49" s="69"/>
      <c r="G49" s="29"/>
      <c r="H49" s="25"/>
      <c r="I49" s="24"/>
      <c r="J49" s="25">
        <f>I49</f>
        <v>0</v>
      </c>
      <c r="K49" s="21"/>
      <c r="M49" s="52" t="s">
        <v>94</v>
      </c>
      <c r="N49" s="53">
        <v>3.05</v>
      </c>
      <c r="O49" s="21"/>
      <c r="P49" s="52"/>
      <c r="Q49" s="53"/>
      <c r="R49" s="64" t="s">
        <v>80</v>
      </c>
      <c r="S49" s="64">
        <f>2.37+2.37+1.01</f>
        <v>5.75</v>
      </c>
    </row>
    <row r="50" spans="1:40" ht="15.75">
      <c r="A50" s="35" t="s">
        <v>216</v>
      </c>
      <c r="B50" s="65" t="s">
        <v>247</v>
      </c>
      <c r="C50" s="67" t="s">
        <v>13</v>
      </c>
      <c r="D50" s="70">
        <v>20</v>
      </c>
      <c r="E50" s="68">
        <f>D50*E48</f>
        <v>8668</v>
      </c>
      <c r="F50" s="69"/>
      <c r="G50" s="29"/>
      <c r="H50" s="24"/>
      <c r="I50" s="24"/>
      <c r="J50" s="25">
        <f>I50</f>
        <v>0</v>
      </c>
      <c r="K50" s="21"/>
      <c r="M50" s="20"/>
      <c r="N50" s="30">
        <f>N48*N49</f>
        <v>25.650499999999997</v>
      </c>
      <c r="O50" s="21"/>
      <c r="P50" s="33">
        <v>20.9</v>
      </c>
      <c r="Q50" s="30"/>
    </row>
    <row r="51" spans="1:40" ht="15.75">
      <c r="A51" s="35" t="s">
        <v>217</v>
      </c>
      <c r="B51" s="71" t="s">
        <v>248</v>
      </c>
      <c r="C51" s="67" t="s">
        <v>37</v>
      </c>
      <c r="D51" s="70">
        <v>1.34</v>
      </c>
      <c r="E51" s="68">
        <f>D51*E48</f>
        <v>580.75599999999997</v>
      </c>
      <c r="F51" s="69"/>
      <c r="G51" s="29"/>
      <c r="H51" s="70"/>
      <c r="I51" s="24"/>
      <c r="J51" s="25">
        <f>I51</f>
        <v>0</v>
      </c>
      <c r="K51" s="21"/>
      <c r="M51" s="183" t="s">
        <v>128</v>
      </c>
      <c r="N51" s="183"/>
      <c r="O51" s="21"/>
      <c r="P51" s="183" t="s">
        <v>129</v>
      </c>
      <c r="Q51" s="183"/>
    </row>
    <row r="52" spans="1:40" ht="15.75">
      <c r="A52" s="35" t="s">
        <v>218</v>
      </c>
      <c r="B52" s="72" t="s">
        <v>249</v>
      </c>
      <c r="C52" s="67" t="s">
        <v>10</v>
      </c>
      <c r="D52" s="70">
        <v>0.2</v>
      </c>
      <c r="E52" s="68">
        <f>D52*E48</f>
        <v>86.68</v>
      </c>
      <c r="F52" s="29"/>
      <c r="G52" s="29"/>
      <c r="H52" s="24"/>
      <c r="I52" s="24"/>
      <c r="J52" s="25">
        <f>I52</f>
        <v>0</v>
      </c>
      <c r="K52" s="21"/>
      <c r="M52" s="20"/>
      <c r="N52" s="21"/>
      <c r="O52" s="21"/>
      <c r="P52" s="21"/>
      <c r="Q52" s="21"/>
    </row>
    <row r="53" spans="1:40" s="32" customFormat="1" ht="30" customHeight="1">
      <c r="A53" s="22" t="s">
        <v>29</v>
      </c>
      <c r="B53" s="73" t="s">
        <v>118</v>
      </c>
      <c r="C53" s="59" t="s">
        <v>39</v>
      </c>
      <c r="D53" s="46"/>
      <c r="E53" s="74">
        <v>433.4</v>
      </c>
      <c r="F53" s="29"/>
      <c r="G53" s="29"/>
      <c r="H53" s="62"/>
      <c r="I53" s="23"/>
      <c r="J53" s="29">
        <f>G53</f>
        <v>0</v>
      </c>
      <c r="K53" s="30"/>
      <c r="L53" s="31"/>
      <c r="M53" s="30"/>
      <c r="N53" s="30"/>
      <c r="O53" s="30"/>
      <c r="P53" s="30"/>
    </row>
    <row r="54" spans="1:40" ht="15.75">
      <c r="A54" s="35" t="s">
        <v>30</v>
      </c>
      <c r="B54" s="65" t="s">
        <v>192</v>
      </c>
      <c r="C54" s="67" t="s">
        <v>17</v>
      </c>
      <c r="D54" s="70">
        <v>0.15</v>
      </c>
      <c r="E54" s="43">
        <f>D54*E53</f>
        <v>65.009999999999991</v>
      </c>
      <c r="F54" s="69"/>
      <c r="G54" s="29"/>
      <c r="H54" s="25"/>
      <c r="I54" s="24"/>
      <c r="J54" s="25">
        <f t="shared" si="1"/>
        <v>0</v>
      </c>
      <c r="K54" s="21"/>
      <c r="L54" s="20"/>
      <c r="M54" s="21"/>
      <c r="N54" s="21"/>
      <c r="O54" s="21"/>
      <c r="P54" s="21"/>
    </row>
    <row r="55" spans="1:40" ht="15.75">
      <c r="A55" s="35" t="s">
        <v>31</v>
      </c>
      <c r="B55" s="75" t="s">
        <v>250</v>
      </c>
      <c r="C55" s="67" t="s">
        <v>13</v>
      </c>
      <c r="D55" s="70">
        <v>1.5</v>
      </c>
      <c r="E55" s="43">
        <f>D55*E53</f>
        <v>650.09999999999991</v>
      </c>
      <c r="F55" s="69"/>
      <c r="G55" s="29"/>
      <c r="H55" s="24"/>
      <c r="I55" s="24"/>
      <c r="J55" s="25">
        <f t="shared" si="1"/>
        <v>0</v>
      </c>
      <c r="K55" s="21"/>
      <c r="L55" s="20"/>
      <c r="M55" s="21"/>
      <c r="N55" s="21"/>
      <c r="O55" s="21"/>
      <c r="P55" s="21"/>
    </row>
    <row r="56" spans="1:40" ht="15.75">
      <c r="A56" s="35" t="s">
        <v>32</v>
      </c>
      <c r="B56" s="75" t="s">
        <v>251</v>
      </c>
      <c r="C56" s="67" t="s">
        <v>13</v>
      </c>
      <c r="D56" s="70">
        <v>0.9</v>
      </c>
      <c r="E56" s="43">
        <f>D56*E53</f>
        <v>390.06</v>
      </c>
      <c r="F56" s="69"/>
      <c r="G56" s="29"/>
      <c r="H56" s="24"/>
      <c r="I56" s="24"/>
      <c r="J56" s="25">
        <f t="shared" si="1"/>
        <v>0</v>
      </c>
      <c r="K56" s="21"/>
      <c r="L56" s="20"/>
      <c r="M56" s="21"/>
      <c r="N56" s="21"/>
      <c r="O56" s="21"/>
      <c r="P56" s="21"/>
    </row>
    <row r="57" spans="1:40" ht="15.75">
      <c r="A57" s="35" t="s">
        <v>33</v>
      </c>
      <c r="B57" s="65" t="s">
        <v>252</v>
      </c>
      <c r="C57" s="67" t="s">
        <v>21</v>
      </c>
      <c r="D57" s="70"/>
      <c r="E57" s="43">
        <v>106</v>
      </c>
      <c r="F57" s="69"/>
      <c r="G57" s="29"/>
      <c r="H57" s="24"/>
      <c r="I57" s="24"/>
      <c r="J57" s="25">
        <f>I57</f>
        <v>0</v>
      </c>
      <c r="K57" s="76"/>
      <c r="L57" s="20"/>
      <c r="M57" s="21"/>
      <c r="N57" s="21"/>
      <c r="O57" s="21"/>
      <c r="P57" s="21"/>
      <c r="AL57" s="77"/>
      <c r="AM57" s="77"/>
    </row>
    <row r="58" spans="1:40" s="81" customFormat="1" ht="15.75">
      <c r="A58" s="22" t="s">
        <v>34</v>
      </c>
      <c r="B58" s="78" t="s">
        <v>185</v>
      </c>
      <c r="C58" s="79" t="s">
        <v>39</v>
      </c>
      <c r="D58" s="46"/>
      <c r="E58" s="69">
        <f>E40+E32</f>
        <v>27.936630000000005</v>
      </c>
      <c r="F58" s="29"/>
      <c r="G58" s="39"/>
      <c r="H58" s="80"/>
      <c r="I58" s="41"/>
      <c r="J58" s="29">
        <f>G58</f>
        <v>0</v>
      </c>
      <c r="M58" s="82"/>
      <c r="AK58" s="83"/>
      <c r="AL58" s="83"/>
    </row>
    <row r="59" spans="1:40" s="81" customFormat="1" ht="15.75">
      <c r="A59" s="35" t="s">
        <v>35</v>
      </c>
      <c r="B59" s="65" t="s">
        <v>192</v>
      </c>
      <c r="C59" s="85" t="s">
        <v>17</v>
      </c>
      <c r="D59" s="70">
        <v>0.15</v>
      </c>
      <c r="E59" s="70">
        <f>D59*E58</f>
        <v>4.1904945000000007</v>
      </c>
      <c r="F59" s="62"/>
      <c r="G59" s="86"/>
      <c r="H59" s="25"/>
      <c r="I59" s="41"/>
      <c r="J59" s="25">
        <f t="shared" ref="J59:J60" si="4">I59</f>
        <v>0</v>
      </c>
      <c r="M59" s="82"/>
    </row>
    <row r="60" spans="1:40" s="81" customFormat="1" ht="15.75">
      <c r="A60" s="35" t="s">
        <v>36</v>
      </c>
      <c r="B60" s="87" t="s">
        <v>251</v>
      </c>
      <c r="C60" s="85" t="s">
        <v>13</v>
      </c>
      <c r="D60" s="70">
        <v>0.9</v>
      </c>
      <c r="E60" s="70">
        <f>D60*E58</f>
        <v>25.142967000000006</v>
      </c>
      <c r="F60" s="62"/>
      <c r="G60" s="86"/>
      <c r="H60" s="24"/>
      <c r="I60" s="41"/>
      <c r="J60" s="25">
        <f t="shared" si="4"/>
        <v>0</v>
      </c>
      <c r="M60" s="82"/>
      <c r="AL60" s="82"/>
      <c r="AM60" s="82"/>
    </row>
    <row r="61" spans="1:40" s="32" customFormat="1" ht="31.5">
      <c r="A61" s="22" t="s">
        <v>38</v>
      </c>
      <c r="B61" s="174" t="s">
        <v>223</v>
      </c>
      <c r="C61" s="79" t="s">
        <v>10</v>
      </c>
      <c r="D61" s="60"/>
      <c r="E61" s="61">
        <v>221.26</v>
      </c>
      <c r="F61" s="69"/>
      <c r="G61" s="29"/>
      <c r="H61" s="23"/>
      <c r="I61" s="23"/>
      <c r="J61" s="29">
        <f>G61</f>
        <v>0</v>
      </c>
      <c r="K61" s="30"/>
      <c r="L61" s="31"/>
      <c r="M61" s="52" t="s">
        <v>92</v>
      </c>
      <c r="N61" s="53">
        <f>6.252*4+6.372*2</f>
        <v>37.751999999999995</v>
      </c>
      <c r="O61" s="30"/>
      <c r="P61" s="30"/>
    </row>
    <row r="62" spans="1:40" ht="15.75">
      <c r="A62" s="35" t="s">
        <v>40</v>
      </c>
      <c r="B62" s="65" t="s">
        <v>224</v>
      </c>
      <c r="C62" s="67" t="s">
        <v>13</v>
      </c>
      <c r="D62" s="70">
        <v>0.15</v>
      </c>
      <c r="E62" s="68">
        <f>D62*E61</f>
        <v>33.189</v>
      </c>
      <c r="F62" s="29"/>
      <c r="G62" s="29"/>
      <c r="H62" s="24"/>
      <c r="I62" s="24"/>
      <c r="J62" s="25">
        <f>I62</f>
        <v>0</v>
      </c>
      <c r="K62" s="21"/>
      <c r="L62" s="20"/>
      <c r="M62" s="52" t="s">
        <v>94</v>
      </c>
      <c r="N62" s="53">
        <v>3.3</v>
      </c>
      <c r="O62" s="21"/>
      <c r="P62" s="21"/>
      <c r="AN62" s="88"/>
    </row>
    <row r="63" spans="1:40" ht="30">
      <c r="A63" s="35" t="s">
        <v>41</v>
      </c>
      <c r="B63" s="65" t="s">
        <v>225</v>
      </c>
      <c r="C63" s="67" t="s">
        <v>13</v>
      </c>
      <c r="D63" s="70">
        <v>2</v>
      </c>
      <c r="E63" s="68">
        <f>D63*E61</f>
        <v>442.52</v>
      </c>
      <c r="F63" s="69"/>
      <c r="G63" s="29"/>
      <c r="H63" s="24"/>
      <c r="I63" s="24"/>
      <c r="J63" s="25">
        <f t="shared" ref="J63:J106" si="5">I63</f>
        <v>0</v>
      </c>
      <c r="K63" s="21"/>
      <c r="L63" s="20"/>
      <c r="M63" s="56"/>
      <c r="N63" s="57">
        <f>N61*N62</f>
        <v>124.58159999999998</v>
      </c>
      <c r="O63" s="21"/>
      <c r="P63" s="21"/>
      <c r="AN63" s="88"/>
    </row>
    <row r="64" spans="1:40" ht="15.75">
      <c r="A64" s="35" t="s">
        <v>227</v>
      </c>
      <c r="B64" s="65" t="s">
        <v>226</v>
      </c>
      <c r="C64" s="67" t="s">
        <v>17</v>
      </c>
      <c r="D64" s="70">
        <v>0.01</v>
      </c>
      <c r="E64" s="68">
        <f>D64*E61</f>
        <v>2.2126000000000001</v>
      </c>
      <c r="F64" s="69"/>
      <c r="G64" s="29"/>
      <c r="H64" s="24"/>
      <c r="I64" s="24"/>
      <c r="J64" s="25">
        <f t="shared" si="5"/>
        <v>0</v>
      </c>
      <c r="K64" s="21"/>
      <c r="L64" s="20"/>
      <c r="M64" s="58" t="s">
        <v>119</v>
      </c>
      <c r="N64" s="53"/>
      <c r="O64" s="21"/>
      <c r="P64" s="21"/>
    </row>
    <row r="65" spans="1:33" s="32" customFormat="1" ht="15.75">
      <c r="A65" s="22" t="s">
        <v>42</v>
      </c>
      <c r="B65" s="89" t="s">
        <v>120</v>
      </c>
      <c r="C65" s="45" t="s">
        <v>39</v>
      </c>
      <c r="D65" s="46"/>
      <c r="E65" s="61">
        <v>120.5</v>
      </c>
      <c r="F65" s="69"/>
      <c r="G65" s="29"/>
      <c r="H65" s="62"/>
      <c r="I65" s="23"/>
      <c r="J65" s="29">
        <f>G65</f>
        <v>0</v>
      </c>
      <c r="K65" s="30"/>
      <c r="L65" s="32">
        <f>5.43+3.36+5.54+1.32</f>
        <v>15.649999999999999</v>
      </c>
      <c r="M65" s="52" t="s">
        <v>92</v>
      </c>
      <c r="N65" s="53">
        <f>2.518+1.1+1.06+0.78+1.01+0.83+1.1</f>
        <v>8.3979999999999997</v>
      </c>
      <c r="O65" s="52" t="s">
        <v>92</v>
      </c>
      <c r="P65" s="53">
        <f>0.83+0.91+0.78+0.78+0.13+0.78+1.49+0.9+0.27+1.21</f>
        <v>8.0800000000000018</v>
      </c>
      <c r="R65" s="32">
        <f>5.53+4.45+0.46+0.97+0.6+0.18+1.79+1.08+0.32+3.69</f>
        <v>19.07</v>
      </c>
      <c r="S65" s="52" t="s">
        <v>92</v>
      </c>
      <c r="T65" s="53">
        <f>6.253*2</f>
        <v>12.506</v>
      </c>
      <c r="U65" s="52" t="s">
        <v>92</v>
      </c>
      <c r="V65" s="53">
        <f>27.28+3+4.3+0.95+0.12+2.23+0.15</f>
        <v>38.029999999999994</v>
      </c>
      <c r="W65" s="176" t="s">
        <v>80</v>
      </c>
      <c r="X65" s="32">
        <f>(2.37+2.37+1.01)+(2.7+2.7+2.2)+(2.7+2.7+0.98)</f>
        <v>19.730000000000004</v>
      </c>
      <c r="AA65" s="52" t="s">
        <v>92</v>
      </c>
      <c r="AB65" s="53">
        <f>0.47+1.572+0.47+0.18+0.18+0.422+1.596+0.7</f>
        <v>5.5900000000000007</v>
      </c>
      <c r="AD65" s="52" t="s">
        <v>92</v>
      </c>
      <c r="AE65" s="53">
        <f>0.52+1.81+0.77+2.4+2.4+2.35+4.1+0.78+2.4+0.76+5.64+1.2+3.6+1.108+4.137+0.24+2.68+0.9+4.5+0.6+4.17+0.65+5.45+1.2+2.4+1.2+0.1</f>
        <v>58.065000000000012</v>
      </c>
      <c r="AF65" s="176" t="s">
        <v>121</v>
      </c>
      <c r="AG65" s="64">
        <f>2.4+2.4+1.81+(2.75+2.75+4.137+4.137)</f>
        <v>20.384</v>
      </c>
    </row>
    <row r="66" spans="1:33" ht="15.75">
      <c r="A66" s="35" t="s">
        <v>43</v>
      </c>
      <c r="B66" s="65" t="s">
        <v>192</v>
      </c>
      <c r="C66" s="67" t="s">
        <v>17</v>
      </c>
      <c r="D66" s="70">
        <v>0.15</v>
      </c>
      <c r="E66" s="68">
        <f>E65*D66</f>
        <v>18.074999999999999</v>
      </c>
      <c r="F66" s="29"/>
      <c r="G66" s="29"/>
      <c r="H66" s="25"/>
      <c r="I66" s="24"/>
      <c r="J66" s="25">
        <f t="shared" si="5"/>
        <v>0</v>
      </c>
      <c r="K66" s="21"/>
      <c r="L66" s="88" t="s">
        <v>10</v>
      </c>
      <c r="M66" s="52" t="s">
        <v>94</v>
      </c>
      <c r="N66" s="53">
        <v>3.05</v>
      </c>
      <c r="O66" s="52" t="s">
        <v>94</v>
      </c>
      <c r="P66" s="53">
        <v>3.05</v>
      </c>
      <c r="R66" s="88" t="s">
        <v>10</v>
      </c>
      <c r="S66" s="52" t="s">
        <v>94</v>
      </c>
      <c r="T66" s="53">
        <v>3.3</v>
      </c>
      <c r="U66" s="52" t="s">
        <v>94</v>
      </c>
      <c r="V66" s="53">
        <v>3.05</v>
      </c>
      <c r="W66" s="88" t="s">
        <v>122</v>
      </c>
      <c r="X66" s="11" t="s">
        <v>123</v>
      </c>
      <c r="AA66" s="52" t="s">
        <v>94</v>
      </c>
      <c r="AB66" s="53">
        <v>3.2</v>
      </c>
      <c r="AD66" s="52" t="s">
        <v>94</v>
      </c>
      <c r="AE66" s="53">
        <v>3.2</v>
      </c>
    </row>
    <row r="67" spans="1:33" ht="25.5" customHeight="1">
      <c r="A67" s="35" t="s">
        <v>44</v>
      </c>
      <c r="B67" s="130" t="s">
        <v>193</v>
      </c>
      <c r="C67" s="67" t="s">
        <v>10</v>
      </c>
      <c r="D67" s="70">
        <v>1.1000000000000001</v>
      </c>
      <c r="E67" s="68">
        <f>E65*D67</f>
        <v>132.55000000000001</v>
      </c>
      <c r="F67" s="69"/>
      <c r="G67" s="29"/>
      <c r="H67" s="25"/>
      <c r="I67" s="24"/>
      <c r="J67" s="25">
        <f t="shared" si="5"/>
        <v>0</v>
      </c>
      <c r="K67" s="21"/>
      <c r="L67" s="11"/>
      <c r="M67" s="91" t="s">
        <v>91</v>
      </c>
      <c r="N67" s="53">
        <f>1.01+1.01</f>
        <v>2.02</v>
      </c>
      <c r="O67" s="91" t="s">
        <v>91</v>
      </c>
      <c r="P67" s="53">
        <v>1.01</v>
      </c>
      <c r="S67" s="56"/>
      <c r="T67" s="57">
        <f>T65*T66</f>
        <v>41.269799999999996</v>
      </c>
      <c r="U67" s="52" t="s">
        <v>124</v>
      </c>
      <c r="V67" s="53">
        <f>1.155*2</f>
        <v>2.31</v>
      </c>
      <c r="W67" s="176" t="s">
        <v>80</v>
      </c>
      <c r="X67" s="32">
        <f>2.37+2.37+1.01+2.37+2.37+1.01</f>
        <v>11.500000000000002</v>
      </c>
      <c r="AB67" s="32">
        <f>AB65*AB66</f>
        <v>17.888000000000002</v>
      </c>
      <c r="AD67" s="91" t="s">
        <v>91</v>
      </c>
      <c r="AE67" s="53">
        <f>1.81+1.01+4.137</f>
        <v>6.9569999999999999</v>
      </c>
    </row>
    <row r="68" spans="1:33" ht="15.75">
      <c r="A68" s="35" t="s">
        <v>45</v>
      </c>
      <c r="B68" s="92" t="s">
        <v>253</v>
      </c>
      <c r="C68" s="67" t="s">
        <v>13</v>
      </c>
      <c r="D68" s="70">
        <v>6</v>
      </c>
      <c r="E68" s="68">
        <f>D68*E65</f>
        <v>723</v>
      </c>
      <c r="F68" s="69"/>
      <c r="G68" s="29"/>
      <c r="H68" s="24"/>
      <c r="I68" s="24"/>
      <c r="J68" s="25">
        <f t="shared" si="5"/>
        <v>0</v>
      </c>
      <c r="K68" s="21"/>
      <c r="L68" s="11"/>
      <c r="M68" s="91" t="s">
        <v>93</v>
      </c>
      <c r="N68" s="53">
        <v>2.37</v>
      </c>
      <c r="O68" s="91" t="s">
        <v>93</v>
      </c>
      <c r="P68" s="53">
        <v>2.37</v>
      </c>
      <c r="U68" s="52" t="s">
        <v>125</v>
      </c>
      <c r="V68" s="53">
        <v>1.2</v>
      </c>
      <c r="W68" s="93" t="s">
        <v>117</v>
      </c>
      <c r="X68" s="64">
        <f>X65+X67</f>
        <v>31.230000000000004</v>
      </c>
      <c r="Y68" s="94" t="s">
        <v>80</v>
      </c>
      <c r="AD68" s="91" t="s">
        <v>93</v>
      </c>
      <c r="AE68" s="53">
        <f>2.4+2.3+2.75</f>
        <v>7.4499999999999993</v>
      </c>
    </row>
    <row r="69" spans="1:33" ht="15.75">
      <c r="A69" s="35" t="s">
        <v>126</v>
      </c>
      <c r="B69" s="72" t="s">
        <v>254</v>
      </c>
      <c r="C69" s="67" t="s">
        <v>13</v>
      </c>
      <c r="D69" s="70">
        <v>0.4</v>
      </c>
      <c r="E69" s="68">
        <f>E65*D69</f>
        <v>48.2</v>
      </c>
      <c r="F69" s="69"/>
      <c r="G69" s="29"/>
      <c r="H69" s="24"/>
      <c r="I69" s="24"/>
      <c r="J69" s="25">
        <f t="shared" si="5"/>
        <v>0</v>
      </c>
      <c r="K69" s="95"/>
      <c r="L69" s="11"/>
      <c r="M69" s="91" t="s">
        <v>127</v>
      </c>
      <c r="N69" s="53">
        <v>1.06</v>
      </c>
      <c r="O69" s="91" t="s">
        <v>127</v>
      </c>
      <c r="P69" s="53">
        <f>1.45+0.9+0.25</f>
        <v>2.6</v>
      </c>
      <c r="U69" s="91" t="s">
        <v>91</v>
      </c>
      <c r="V69" s="53">
        <f>1.01+1.02</f>
        <v>2.0300000000000002</v>
      </c>
      <c r="AE69" s="32">
        <f>(AE65*AE66)-(AE67*AE68)</f>
        <v>133.97835000000006</v>
      </c>
    </row>
    <row r="70" spans="1:33" s="32" customFormat="1" ht="31.5">
      <c r="A70" s="22" t="s">
        <v>228</v>
      </c>
      <c r="B70" s="44" t="s">
        <v>131</v>
      </c>
      <c r="C70" s="59" t="s">
        <v>21</v>
      </c>
      <c r="D70" s="60"/>
      <c r="E70" s="61">
        <v>41</v>
      </c>
      <c r="F70" s="29"/>
      <c r="G70" s="29"/>
      <c r="H70" s="62"/>
      <c r="I70" s="23"/>
      <c r="J70" s="29">
        <f>G70</f>
        <v>0</v>
      </c>
      <c r="K70" s="30"/>
      <c r="L70" s="63"/>
      <c r="M70" s="52"/>
      <c r="N70" s="53"/>
      <c r="O70" s="30"/>
      <c r="P70" s="52"/>
      <c r="Q70" s="53"/>
    </row>
    <row r="71" spans="1:33" ht="15.75">
      <c r="A71" s="35" t="s">
        <v>229</v>
      </c>
      <c r="B71" s="65" t="s">
        <v>192</v>
      </c>
      <c r="C71" s="66" t="s">
        <v>17</v>
      </c>
      <c r="D71" s="67">
        <f>0.15*0.2</f>
        <v>0.03</v>
      </c>
      <c r="E71" s="68">
        <f>D71*E70</f>
        <v>1.23</v>
      </c>
      <c r="F71" s="69"/>
      <c r="G71" s="29"/>
      <c r="H71" s="25"/>
      <c r="I71" s="24"/>
      <c r="J71" s="25">
        <f t="shared" ref="J71:J74" si="6">I71</f>
        <v>0</v>
      </c>
      <c r="K71" s="21"/>
      <c r="M71" s="52"/>
      <c r="N71" s="53"/>
      <c r="O71" s="21"/>
      <c r="P71" s="52"/>
      <c r="Q71" s="53"/>
    </row>
    <row r="72" spans="1:33" ht="15.75">
      <c r="A72" s="35" t="s">
        <v>230</v>
      </c>
      <c r="B72" s="65" t="s">
        <v>247</v>
      </c>
      <c r="C72" s="67" t="s">
        <v>13</v>
      </c>
      <c r="D72" s="70">
        <f>20*0.2</f>
        <v>4</v>
      </c>
      <c r="E72" s="68">
        <f>D72*E70</f>
        <v>164</v>
      </c>
      <c r="F72" s="69"/>
      <c r="G72" s="29"/>
      <c r="H72" s="24"/>
      <c r="I72" s="24"/>
      <c r="J72" s="25">
        <f t="shared" si="6"/>
        <v>0</v>
      </c>
      <c r="K72" s="21"/>
      <c r="M72" s="20"/>
      <c r="N72" s="30"/>
      <c r="O72" s="21"/>
      <c r="P72" s="33"/>
      <c r="Q72" s="30"/>
    </row>
    <row r="73" spans="1:33" ht="15.75">
      <c r="A73" s="35" t="s">
        <v>231</v>
      </c>
      <c r="B73" s="71" t="s">
        <v>248</v>
      </c>
      <c r="C73" s="67" t="s">
        <v>37</v>
      </c>
      <c r="D73" s="70">
        <f>1.34*0.2</f>
        <v>0.26800000000000002</v>
      </c>
      <c r="E73" s="68">
        <f>D73*E70</f>
        <v>10.988000000000001</v>
      </c>
      <c r="F73" s="69"/>
      <c r="G73" s="29"/>
      <c r="H73" s="70"/>
      <c r="I73" s="24"/>
      <c r="J73" s="25">
        <f t="shared" si="6"/>
        <v>0</v>
      </c>
      <c r="K73" s="21"/>
      <c r="M73" s="183"/>
      <c r="N73" s="183"/>
      <c r="O73" s="21"/>
      <c r="P73" s="183"/>
      <c r="Q73" s="183"/>
    </row>
    <row r="74" spans="1:33" ht="15.75">
      <c r="A74" s="35" t="s">
        <v>232</v>
      </c>
      <c r="B74" s="72" t="s">
        <v>249</v>
      </c>
      <c r="C74" s="67" t="s">
        <v>10</v>
      </c>
      <c r="D74" s="70">
        <f>0.2*0.2</f>
        <v>4.0000000000000008E-2</v>
      </c>
      <c r="E74" s="68">
        <f>D74*E70</f>
        <v>1.6400000000000003</v>
      </c>
      <c r="F74" s="29"/>
      <c r="G74" s="29"/>
      <c r="H74" s="24"/>
      <c r="I74" s="24"/>
      <c r="J74" s="25">
        <f t="shared" si="6"/>
        <v>0</v>
      </c>
      <c r="K74" s="21"/>
      <c r="M74" s="20"/>
      <c r="N74" s="21"/>
      <c r="O74" s="21"/>
      <c r="P74" s="21"/>
      <c r="Q74" s="21"/>
    </row>
    <row r="75" spans="1:33" s="32" customFormat="1" ht="15.75">
      <c r="A75" s="22" t="s">
        <v>46</v>
      </c>
      <c r="B75" s="89" t="s">
        <v>132</v>
      </c>
      <c r="C75" s="45" t="s">
        <v>21</v>
      </c>
      <c r="D75" s="46"/>
      <c r="E75" s="74">
        <f>E70</f>
        <v>41</v>
      </c>
      <c r="F75" s="69"/>
      <c r="G75" s="29"/>
      <c r="H75" s="62"/>
      <c r="I75" s="23"/>
      <c r="J75" s="29">
        <f>G75</f>
        <v>0</v>
      </c>
      <c r="K75" s="30"/>
      <c r="M75" s="31"/>
      <c r="N75" s="30"/>
      <c r="O75" s="30"/>
      <c r="P75" s="30"/>
    </row>
    <row r="76" spans="1:33" ht="15.75">
      <c r="A76" s="35" t="s">
        <v>47</v>
      </c>
      <c r="B76" s="65" t="s">
        <v>192</v>
      </c>
      <c r="C76" s="67" t="s">
        <v>17</v>
      </c>
      <c r="D76" s="70">
        <f>0.15*0.15</f>
        <v>2.2499999999999999E-2</v>
      </c>
      <c r="E76" s="43">
        <f>D76*E75</f>
        <v>0.92249999999999999</v>
      </c>
      <c r="F76" s="69"/>
      <c r="G76" s="29"/>
      <c r="H76" s="25"/>
      <c r="I76" s="24"/>
      <c r="J76" s="25">
        <f t="shared" ref="J76:J77" si="7">I76</f>
        <v>0</v>
      </c>
      <c r="K76" s="21"/>
      <c r="L76" s="11"/>
      <c r="M76" s="20"/>
      <c r="N76" s="21"/>
      <c r="O76" s="21"/>
      <c r="P76" s="21"/>
    </row>
    <row r="77" spans="1:33" ht="15.75">
      <c r="A77" s="35" t="s">
        <v>48</v>
      </c>
      <c r="B77" s="75" t="s">
        <v>251</v>
      </c>
      <c r="C77" s="67" t="s">
        <v>13</v>
      </c>
      <c r="D77" s="70">
        <f>0.9*0.15</f>
        <v>0.13500000000000001</v>
      </c>
      <c r="E77" s="43">
        <f>D77*E75</f>
        <v>5.5350000000000001</v>
      </c>
      <c r="F77" s="29"/>
      <c r="G77" s="29"/>
      <c r="H77" s="24"/>
      <c r="I77" s="24"/>
      <c r="J77" s="25">
        <f t="shared" si="7"/>
        <v>0</v>
      </c>
      <c r="K77" s="21"/>
      <c r="L77" s="11"/>
      <c r="M77" s="20"/>
      <c r="N77" s="21"/>
      <c r="O77" s="21"/>
      <c r="P77" s="21"/>
    </row>
    <row r="78" spans="1:33" s="32" customFormat="1" ht="31.5">
      <c r="A78" s="22" t="s">
        <v>233</v>
      </c>
      <c r="B78" s="44" t="s">
        <v>184</v>
      </c>
      <c r="C78" s="59" t="s">
        <v>21</v>
      </c>
      <c r="D78" s="96"/>
      <c r="E78" s="74">
        <f>E75</f>
        <v>41</v>
      </c>
      <c r="F78" s="69"/>
      <c r="G78" s="29"/>
      <c r="H78" s="69"/>
      <c r="I78" s="23"/>
      <c r="J78" s="29">
        <f>G78</f>
        <v>0</v>
      </c>
      <c r="K78" s="30"/>
      <c r="M78" s="31"/>
      <c r="N78" s="30"/>
      <c r="O78" s="30"/>
      <c r="P78" s="30"/>
    </row>
    <row r="79" spans="1:33" ht="15.75">
      <c r="A79" s="35" t="s">
        <v>234</v>
      </c>
      <c r="B79" s="65" t="s">
        <v>224</v>
      </c>
      <c r="C79" s="67" t="s">
        <v>13</v>
      </c>
      <c r="D79" s="70">
        <f>0.15*0.2</f>
        <v>0.03</v>
      </c>
      <c r="E79" s="68">
        <f>E78*D79</f>
        <v>1.23</v>
      </c>
      <c r="F79" s="69"/>
      <c r="G79" s="29"/>
      <c r="H79" s="25"/>
      <c r="I79" s="24"/>
      <c r="J79" s="25">
        <f t="shared" ref="J79:J81" si="8">I79</f>
        <v>0</v>
      </c>
      <c r="K79" s="21"/>
      <c r="L79" s="11"/>
      <c r="M79" s="20"/>
      <c r="N79" s="21"/>
      <c r="O79" s="21"/>
      <c r="P79" s="21"/>
    </row>
    <row r="80" spans="1:33" ht="30">
      <c r="A80" s="35" t="s">
        <v>235</v>
      </c>
      <c r="B80" s="65" t="s">
        <v>225</v>
      </c>
      <c r="C80" s="67" t="s">
        <v>13</v>
      </c>
      <c r="D80" s="70">
        <f>2*0.2</f>
        <v>0.4</v>
      </c>
      <c r="E80" s="68">
        <f>E78*D80</f>
        <v>16.400000000000002</v>
      </c>
      <c r="F80" s="69"/>
      <c r="G80" s="29"/>
      <c r="H80" s="25"/>
      <c r="I80" s="24"/>
      <c r="J80" s="25"/>
      <c r="K80" s="21"/>
      <c r="L80" s="11"/>
      <c r="M80" s="20"/>
      <c r="N80" s="21"/>
      <c r="O80" s="21"/>
      <c r="P80" s="21"/>
    </row>
    <row r="81" spans="1:17" ht="15.75">
      <c r="A81" s="35" t="s">
        <v>236</v>
      </c>
      <c r="B81" s="65" t="s">
        <v>226</v>
      </c>
      <c r="C81" s="67" t="s">
        <v>17</v>
      </c>
      <c r="D81" s="134">
        <f>0.01*0.2</f>
        <v>2E-3</v>
      </c>
      <c r="E81" s="68">
        <f>D81*E78</f>
        <v>8.2000000000000003E-2</v>
      </c>
      <c r="F81" s="69"/>
      <c r="G81" s="29"/>
      <c r="H81" s="24"/>
      <c r="I81" s="24"/>
      <c r="J81" s="25">
        <f t="shared" si="8"/>
        <v>0</v>
      </c>
      <c r="K81" s="95"/>
      <c r="L81" s="11"/>
      <c r="M81" s="20"/>
      <c r="N81" s="21"/>
      <c r="O81" s="21"/>
      <c r="P81" s="21"/>
    </row>
    <row r="82" spans="1:17" s="32" customFormat="1" ht="15.75">
      <c r="A82" s="22" t="s">
        <v>237</v>
      </c>
      <c r="B82" s="97" t="s">
        <v>27</v>
      </c>
      <c r="C82" s="45" t="s">
        <v>21</v>
      </c>
      <c r="D82" s="45"/>
      <c r="E82" s="61">
        <f>3.3*24</f>
        <v>79.199999999999989</v>
      </c>
      <c r="F82" s="69"/>
      <c r="G82" s="29"/>
      <c r="H82" s="62"/>
      <c r="I82" s="23"/>
      <c r="J82" s="29">
        <f>G82</f>
        <v>0</v>
      </c>
      <c r="K82" s="30"/>
      <c r="L82" s="31"/>
      <c r="M82" s="30"/>
      <c r="N82" s="30"/>
      <c r="O82" s="30"/>
      <c r="P82" s="30"/>
      <c r="Q82" s="30"/>
    </row>
    <row r="83" spans="1:17" ht="15.75" customHeight="1">
      <c r="A83" s="35" t="s">
        <v>238</v>
      </c>
      <c r="B83" s="71" t="s">
        <v>255</v>
      </c>
      <c r="C83" s="67" t="s">
        <v>21</v>
      </c>
      <c r="D83" s="70">
        <v>1.05</v>
      </c>
      <c r="E83" s="68">
        <f>E82*D83</f>
        <v>83.16</v>
      </c>
      <c r="F83" s="69"/>
      <c r="G83" s="29"/>
      <c r="H83" s="24"/>
      <c r="I83" s="24"/>
      <c r="J83" s="25">
        <f t="shared" si="5"/>
        <v>0</v>
      </c>
      <c r="K83" s="21"/>
      <c r="L83" s="20"/>
      <c r="M83" s="21"/>
      <c r="N83" s="21"/>
      <c r="O83" s="21"/>
      <c r="P83" s="21"/>
      <c r="Q83" s="21"/>
    </row>
    <row r="84" spans="1:17" s="32" customFormat="1" ht="31.5">
      <c r="A84" s="22" t="s">
        <v>239</v>
      </c>
      <c r="B84" s="100" t="s">
        <v>222</v>
      </c>
      <c r="C84" s="79" t="s">
        <v>39</v>
      </c>
      <c r="D84" s="101"/>
      <c r="E84" s="96">
        <v>39.549999999999997</v>
      </c>
      <c r="F84" s="69"/>
      <c r="G84" s="29"/>
      <c r="H84" s="62"/>
      <c r="I84" s="23"/>
      <c r="J84" s="29">
        <f>G84</f>
        <v>0</v>
      </c>
      <c r="K84" s="30"/>
      <c r="L84" s="31"/>
      <c r="M84" s="30"/>
      <c r="N84" s="30"/>
      <c r="O84" s="30"/>
      <c r="P84" s="30"/>
      <c r="Q84" s="30"/>
    </row>
    <row r="85" spans="1:17" s="32" customFormat="1" ht="15.75">
      <c r="A85" s="35" t="s">
        <v>240</v>
      </c>
      <c r="B85" s="84" t="s">
        <v>192</v>
      </c>
      <c r="C85" s="85" t="s">
        <v>17</v>
      </c>
      <c r="D85" s="102">
        <v>0.15</v>
      </c>
      <c r="E85" s="103">
        <f>E84*D85</f>
        <v>5.9324999999999992</v>
      </c>
      <c r="F85" s="69"/>
      <c r="G85" s="29"/>
      <c r="H85" s="62"/>
      <c r="I85" s="23"/>
      <c r="J85" s="29"/>
      <c r="K85" s="30"/>
      <c r="L85" s="31"/>
      <c r="M85" s="30"/>
      <c r="N85" s="30"/>
      <c r="O85" s="30"/>
      <c r="P85" s="30"/>
      <c r="Q85" s="30"/>
    </row>
    <row r="86" spans="1:17" s="32" customFormat="1" ht="15.75">
      <c r="A86" s="35" t="s">
        <v>241</v>
      </c>
      <c r="B86" s="104" t="s">
        <v>221</v>
      </c>
      <c r="C86" s="105" t="s">
        <v>17</v>
      </c>
      <c r="D86" s="106">
        <v>0.3</v>
      </c>
      <c r="E86" s="103">
        <f>D86*E84</f>
        <v>11.864999999999998</v>
      </c>
      <c r="F86" s="69"/>
      <c r="G86" s="29"/>
      <c r="H86" s="62"/>
      <c r="I86" s="23"/>
      <c r="J86" s="29"/>
      <c r="K86" s="30"/>
      <c r="L86" s="31"/>
      <c r="M86" s="30"/>
      <c r="N86" s="30"/>
      <c r="O86" s="30"/>
      <c r="P86" s="30"/>
      <c r="Q86" s="30"/>
    </row>
    <row r="87" spans="1:17" ht="15.75" customHeight="1">
      <c r="A87" s="22" t="s">
        <v>242</v>
      </c>
      <c r="B87" s="163" t="s">
        <v>186</v>
      </c>
      <c r="C87" s="79" t="s">
        <v>21</v>
      </c>
      <c r="D87" s="101"/>
      <c r="E87" s="99">
        <f>29*2.93</f>
        <v>84.97</v>
      </c>
      <c r="F87" s="69"/>
      <c r="G87" s="29"/>
      <c r="H87" s="24"/>
      <c r="I87" s="24"/>
      <c r="J87" s="29">
        <f>G87</f>
        <v>0</v>
      </c>
      <c r="K87" s="21"/>
      <c r="L87" s="20"/>
      <c r="M87" s="21"/>
      <c r="N87" s="21"/>
      <c r="O87" s="21"/>
      <c r="P87" s="21"/>
      <c r="Q87" s="21"/>
    </row>
    <row r="88" spans="1:17" ht="15.75" customHeight="1">
      <c r="A88" s="22"/>
      <c r="B88" s="164" t="s">
        <v>219</v>
      </c>
      <c r="C88" s="165" t="s">
        <v>21</v>
      </c>
      <c r="D88" s="102">
        <v>1.05</v>
      </c>
      <c r="E88" s="61">
        <f>29*3.05</f>
        <v>88.449999999999989</v>
      </c>
      <c r="F88" s="69"/>
      <c r="G88" s="29"/>
      <c r="H88" s="24"/>
      <c r="I88" s="24"/>
      <c r="J88" s="25">
        <f t="shared" si="5"/>
        <v>0</v>
      </c>
      <c r="K88" s="21"/>
      <c r="L88" s="20"/>
      <c r="M88" s="21"/>
      <c r="N88" s="21"/>
      <c r="O88" s="21"/>
      <c r="P88" s="21"/>
      <c r="Q88" s="21"/>
    </row>
    <row r="89" spans="1:17" ht="15.75">
      <c r="A89" s="22" t="s">
        <v>130</v>
      </c>
      <c r="B89" s="97" t="s">
        <v>272</v>
      </c>
      <c r="C89" s="59" t="s">
        <v>21</v>
      </c>
      <c r="D89" s="70"/>
      <c r="E89" s="61">
        <v>9.9</v>
      </c>
      <c r="F89" s="69"/>
      <c r="G89" s="29"/>
      <c r="H89" s="24"/>
      <c r="I89" s="24"/>
      <c r="J89" s="29">
        <f>G89</f>
        <v>0</v>
      </c>
      <c r="K89" s="21"/>
      <c r="L89" s="20"/>
      <c r="M89" s="21"/>
      <c r="N89" s="21"/>
      <c r="O89" s="21"/>
      <c r="P89" s="21"/>
      <c r="Q89" s="21"/>
    </row>
    <row r="90" spans="1:17" ht="30">
      <c r="A90" s="22"/>
      <c r="B90" s="98" t="s">
        <v>220</v>
      </c>
      <c r="C90" s="59" t="s">
        <v>21</v>
      </c>
      <c r="D90" s="70">
        <v>1.05</v>
      </c>
      <c r="E90" s="99">
        <f>E89*D90</f>
        <v>10.395000000000001</v>
      </c>
      <c r="F90" s="69"/>
      <c r="G90" s="29"/>
      <c r="H90" s="24"/>
      <c r="I90" s="24"/>
      <c r="J90" s="25">
        <f t="shared" ref="J90" si="9">I90</f>
        <v>0</v>
      </c>
      <c r="K90" s="21"/>
      <c r="L90" s="20"/>
      <c r="M90" s="21"/>
      <c r="N90" s="21"/>
      <c r="O90" s="21"/>
      <c r="P90" s="21"/>
      <c r="Q90" s="21"/>
    </row>
    <row r="91" spans="1:17" ht="15.75">
      <c r="A91" s="22" t="s">
        <v>49</v>
      </c>
      <c r="B91" s="180" t="s">
        <v>50</v>
      </c>
      <c r="C91" s="180" t="s">
        <v>10</v>
      </c>
      <c r="D91" s="70"/>
      <c r="E91" s="68"/>
      <c r="F91" s="29"/>
      <c r="G91" s="29"/>
      <c r="H91" s="80"/>
      <c r="I91" s="24"/>
      <c r="J91" s="25"/>
      <c r="K91" s="21"/>
      <c r="L91" s="20"/>
      <c r="M91" s="21"/>
      <c r="N91" s="21"/>
      <c r="O91" s="21"/>
      <c r="P91" s="21"/>
      <c r="Q91" s="21"/>
    </row>
    <row r="92" spans="1:17" s="32" customFormat="1" ht="30.75">
      <c r="A92" s="22" t="s">
        <v>51</v>
      </c>
      <c r="B92" s="97" t="s">
        <v>204</v>
      </c>
      <c r="C92" s="59" t="s">
        <v>10</v>
      </c>
      <c r="D92" s="96"/>
      <c r="E92" s="107">
        <f>4.4+10.6</f>
        <v>15</v>
      </c>
      <c r="F92" s="69"/>
      <c r="G92" s="29"/>
      <c r="H92" s="62"/>
      <c r="I92" s="23"/>
      <c r="J92" s="29">
        <f>G92</f>
        <v>0</v>
      </c>
      <c r="K92" s="30"/>
      <c r="L92" s="31"/>
      <c r="M92" s="30"/>
      <c r="N92" s="30"/>
      <c r="O92" s="30"/>
      <c r="P92" s="30"/>
      <c r="Q92" s="30"/>
    </row>
    <row r="93" spans="1:17" s="115" customFormat="1" ht="30">
      <c r="A93" s="108" t="s">
        <v>52</v>
      </c>
      <c r="B93" s="109" t="s">
        <v>273</v>
      </c>
      <c r="C93" s="110" t="s">
        <v>189</v>
      </c>
      <c r="D93" s="110">
        <v>1.1000000000000001</v>
      </c>
      <c r="E93" s="162">
        <f>138*D93</f>
        <v>151.80000000000001</v>
      </c>
      <c r="F93" s="111"/>
      <c r="G93" s="29"/>
      <c r="H93" s="112"/>
      <c r="I93" s="24"/>
      <c r="J93" s="25">
        <f t="shared" si="5"/>
        <v>0</v>
      </c>
      <c r="K93" s="113"/>
      <c r="L93" s="114"/>
      <c r="M93" s="113"/>
      <c r="N93" s="113"/>
      <c r="O93" s="113"/>
      <c r="P93" s="113"/>
      <c r="Q93" s="113"/>
    </row>
    <row r="94" spans="1:17" s="32" customFormat="1" ht="15.75">
      <c r="A94" s="22" t="s">
        <v>54</v>
      </c>
      <c r="B94" s="97" t="s">
        <v>163</v>
      </c>
      <c r="C94" s="116" t="s">
        <v>39</v>
      </c>
      <c r="D94" s="117"/>
      <c r="E94" s="61">
        <f>E92</f>
        <v>15</v>
      </c>
      <c r="F94" s="69"/>
      <c r="G94" s="29"/>
      <c r="H94" s="62"/>
      <c r="I94" s="23"/>
      <c r="J94" s="29">
        <f t="shared" si="5"/>
        <v>0</v>
      </c>
      <c r="K94" s="30"/>
      <c r="L94" s="31"/>
      <c r="M94" s="30"/>
      <c r="N94" s="30"/>
      <c r="O94" s="30"/>
      <c r="P94" s="30"/>
      <c r="Q94" s="30"/>
    </row>
    <row r="95" spans="1:17" ht="15.75">
      <c r="A95" s="35" t="s">
        <v>56</v>
      </c>
      <c r="B95" s="168" t="s">
        <v>206</v>
      </c>
      <c r="C95" s="37" t="s">
        <v>13</v>
      </c>
      <c r="D95" s="37">
        <v>0.3</v>
      </c>
      <c r="E95" s="68">
        <f>E94*D95</f>
        <v>4.5</v>
      </c>
      <c r="F95" s="69"/>
      <c r="G95" s="29"/>
      <c r="H95" s="25"/>
      <c r="I95" s="24"/>
      <c r="J95" s="25">
        <f t="shared" si="5"/>
        <v>0</v>
      </c>
      <c r="K95" s="21"/>
      <c r="L95" s="20"/>
      <c r="M95" s="21"/>
      <c r="N95" s="21"/>
      <c r="O95" s="21"/>
      <c r="P95" s="21"/>
      <c r="Q95" s="21"/>
    </row>
    <row r="96" spans="1:17" ht="15.75">
      <c r="A96" s="35" t="s">
        <v>57</v>
      </c>
      <c r="B96" s="104" t="s">
        <v>221</v>
      </c>
      <c r="C96" s="67" t="s">
        <v>17</v>
      </c>
      <c r="D96" s="70">
        <v>0.3</v>
      </c>
      <c r="E96" s="68">
        <f>E94*D96</f>
        <v>4.5</v>
      </c>
      <c r="F96" s="29"/>
      <c r="G96" s="29"/>
      <c r="H96" s="24"/>
      <c r="I96" s="24"/>
      <c r="J96" s="25">
        <f t="shared" si="5"/>
        <v>0</v>
      </c>
      <c r="K96" s="21"/>
      <c r="L96" s="20"/>
      <c r="M96" s="21"/>
      <c r="N96" s="21"/>
      <c r="O96" s="21"/>
      <c r="P96" s="21"/>
      <c r="Q96" s="21"/>
    </row>
    <row r="97" spans="1:17" s="32" customFormat="1" ht="31.5">
      <c r="A97" s="22" t="s">
        <v>58</v>
      </c>
      <c r="B97" s="97" t="s">
        <v>172</v>
      </c>
      <c r="C97" s="59" t="s">
        <v>10</v>
      </c>
      <c r="D97" s="118"/>
      <c r="E97" s="74">
        <v>65.66</v>
      </c>
      <c r="F97" s="69"/>
      <c r="G97" s="29"/>
      <c r="H97" s="62"/>
      <c r="I97" s="23"/>
      <c r="J97" s="29">
        <f>G97</f>
        <v>0</v>
      </c>
      <c r="K97" s="30"/>
      <c r="L97" s="31"/>
      <c r="M97" s="30"/>
      <c r="N97" s="30"/>
      <c r="O97" s="30"/>
      <c r="P97" s="30"/>
      <c r="Q97" s="30"/>
    </row>
    <row r="98" spans="1:17" ht="15.75">
      <c r="A98" s="35" t="s">
        <v>59</v>
      </c>
      <c r="B98" s="36" t="s">
        <v>244</v>
      </c>
      <c r="C98" s="67" t="s">
        <v>10</v>
      </c>
      <c r="D98" s="70">
        <v>1.05</v>
      </c>
      <c r="E98" s="68">
        <f>D98*E97</f>
        <v>68.942999999999998</v>
      </c>
      <c r="F98" s="69"/>
      <c r="G98" s="29"/>
      <c r="H98" s="24"/>
      <c r="I98" s="24"/>
      <c r="J98" s="25">
        <f t="shared" si="5"/>
        <v>0</v>
      </c>
      <c r="K98" s="21"/>
      <c r="L98" s="20"/>
      <c r="M98" s="21"/>
      <c r="N98" s="21"/>
      <c r="O98" s="21"/>
      <c r="P98" s="21"/>
      <c r="Q98" s="21"/>
    </row>
    <row r="99" spans="1:17" ht="15.75">
      <c r="A99" s="35" t="s">
        <v>60</v>
      </c>
      <c r="B99" s="65" t="s">
        <v>260</v>
      </c>
      <c r="C99" s="67" t="s">
        <v>21</v>
      </c>
      <c r="D99" s="70">
        <v>1.1000000000000001</v>
      </c>
      <c r="E99" s="68">
        <f>D99*E97</f>
        <v>72.225999999999999</v>
      </c>
      <c r="F99" s="69"/>
      <c r="G99" s="29"/>
      <c r="H99" s="24"/>
      <c r="I99" s="24"/>
      <c r="J99" s="25">
        <f t="shared" si="5"/>
        <v>0</v>
      </c>
      <c r="K99" s="21"/>
      <c r="L99" s="20"/>
      <c r="M99" s="21"/>
      <c r="N99" s="21"/>
      <c r="O99" s="21"/>
      <c r="P99" s="21"/>
      <c r="Q99" s="21"/>
    </row>
    <row r="100" spans="1:17" ht="15.75">
      <c r="A100" s="35" t="s">
        <v>133</v>
      </c>
      <c r="B100" s="65" t="s">
        <v>261</v>
      </c>
      <c r="C100" s="67" t="s">
        <v>21</v>
      </c>
      <c r="D100" s="70">
        <v>2.9</v>
      </c>
      <c r="E100" s="68">
        <f>D100*E97</f>
        <v>190.41399999999999</v>
      </c>
      <c r="F100" s="69"/>
      <c r="G100" s="29"/>
      <c r="H100" s="24"/>
      <c r="I100" s="24"/>
      <c r="J100" s="25">
        <f t="shared" si="5"/>
        <v>0</v>
      </c>
      <c r="K100" s="21"/>
      <c r="L100" s="20"/>
      <c r="M100" s="21"/>
      <c r="N100" s="21"/>
      <c r="O100" s="21"/>
      <c r="P100" s="21"/>
      <c r="Q100" s="21"/>
    </row>
    <row r="101" spans="1:17" ht="15.75">
      <c r="A101" s="35" t="s">
        <v>134</v>
      </c>
      <c r="B101" s="65" t="s">
        <v>264</v>
      </c>
      <c r="C101" s="67" t="s">
        <v>14</v>
      </c>
      <c r="D101" s="70">
        <v>2.2000000000000002</v>
      </c>
      <c r="E101" s="68">
        <f t="shared" ref="E101:E106" si="10">E$97*D101</f>
        <v>144.452</v>
      </c>
      <c r="F101" s="69"/>
      <c r="G101" s="29"/>
      <c r="H101" s="24"/>
      <c r="I101" s="24"/>
      <c r="J101" s="25">
        <f t="shared" si="5"/>
        <v>0</v>
      </c>
      <c r="K101" s="21"/>
      <c r="L101" s="20"/>
      <c r="M101" s="21"/>
      <c r="N101" s="21"/>
      <c r="O101" s="21"/>
      <c r="P101" s="21"/>
      <c r="Q101" s="21"/>
    </row>
    <row r="102" spans="1:17" ht="15.75">
      <c r="A102" s="35" t="s">
        <v>135</v>
      </c>
      <c r="B102" s="65" t="s">
        <v>270</v>
      </c>
      <c r="C102" s="67" t="s">
        <v>14</v>
      </c>
      <c r="D102" s="70">
        <v>1.7</v>
      </c>
      <c r="E102" s="68">
        <f t="shared" si="10"/>
        <v>111.62199999999999</v>
      </c>
      <c r="F102" s="69"/>
      <c r="G102" s="29"/>
      <c r="H102" s="24"/>
      <c r="I102" s="24"/>
      <c r="J102" s="25">
        <f t="shared" si="5"/>
        <v>0</v>
      </c>
      <c r="K102" s="21"/>
      <c r="L102" s="20"/>
      <c r="M102" s="21"/>
      <c r="N102" s="21"/>
      <c r="O102" s="21"/>
      <c r="P102" s="21"/>
      <c r="Q102" s="21"/>
    </row>
    <row r="103" spans="1:17" ht="15.75">
      <c r="A103" s="35" t="s">
        <v>136</v>
      </c>
      <c r="B103" s="36" t="s">
        <v>262</v>
      </c>
      <c r="C103" s="67" t="s">
        <v>14</v>
      </c>
      <c r="D103" s="70">
        <v>23</v>
      </c>
      <c r="E103" s="68">
        <f t="shared" si="10"/>
        <v>1510.1799999999998</v>
      </c>
      <c r="F103" s="69"/>
      <c r="G103" s="29"/>
      <c r="H103" s="24"/>
      <c r="I103" s="24"/>
      <c r="J103" s="25">
        <f t="shared" si="5"/>
        <v>0</v>
      </c>
      <c r="K103" s="21"/>
      <c r="L103" s="20"/>
      <c r="M103" s="21"/>
      <c r="N103" s="21"/>
      <c r="O103" s="21"/>
      <c r="P103" s="21"/>
      <c r="Q103" s="21"/>
    </row>
    <row r="104" spans="1:17" ht="15.75">
      <c r="A104" s="35" t="s">
        <v>137</v>
      </c>
      <c r="B104" s="65" t="s">
        <v>263</v>
      </c>
      <c r="C104" s="67" t="s">
        <v>14</v>
      </c>
      <c r="D104" s="70">
        <v>20</v>
      </c>
      <c r="E104" s="68">
        <f t="shared" si="10"/>
        <v>1313.1999999999998</v>
      </c>
      <c r="F104" s="69"/>
      <c r="G104" s="29"/>
      <c r="H104" s="24"/>
      <c r="I104" s="24"/>
      <c r="J104" s="25">
        <f t="shared" si="5"/>
        <v>0</v>
      </c>
      <c r="K104" s="21"/>
      <c r="L104" s="20"/>
      <c r="M104" s="21"/>
      <c r="N104" s="21"/>
      <c r="O104" s="21"/>
      <c r="P104" s="21"/>
      <c r="Q104" s="21"/>
    </row>
    <row r="105" spans="1:17" ht="15.75">
      <c r="A105" s="35" t="s">
        <v>138</v>
      </c>
      <c r="B105" s="65" t="s">
        <v>274</v>
      </c>
      <c r="C105" s="67" t="s">
        <v>14</v>
      </c>
      <c r="D105" s="70">
        <v>2</v>
      </c>
      <c r="E105" s="68">
        <f t="shared" si="10"/>
        <v>131.32</v>
      </c>
      <c r="F105" s="69"/>
      <c r="G105" s="29"/>
      <c r="H105" s="24"/>
      <c r="I105" s="24"/>
      <c r="J105" s="25">
        <f t="shared" si="5"/>
        <v>0</v>
      </c>
      <c r="K105" s="21"/>
      <c r="L105" s="20"/>
      <c r="M105" s="21"/>
      <c r="N105" s="21"/>
      <c r="O105" s="21"/>
      <c r="P105" s="21"/>
      <c r="Q105" s="21"/>
    </row>
    <row r="106" spans="1:17" ht="15.75">
      <c r="A106" s="35" t="s">
        <v>139</v>
      </c>
      <c r="B106" s="65" t="s">
        <v>265</v>
      </c>
      <c r="C106" s="67" t="s">
        <v>14</v>
      </c>
      <c r="D106" s="70">
        <v>1.3</v>
      </c>
      <c r="E106" s="68">
        <f t="shared" si="10"/>
        <v>85.358000000000004</v>
      </c>
      <c r="F106" s="69"/>
      <c r="G106" s="29"/>
      <c r="H106" s="24"/>
      <c r="I106" s="24"/>
      <c r="J106" s="25">
        <f t="shared" si="5"/>
        <v>0</v>
      </c>
      <c r="K106" s="21"/>
      <c r="L106" s="20"/>
      <c r="M106" s="21"/>
      <c r="N106" s="21"/>
      <c r="O106" s="21"/>
      <c r="P106" s="21"/>
      <c r="Q106" s="21"/>
    </row>
    <row r="107" spans="1:17" s="32" customFormat="1" ht="31.5">
      <c r="A107" s="22" t="s">
        <v>61</v>
      </c>
      <c r="B107" s="97" t="s">
        <v>55</v>
      </c>
      <c r="C107" s="59" t="s">
        <v>10</v>
      </c>
      <c r="D107" s="119"/>
      <c r="E107" s="61">
        <f>E97</f>
        <v>65.66</v>
      </c>
      <c r="F107" s="69"/>
      <c r="G107" s="29"/>
      <c r="H107" s="62"/>
      <c r="I107" s="23"/>
      <c r="J107" s="29">
        <f>G107</f>
        <v>0</v>
      </c>
      <c r="K107" s="30"/>
      <c r="L107" s="31"/>
      <c r="M107" s="30"/>
      <c r="N107" s="30"/>
      <c r="O107" s="30"/>
      <c r="P107" s="30"/>
      <c r="Q107" s="30"/>
    </row>
    <row r="108" spans="1:17" ht="15.75">
      <c r="A108" s="35" t="s">
        <v>62</v>
      </c>
      <c r="B108" s="65" t="s">
        <v>266</v>
      </c>
      <c r="C108" s="67" t="s">
        <v>21</v>
      </c>
      <c r="D108" s="70">
        <v>1.05</v>
      </c>
      <c r="E108" s="68">
        <f>E$97*D108</f>
        <v>68.942999999999998</v>
      </c>
      <c r="F108" s="69"/>
      <c r="G108" s="29"/>
      <c r="H108" s="24"/>
      <c r="I108" s="24"/>
      <c r="J108" s="25">
        <f>I108</f>
        <v>0</v>
      </c>
      <c r="K108" s="21"/>
      <c r="L108" s="20"/>
      <c r="M108" s="21"/>
      <c r="N108" s="21"/>
      <c r="O108" s="21"/>
      <c r="P108" s="21"/>
      <c r="Q108" s="21"/>
    </row>
    <row r="109" spans="1:17" ht="15.75">
      <c r="A109" s="35" t="s">
        <v>140</v>
      </c>
      <c r="B109" s="65" t="s">
        <v>267</v>
      </c>
      <c r="C109" s="67" t="s">
        <v>13</v>
      </c>
      <c r="D109" s="70">
        <v>0.3</v>
      </c>
      <c r="E109" s="68">
        <f>E$97*D109</f>
        <v>19.697999999999997</v>
      </c>
      <c r="F109" s="29"/>
      <c r="G109" s="29"/>
      <c r="H109" s="24"/>
      <c r="I109" s="24"/>
      <c r="J109" s="25">
        <f>I109</f>
        <v>0</v>
      </c>
      <c r="K109" s="21"/>
      <c r="L109" s="20"/>
      <c r="M109" s="21"/>
      <c r="N109" s="21"/>
      <c r="O109" s="21"/>
      <c r="P109" s="21"/>
      <c r="Q109" s="21"/>
    </row>
    <row r="110" spans="1:17" ht="15.75">
      <c r="A110" s="35" t="s">
        <v>141</v>
      </c>
      <c r="B110" s="65" t="s">
        <v>192</v>
      </c>
      <c r="C110" s="67" t="s">
        <v>13</v>
      </c>
      <c r="D110" s="70">
        <v>0.15</v>
      </c>
      <c r="E110" s="68">
        <f>D110*E107</f>
        <v>9.8489999999999984</v>
      </c>
      <c r="F110" s="69"/>
      <c r="G110" s="29"/>
      <c r="H110" s="25"/>
      <c r="I110" s="24"/>
      <c r="J110" s="25">
        <f t="shared" ref="J110:J142" si="11">I110</f>
        <v>0</v>
      </c>
      <c r="K110" s="21"/>
      <c r="L110" s="20"/>
      <c r="M110" s="21"/>
      <c r="N110" s="21"/>
      <c r="O110" s="21"/>
      <c r="P110" s="21"/>
      <c r="Q110" s="21"/>
    </row>
    <row r="111" spans="1:17" ht="15.75">
      <c r="A111" s="35" t="s">
        <v>142</v>
      </c>
      <c r="B111" s="71" t="s">
        <v>251</v>
      </c>
      <c r="C111" s="67" t="s">
        <v>13</v>
      </c>
      <c r="D111" s="70">
        <v>0.9</v>
      </c>
      <c r="E111" s="68">
        <f>E107*D111</f>
        <v>59.094000000000001</v>
      </c>
      <c r="F111" s="69"/>
      <c r="G111" s="29"/>
      <c r="H111" s="24"/>
      <c r="I111" s="24"/>
      <c r="J111" s="25">
        <f t="shared" si="11"/>
        <v>0</v>
      </c>
      <c r="K111" s="21"/>
      <c r="L111" s="20"/>
      <c r="M111" s="21"/>
      <c r="N111" s="21"/>
      <c r="O111" s="21"/>
      <c r="P111" s="21"/>
      <c r="Q111" s="21"/>
    </row>
    <row r="112" spans="1:17" ht="15.75">
      <c r="A112" s="35" t="s">
        <v>143</v>
      </c>
      <c r="B112" s="71" t="s">
        <v>268</v>
      </c>
      <c r="C112" s="67" t="s">
        <v>10</v>
      </c>
      <c r="D112" s="70">
        <v>1.1000000000000001</v>
      </c>
      <c r="E112" s="68">
        <f>E107*D112</f>
        <v>72.225999999999999</v>
      </c>
      <c r="F112" s="69"/>
      <c r="G112" s="29"/>
      <c r="H112" s="24"/>
      <c r="I112" s="24"/>
      <c r="J112" s="25">
        <f t="shared" si="11"/>
        <v>0</v>
      </c>
      <c r="K112" s="21"/>
      <c r="L112" s="20"/>
      <c r="M112" s="21"/>
      <c r="N112" s="21"/>
      <c r="O112" s="21"/>
      <c r="P112" s="21"/>
      <c r="Q112" s="21"/>
    </row>
    <row r="113" spans="1:17" ht="15.75">
      <c r="A113" s="35" t="s">
        <v>144</v>
      </c>
      <c r="B113" s="71" t="s">
        <v>269</v>
      </c>
      <c r="C113" s="67" t="s">
        <v>17</v>
      </c>
      <c r="D113" s="70">
        <v>0.2</v>
      </c>
      <c r="E113" s="68">
        <f>E107*D113</f>
        <v>13.132</v>
      </c>
      <c r="F113" s="29"/>
      <c r="G113" s="29"/>
      <c r="H113" s="24"/>
      <c r="I113" s="24"/>
      <c r="J113" s="25">
        <f t="shared" si="11"/>
        <v>0</v>
      </c>
      <c r="K113" s="21"/>
      <c r="L113" s="20"/>
      <c r="M113" s="21"/>
      <c r="N113" s="21"/>
      <c r="O113" s="21"/>
      <c r="P113" s="21"/>
      <c r="Q113" s="21"/>
    </row>
    <row r="114" spans="1:17" s="32" customFormat="1" ht="15.75">
      <c r="A114" s="22" t="s">
        <v>63</v>
      </c>
      <c r="B114" s="97" t="s">
        <v>145</v>
      </c>
      <c r="C114" s="116" t="s">
        <v>39</v>
      </c>
      <c r="D114" s="117"/>
      <c r="E114" s="61">
        <f>E107</f>
        <v>65.66</v>
      </c>
      <c r="F114" s="69"/>
      <c r="G114" s="29"/>
      <c r="H114" s="62"/>
      <c r="I114" s="23"/>
      <c r="J114" s="29">
        <f t="shared" si="11"/>
        <v>0</v>
      </c>
      <c r="K114" s="30"/>
      <c r="L114" s="31"/>
      <c r="M114" s="30"/>
      <c r="N114" s="30"/>
      <c r="O114" s="30"/>
      <c r="P114" s="30"/>
      <c r="Q114" s="30"/>
    </row>
    <row r="115" spans="1:17" ht="15.75">
      <c r="A115" s="35" t="s">
        <v>64</v>
      </c>
      <c r="B115" s="65" t="s">
        <v>192</v>
      </c>
      <c r="C115" s="67" t="s">
        <v>17</v>
      </c>
      <c r="D115" s="70">
        <v>0.15</v>
      </c>
      <c r="E115" s="68">
        <f>E114*D115</f>
        <v>9.8489999999999984</v>
      </c>
      <c r="F115" s="69"/>
      <c r="G115" s="29"/>
      <c r="H115" s="25"/>
      <c r="I115" s="24"/>
      <c r="J115" s="25">
        <f t="shared" si="11"/>
        <v>0</v>
      </c>
      <c r="K115" s="21"/>
      <c r="L115" s="20"/>
      <c r="M115" s="21"/>
      <c r="N115" s="21"/>
      <c r="O115" s="21"/>
      <c r="P115" s="21"/>
      <c r="Q115" s="21"/>
    </row>
    <row r="116" spans="1:17" ht="15.75">
      <c r="A116" s="35" t="s">
        <v>146</v>
      </c>
      <c r="B116" s="104" t="s">
        <v>221</v>
      </c>
      <c r="C116" s="67" t="s">
        <v>17</v>
      </c>
      <c r="D116" s="70">
        <v>0.3</v>
      </c>
      <c r="E116" s="68">
        <f>E114*D116</f>
        <v>19.697999999999997</v>
      </c>
      <c r="F116" s="29"/>
      <c r="G116" s="29"/>
      <c r="H116" s="24"/>
      <c r="I116" s="24"/>
      <c r="J116" s="25">
        <f t="shared" si="11"/>
        <v>0</v>
      </c>
      <c r="K116" s="21"/>
      <c r="L116" s="20"/>
      <c r="M116" s="21"/>
      <c r="N116" s="21"/>
      <c r="O116" s="21"/>
      <c r="P116" s="21"/>
      <c r="Q116" s="21"/>
    </row>
    <row r="117" spans="1:17" s="32" customFormat="1" ht="31.5">
      <c r="A117" s="22" t="s">
        <v>63</v>
      </c>
      <c r="B117" s="97" t="s">
        <v>171</v>
      </c>
      <c r="C117" s="59" t="s">
        <v>10</v>
      </c>
      <c r="D117" s="118"/>
      <c r="E117" s="74">
        <v>54.21</v>
      </c>
      <c r="F117" s="69"/>
      <c r="G117" s="29"/>
      <c r="H117" s="62"/>
      <c r="I117" s="23"/>
      <c r="J117" s="29">
        <f>G117</f>
        <v>0</v>
      </c>
      <c r="K117" s="30"/>
      <c r="L117" s="31"/>
      <c r="M117" s="30"/>
      <c r="N117" s="30"/>
      <c r="O117" s="30"/>
      <c r="P117" s="30"/>
      <c r="Q117" s="30"/>
    </row>
    <row r="118" spans="1:17" ht="15.75">
      <c r="A118" s="35" t="s">
        <v>64</v>
      </c>
      <c r="B118" s="36" t="s">
        <v>246</v>
      </c>
      <c r="C118" s="67" t="s">
        <v>10</v>
      </c>
      <c r="D118" s="70">
        <v>1.05</v>
      </c>
      <c r="E118" s="68">
        <f>D118*E117</f>
        <v>56.920500000000004</v>
      </c>
      <c r="F118" s="69"/>
      <c r="G118" s="29"/>
      <c r="H118" s="24"/>
      <c r="I118" s="24"/>
      <c r="J118" s="25">
        <f t="shared" ref="J118:J136" si="12">I118</f>
        <v>0</v>
      </c>
      <c r="K118" s="21"/>
      <c r="L118" s="20"/>
      <c r="M118" s="21"/>
      <c r="N118" s="21"/>
      <c r="O118" s="21"/>
      <c r="P118" s="21"/>
      <c r="Q118" s="21"/>
    </row>
    <row r="119" spans="1:17" ht="15.75">
      <c r="A119" s="35" t="s">
        <v>146</v>
      </c>
      <c r="B119" s="65" t="s">
        <v>260</v>
      </c>
      <c r="C119" s="67" t="s">
        <v>21</v>
      </c>
      <c r="D119" s="70">
        <v>1.1000000000000001</v>
      </c>
      <c r="E119" s="68">
        <f>D119*E117</f>
        <v>59.631000000000007</v>
      </c>
      <c r="F119" s="69"/>
      <c r="G119" s="29"/>
      <c r="H119" s="24"/>
      <c r="I119" s="24"/>
      <c r="J119" s="25">
        <f t="shared" si="12"/>
        <v>0</v>
      </c>
      <c r="K119" s="21"/>
      <c r="L119" s="20"/>
      <c r="M119" s="21"/>
      <c r="N119" s="21"/>
      <c r="O119" s="21"/>
      <c r="P119" s="21"/>
      <c r="Q119" s="21"/>
    </row>
    <row r="120" spans="1:17" ht="15.75">
      <c r="A120" s="35" t="s">
        <v>164</v>
      </c>
      <c r="B120" s="65" t="s">
        <v>261</v>
      </c>
      <c r="C120" s="67" t="s">
        <v>21</v>
      </c>
      <c r="D120" s="70">
        <v>2.9</v>
      </c>
      <c r="E120" s="68">
        <f>D120*E117</f>
        <v>157.209</v>
      </c>
      <c r="F120" s="69"/>
      <c r="G120" s="29"/>
      <c r="H120" s="24"/>
      <c r="I120" s="24"/>
      <c r="J120" s="25">
        <f t="shared" si="12"/>
        <v>0</v>
      </c>
      <c r="K120" s="21"/>
      <c r="L120" s="20"/>
      <c r="M120" s="21"/>
      <c r="N120" s="21"/>
      <c r="O120" s="21"/>
      <c r="P120" s="21"/>
      <c r="Q120" s="21"/>
    </row>
    <row r="121" spans="1:17" ht="15.75">
      <c r="A121" s="35" t="s">
        <v>165</v>
      </c>
      <c r="B121" s="65" t="s">
        <v>264</v>
      </c>
      <c r="C121" s="67" t="s">
        <v>14</v>
      </c>
      <c r="D121" s="70">
        <v>2.2000000000000002</v>
      </c>
      <c r="E121" s="68">
        <f>E117*D121</f>
        <v>119.26200000000001</v>
      </c>
      <c r="F121" s="69"/>
      <c r="G121" s="29"/>
      <c r="H121" s="24"/>
      <c r="I121" s="24"/>
      <c r="J121" s="25">
        <f t="shared" si="12"/>
        <v>0</v>
      </c>
      <c r="K121" s="21"/>
      <c r="L121" s="20"/>
      <c r="M121" s="21"/>
      <c r="N121" s="21"/>
      <c r="O121" s="21"/>
      <c r="P121" s="21"/>
      <c r="Q121" s="21"/>
    </row>
    <row r="122" spans="1:17" ht="15.75">
      <c r="A122" s="35" t="s">
        <v>166</v>
      </c>
      <c r="B122" s="65" t="s">
        <v>270</v>
      </c>
      <c r="C122" s="67" t="s">
        <v>14</v>
      </c>
      <c r="D122" s="70">
        <v>1.7</v>
      </c>
      <c r="E122" s="68">
        <f>E117*D122</f>
        <v>92.156999999999996</v>
      </c>
      <c r="F122" s="69"/>
      <c r="G122" s="29"/>
      <c r="H122" s="24"/>
      <c r="I122" s="24"/>
      <c r="J122" s="25">
        <f t="shared" si="12"/>
        <v>0</v>
      </c>
      <c r="K122" s="21"/>
      <c r="L122" s="20"/>
      <c r="M122" s="21"/>
      <c r="N122" s="21"/>
      <c r="O122" s="21"/>
      <c r="P122" s="21"/>
      <c r="Q122" s="21"/>
    </row>
    <row r="123" spans="1:17" ht="15.75">
      <c r="A123" s="35" t="s">
        <v>167</v>
      </c>
      <c r="B123" s="36" t="s">
        <v>262</v>
      </c>
      <c r="C123" s="67" t="s">
        <v>14</v>
      </c>
      <c r="D123" s="70">
        <v>23</v>
      </c>
      <c r="E123" s="68">
        <f>E117*D123</f>
        <v>1246.83</v>
      </c>
      <c r="F123" s="69"/>
      <c r="G123" s="29"/>
      <c r="H123" s="24"/>
      <c r="I123" s="24"/>
      <c r="J123" s="25">
        <f t="shared" si="12"/>
        <v>0</v>
      </c>
      <c r="K123" s="21"/>
      <c r="L123" s="20"/>
      <c r="M123" s="21"/>
      <c r="N123" s="21"/>
      <c r="O123" s="21"/>
      <c r="P123" s="21"/>
      <c r="Q123" s="21"/>
    </row>
    <row r="124" spans="1:17" ht="15.75">
      <c r="A124" s="35" t="s">
        <v>168</v>
      </c>
      <c r="B124" s="65" t="s">
        <v>263</v>
      </c>
      <c r="C124" s="67" t="s">
        <v>14</v>
      </c>
      <c r="D124" s="70">
        <v>20</v>
      </c>
      <c r="E124" s="68">
        <f>E117*D124</f>
        <v>1084.2</v>
      </c>
      <c r="F124" s="69"/>
      <c r="G124" s="29"/>
      <c r="H124" s="24"/>
      <c r="I124" s="24"/>
      <c r="J124" s="25">
        <f t="shared" si="12"/>
        <v>0</v>
      </c>
      <c r="K124" s="21"/>
      <c r="L124" s="20"/>
      <c r="M124" s="21"/>
      <c r="N124" s="21"/>
      <c r="O124" s="21"/>
      <c r="P124" s="21"/>
      <c r="Q124" s="21"/>
    </row>
    <row r="125" spans="1:17" ht="15.75">
      <c r="A125" s="35" t="s">
        <v>169</v>
      </c>
      <c r="B125" s="65" t="s">
        <v>274</v>
      </c>
      <c r="C125" s="67" t="s">
        <v>14</v>
      </c>
      <c r="D125" s="70">
        <v>2</v>
      </c>
      <c r="E125" s="68">
        <f>E117*D125</f>
        <v>108.42</v>
      </c>
      <c r="F125" s="69"/>
      <c r="G125" s="29"/>
      <c r="H125" s="24"/>
      <c r="I125" s="24"/>
      <c r="J125" s="25">
        <f t="shared" si="12"/>
        <v>0</v>
      </c>
      <c r="K125" s="21"/>
      <c r="L125" s="20"/>
      <c r="M125" s="21"/>
      <c r="N125" s="21"/>
      <c r="O125" s="21"/>
      <c r="P125" s="21"/>
      <c r="Q125" s="21"/>
    </row>
    <row r="126" spans="1:17" ht="15.75">
      <c r="A126" s="35" t="s">
        <v>170</v>
      </c>
      <c r="B126" s="65" t="s">
        <v>265</v>
      </c>
      <c r="C126" s="67" t="s">
        <v>14</v>
      </c>
      <c r="D126" s="70">
        <v>1.3</v>
      </c>
      <c r="E126" s="68">
        <f>E117*D126</f>
        <v>70.472999999999999</v>
      </c>
      <c r="F126" s="69"/>
      <c r="G126" s="29"/>
      <c r="H126" s="24"/>
      <c r="I126" s="24"/>
      <c r="J126" s="25">
        <f t="shared" si="12"/>
        <v>0</v>
      </c>
      <c r="K126" s="21"/>
      <c r="L126" s="20"/>
      <c r="M126" s="21"/>
      <c r="N126" s="21"/>
      <c r="O126" s="21"/>
      <c r="P126" s="21"/>
      <c r="Q126" s="21"/>
    </row>
    <row r="127" spans="1:17" s="32" customFormat="1" ht="31.5">
      <c r="A127" s="22" t="s">
        <v>61</v>
      </c>
      <c r="B127" s="97" t="s">
        <v>55</v>
      </c>
      <c r="C127" s="59" t="s">
        <v>10</v>
      </c>
      <c r="D127" s="119"/>
      <c r="E127" s="61">
        <f>E117</f>
        <v>54.21</v>
      </c>
      <c r="F127" s="69"/>
      <c r="G127" s="29"/>
      <c r="H127" s="62"/>
      <c r="I127" s="23"/>
      <c r="J127" s="29">
        <f>G127</f>
        <v>0</v>
      </c>
      <c r="K127" s="30"/>
      <c r="L127" s="31"/>
      <c r="M127" s="30"/>
      <c r="N127" s="30"/>
      <c r="O127" s="30"/>
      <c r="P127" s="30"/>
      <c r="Q127" s="30"/>
    </row>
    <row r="128" spans="1:17" ht="15.75">
      <c r="A128" s="35" t="s">
        <v>62</v>
      </c>
      <c r="B128" s="65" t="s">
        <v>266</v>
      </c>
      <c r="C128" s="67" t="s">
        <v>21</v>
      </c>
      <c r="D128" s="70">
        <v>1.05</v>
      </c>
      <c r="E128" s="68">
        <f>E$97*D128</f>
        <v>68.942999999999998</v>
      </c>
      <c r="F128" s="69"/>
      <c r="G128" s="29"/>
      <c r="H128" s="24"/>
      <c r="I128" s="24"/>
      <c r="J128" s="25">
        <f>I128</f>
        <v>0</v>
      </c>
      <c r="K128" s="21"/>
      <c r="L128" s="20"/>
      <c r="M128" s="21"/>
      <c r="N128" s="21"/>
      <c r="O128" s="21"/>
      <c r="P128" s="21"/>
      <c r="Q128" s="21"/>
    </row>
    <row r="129" spans="1:17" ht="15.75">
      <c r="A129" s="35" t="s">
        <v>140</v>
      </c>
      <c r="B129" s="65" t="s">
        <v>267</v>
      </c>
      <c r="C129" s="67" t="s">
        <v>13</v>
      </c>
      <c r="D129" s="70">
        <v>0.3</v>
      </c>
      <c r="E129" s="68">
        <f>E$97*D129</f>
        <v>19.697999999999997</v>
      </c>
      <c r="F129" s="29"/>
      <c r="G129" s="29"/>
      <c r="H129" s="24"/>
      <c r="I129" s="24"/>
      <c r="J129" s="25">
        <f>I129</f>
        <v>0</v>
      </c>
      <c r="K129" s="21"/>
      <c r="L129" s="20"/>
      <c r="M129" s="21"/>
      <c r="N129" s="21"/>
      <c r="O129" s="21"/>
      <c r="P129" s="21"/>
      <c r="Q129" s="21"/>
    </row>
    <row r="130" spans="1:17" ht="15.75">
      <c r="A130" s="35" t="s">
        <v>141</v>
      </c>
      <c r="B130" s="65" t="s">
        <v>192</v>
      </c>
      <c r="C130" s="67" t="s">
        <v>13</v>
      </c>
      <c r="D130" s="70">
        <v>0.15</v>
      </c>
      <c r="E130" s="68">
        <f>D130*E127</f>
        <v>8.1314999999999991</v>
      </c>
      <c r="F130" s="69"/>
      <c r="G130" s="29"/>
      <c r="H130" s="25"/>
      <c r="I130" s="24"/>
      <c r="J130" s="25">
        <f t="shared" ref="J130:J133" si="13">I130</f>
        <v>0</v>
      </c>
      <c r="K130" s="21"/>
      <c r="L130" s="20"/>
      <c r="M130" s="21"/>
      <c r="N130" s="21"/>
      <c r="O130" s="21"/>
      <c r="P130" s="21"/>
      <c r="Q130" s="21"/>
    </row>
    <row r="131" spans="1:17" ht="15.75">
      <c r="A131" s="35" t="s">
        <v>142</v>
      </c>
      <c r="B131" s="71" t="s">
        <v>251</v>
      </c>
      <c r="C131" s="67" t="s">
        <v>13</v>
      </c>
      <c r="D131" s="70">
        <v>0.9</v>
      </c>
      <c r="E131" s="68">
        <f>E127*D131</f>
        <v>48.789000000000001</v>
      </c>
      <c r="F131" s="69"/>
      <c r="G131" s="29"/>
      <c r="H131" s="24"/>
      <c r="I131" s="24"/>
      <c r="J131" s="25">
        <f t="shared" si="13"/>
        <v>0</v>
      </c>
      <c r="K131" s="21"/>
      <c r="L131" s="20"/>
      <c r="M131" s="21"/>
      <c r="N131" s="21"/>
      <c r="O131" s="21"/>
      <c r="P131" s="21"/>
      <c r="Q131" s="21"/>
    </row>
    <row r="132" spans="1:17" ht="15.75">
      <c r="A132" s="35" t="s">
        <v>143</v>
      </c>
      <c r="B132" s="71" t="s">
        <v>268</v>
      </c>
      <c r="C132" s="67" t="s">
        <v>10</v>
      </c>
      <c r="D132" s="70">
        <v>1.1000000000000001</v>
      </c>
      <c r="E132" s="68">
        <f>E127*D132</f>
        <v>59.631000000000007</v>
      </c>
      <c r="F132" s="69"/>
      <c r="G132" s="29"/>
      <c r="H132" s="24"/>
      <c r="I132" s="24"/>
      <c r="J132" s="25">
        <f t="shared" si="13"/>
        <v>0</v>
      </c>
      <c r="K132" s="21"/>
      <c r="L132" s="20"/>
      <c r="M132" s="21"/>
      <c r="N132" s="21"/>
      <c r="O132" s="21"/>
      <c r="P132" s="21"/>
      <c r="Q132" s="21"/>
    </row>
    <row r="133" spans="1:17" ht="15.75">
      <c r="A133" s="35" t="s">
        <v>144</v>
      </c>
      <c r="B133" s="71" t="s">
        <v>269</v>
      </c>
      <c r="C133" s="67" t="s">
        <v>17</v>
      </c>
      <c r="D133" s="70">
        <v>0.2</v>
      </c>
      <c r="E133" s="68">
        <f>E127*D133</f>
        <v>10.842000000000001</v>
      </c>
      <c r="F133" s="29"/>
      <c r="G133" s="29"/>
      <c r="H133" s="24"/>
      <c r="I133" s="24"/>
      <c r="J133" s="25">
        <f t="shared" si="13"/>
        <v>0</v>
      </c>
      <c r="K133" s="21"/>
      <c r="L133" s="20"/>
      <c r="M133" s="21"/>
      <c r="N133" s="21"/>
      <c r="O133" s="21"/>
      <c r="P133" s="21"/>
      <c r="Q133" s="21"/>
    </row>
    <row r="134" spans="1:17" s="32" customFormat="1" ht="15.75">
      <c r="A134" s="22" t="s">
        <v>65</v>
      </c>
      <c r="B134" s="97" t="s">
        <v>174</v>
      </c>
      <c r="C134" s="116" t="s">
        <v>39</v>
      </c>
      <c r="D134" s="117"/>
      <c r="E134" s="61">
        <f>E117</f>
        <v>54.21</v>
      </c>
      <c r="F134" s="69"/>
      <c r="G134" s="29"/>
      <c r="H134" s="62"/>
      <c r="I134" s="23"/>
      <c r="J134" s="29">
        <f t="shared" si="12"/>
        <v>0</v>
      </c>
      <c r="K134" s="30"/>
      <c r="L134" s="31"/>
      <c r="M134" s="30"/>
      <c r="N134" s="30"/>
      <c r="O134" s="30"/>
      <c r="P134" s="30"/>
      <c r="Q134" s="30"/>
    </row>
    <row r="135" spans="1:17" ht="15.75">
      <c r="A135" s="35" t="s">
        <v>66</v>
      </c>
      <c r="B135" s="65" t="s">
        <v>192</v>
      </c>
      <c r="C135" s="67" t="s">
        <v>17</v>
      </c>
      <c r="D135" s="70">
        <v>0.15</v>
      </c>
      <c r="E135" s="68">
        <f>E134*D135</f>
        <v>8.1314999999999991</v>
      </c>
      <c r="F135" s="69"/>
      <c r="G135" s="29"/>
      <c r="H135" s="25"/>
      <c r="I135" s="24"/>
      <c r="J135" s="25">
        <f t="shared" si="12"/>
        <v>0</v>
      </c>
      <c r="K135" s="21"/>
      <c r="L135" s="20"/>
      <c r="M135" s="21"/>
      <c r="N135" s="21"/>
      <c r="O135" s="21"/>
      <c r="P135" s="21"/>
      <c r="Q135" s="21"/>
    </row>
    <row r="136" spans="1:17" ht="15.75">
      <c r="A136" s="35" t="s">
        <v>173</v>
      </c>
      <c r="B136" s="104" t="s">
        <v>221</v>
      </c>
      <c r="C136" s="67" t="s">
        <v>17</v>
      </c>
      <c r="D136" s="70">
        <v>0.3</v>
      </c>
      <c r="E136" s="68">
        <f>E134*D136</f>
        <v>16.262999999999998</v>
      </c>
      <c r="F136" s="29"/>
      <c r="G136" s="29"/>
      <c r="H136" s="24"/>
      <c r="I136" s="24"/>
      <c r="J136" s="25">
        <f t="shared" si="12"/>
        <v>0</v>
      </c>
      <c r="K136" s="21"/>
      <c r="L136" s="20"/>
      <c r="M136" s="21"/>
      <c r="N136" s="21"/>
      <c r="O136" s="21"/>
      <c r="P136" s="21"/>
      <c r="Q136" s="21"/>
    </row>
    <row r="137" spans="1:17" s="32" customFormat="1" ht="15.75">
      <c r="A137" s="22" t="s">
        <v>67</v>
      </c>
      <c r="B137" s="120" t="s">
        <v>147</v>
      </c>
      <c r="C137" s="59" t="s">
        <v>39</v>
      </c>
      <c r="D137" s="46"/>
      <c r="E137" s="74">
        <v>36.29</v>
      </c>
      <c r="F137" s="23"/>
      <c r="G137" s="29"/>
      <c r="H137" s="62"/>
      <c r="I137" s="23"/>
      <c r="J137" s="29">
        <f>G137</f>
        <v>0</v>
      </c>
      <c r="K137" s="30"/>
      <c r="L137" s="31"/>
      <c r="M137" s="30"/>
      <c r="N137" s="30"/>
      <c r="O137" s="30"/>
    </row>
    <row r="138" spans="1:17" ht="15.75">
      <c r="A138" s="35" t="s">
        <v>68</v>
      </c>
      <c r="B138" s="168" t="s">
        <v>206</v>
      </c>
      <c r="C138" s="37" t="s">
        <v>13</v>
      </c>
      <c r="D138" s="37">
        <v>0.3</v>
      </c>
      <c r="E138" s="38">
        <f>D138*E137</f>
        <v>10.886999999999999</v>
      </c>
      <c r="F138" s="69"/>
      <c r="G138" s="29"/>
      <c r="H138" s="25"/>
      <c r="I138" s="24"/>
      <c r="J138" s="25">
        <f t="shared" si="11"/>
        <v>0</v>
      </c>
      <c r="K138" s="21"/>
      <c r="L138" s="20"/>
      <c r="M138" s="21"/>
      <c r="N138" s="21"/>
      <c r="O138" s="21"/>
      <c r="P138" s="21"/>
    </row>
    <row r="139" spans="1:17" ht="15.75">
      <c r="A139" s="35" t="s">
        <v>69</v>
      </c>
      <c r="B139" s="88" t="s">
        <v>250</v>
      </c>
      <c r="C139" s="67" t="s">
        <v>13</v>
      </c>
      <c r="D139" s="70">
        <v>1.5</v>
      </c>
      <c r="E139" s="68">
        <f>D139*E137</f>
        <v>54.435000000000002</v>
      </c>
      <c r="F139" s="69"/>
      <c r="G139" s="29"/>
      <c r="H139" s="24"/>
      <c r="I139" s="24"/>
      <c r="J139" s="25">
        <f t="shared" si="11"/>
        <v>0</v>
      </c>
      <c r="K139" s="21"/>
      <c r="L139" s="20"/>
      <c r="M139" s="21"/>
      <c r="N139" s="21"/>
      <c r="O139" s="21"/>
      <c r="P139" s="21"/>
    </row>
    <row r="140" spans="1:17" ht="15.75">
      <c r="A140" s="35" t="s">
        <v>176</v>
      </c>
      <c r="B140" s="75" t="s">
        <v>251</v>
      </c>
      <c r="C140" s="67" t="s">
        <v>13</v>
      </c>
      <c r="D140" s="70">
        <v>0.9</v>
      </c>
      <c r="E140" s="43">
        <f>D140*E137</f>
        <v>32.661000000000001</v>
      </c>
      <c r="F140" s="69"/>
      <c r="G140" s="29"/>
      <c r="H140" s="24"/>
      <c r="I140" s="24"/>
      <c r="J140" s="25">
        <f t="shared" si="11"/>
        <v>0</v>
      </c>
      <c r="K140" s="21"/>
      <c r="L140" s="20"/>
      <c r="M140" s="21"/>
      <c r="N140" s="21"/>
      <c r="O140" s="21"/>
    </row>
    <row r="141" spans="1:17" s="32" customFormat="1" ht="15.75">
      <c r="A141" s="22" t="s">
        <v>70</v>
      </c>
      <c r="B141" s="97" t="s">
        <v>174</v>
      </c>
      <c r="C141" s="116" t="s">
        <v>39</v>
      </c>
      <c r="D141" s="117"/>
      <c r="E141" s="61">
        <f>E137</f>
        <v>36.29</v>
      </c>
      <c r="F141" s="69"/>
      <c r="G141" s="29"/>
      <c r="H141" s="23"/>
      <c r="I141" s="23"/>
      <c r="J141" s="29">
        <f t="shared" si="11"/>
        <v>0</v>
      </c>
      <c r="K141" s="30"/>
      <c r="L141" s="31"/>
      <c r="M141" s="30"/>
      <c r="N141" s="30"/>
      <c r="O141" s="30"/>
      <c r="P141" s="30"/>
      <c r="Q141" s="30"/>
    </row>
    <row r="142" spans="1:17" ht="15.75">
      <c r="A142" s="35" t="s">
        <v>71</v>
      </c>
      <c r="B142" s="65" t="s">
        <v>192</v>
      </c>
      <c r="C142" s="67" t="s">
        <v>17</v>
      </c>
      <c r="D142" s="70">
        <v>0.15</v>
      </c>
      <c r="E142" s="68">
        <f>E141*D142</f>
        <v>5.4434999999999993</v>
      </c>
      <c r="F142" s="121"/>
      <c r="G142" s="29"/>
      <c r="H142" s="24"/>
      <c r="I142" s="24"/>
      <c r="J142" s="25">
        <f t="shared" si="11"/>
        <v>0</v>
      </c>
      <c r="K142" s="21"/>
      <c r="L142" s="20"/>
      <c r="M142" s="21"/>
      <c r="N142" s="21"/>
      <c r="O142" s="21"/>
      <c r="P142" s="21"/>
      <c r="Q142" s="21"/>
    </row>
    <row r="143" spans="1:17" ht="15.75">
      <c r="A143" s="35" t="s">
        <v>72</v>
      </c>
      <c r="B143" s="104" t="s">
        <v>221</v>
      </c>
      <c r="C143" s="67" t="s">
        <v>17</v>
      </c>
      <c r="D143" s="70">
        <v>0.3</v>
      </c>
      <c r="E143" s="68">
        <f>E141*D143</f>
        <v>10.886999999999999</v>
      </c>
      <c r="F143" s="122"/>
      <c r="G143" s="29"/>
      <c r="H143" s="24"/>
      <c r="I143" s="24"/>
      <c r="J143" s="25">
        <f>I143</f>
        <v>0</v>
      </c>
      <c r="K143" s="21"/>
      <c r="L143" s="20"/>
      <c r="M143" s="21"/>
      <c r="N143" s="21"/>
      <c r="O143" s="21"/>
      <c r="P143" s="21"/>
      <c r="Q143" s="21"/>
    </row>
    <row r="144" spans="1:17" s="6" customFormat="1" ht="15.75">
      <c r="A144" s="22" t="s">
        <v>73</v>
      </c>
      <c r="B144" s="123" t="s">
        <v>175</v>
      </c>
      <c r="C144" s="1" t="s">
        <v>10</v>
      </c>
      <c r="D144" s="2"/>
      <c r="E144" s="107">
        <v>9.4</v>
      </c>
      <c r="F144" s="3"/>
      <c r="G144" s="4"/>
      <c r="H144" s="5"/>
      <c r="I144" s="4"/>
      <c r="J144" s="25">
        <f t="shared" ref="J144:J145" si="14">I144</f>
        <v>0</v>
      </c>
    </row>
    <row r="145" spans="1:17" s="6" customFormat="1">
      <c r="A145" s="35" t="s">
        <v>74</v>
      </c>
      <c r="B145" s="84" t="s">
        <v>271</v>
      </c>
      <c r="C145" s="124" t="s">
        <v>39</v>
      </c>
      <c r="D145" s="70">
        <v>1</v>
      </c>
      <c r="E145" s="68">
        <f>E144*D145</f>
        <v>9.4</v>
      </c>
      <c r="F145" s="7"/>
      <c r="G145" s="8"/>
      <c r="H145" s="9"/>
      <c r="I145" s="4"/>
      <c r="J145" s="25">
        <f t="shared" si="14"/>
        <v>0</v>
      </c>
    </row>
    <row r="146" spans="1:17" ht="15.75">
      <c r="A146" s="22" t="s">
        <v>75</v>
      </c>
      <c r="B146" s="180" t="s">
        <v>76</v>
      </c>
      <c r="C146" s="125"/>
      <c r="D146" s="126"/>
      <c r="E146" s="127"/>
      <c r="F146" s="29"/>
      <c r="G146" s="29"/>
      <c r="H146" s="80"/>
      <c r="I146" s="24"/>
      <c r="J146" s="25"/>
      <c r="K146" s="21"/>
      <c r="L146" s="20"/>
      <c r="M146" s="21"/>
      <c r="N146" s="21"/>
      <c r="O146" s="21"/>
      <c r="P146" s="21"/>
      <c r="Q146" s="21"/>
    </row>
    <row r="147" spans="1:17" s="32" customFormat="1" ht="15.75">
      <c r="A147" s="22" t="s">
        <v>77</v>
      </c>
      <c r="B147" s="128" t="s">
        <v>162</v>
      </c>
      <c r="C147" s="59" t="s">
        <v>10</v>
      </c>
      <c r="D147" s="69"/>
      <c r="E147" s="74">
        <f>163.4-73</f>
        <v>90.4</v>
      </c>
      <c r="F147" s="69"/>
      <c r="G147" s="29"/>
      <c r="H147" s="62"/>
      <c r="I147" s="23"/>
      <c r="J147" s="29">
        <f>G147</f>
        <v>0</v>
      </c>
      <c r="K147" s="30"/>
      <c r="L147" s="31"/>
      <c r="M147" s="30"/>
      <c r="N147" s="30"/>
      <c r="O147" s="30"/>
      <c r="P147" s="30"/>
      <c r="Q147" s="30"/>
    </row>
    <row r="148" spans="1:17" ht="15.75">
      <c r="A148" s="35" t="s">
        <v>196</v>
      </c>
      <c r="B148" s="84" t="s">
        <v>192</v>
      </c>
      <c r="C148" s="85" t="s">
        <v>17</v>
      </c>
      <c r="D148" s="102">
        <v>0.15</v>
      </c>
      <c r="E148" s="129">
        <f>E147*D148</f>
        <v>13.56</v>
      </c>
      <c r="F148" s="69"/>
      <c r="G148" s="29"/>
      <c r="H148" s="25"/>
      <c r="I148" s="24"/>
      <c r="J148" s="25">
        <f t="shared" ref="J148:J151" si="15">I148</f>
        <v>0</v>
      </c>
      <c r="K148" s="21"/>
      <c r="L148" s="20"/>
      <c r="M148" s="21"/>
      <c r="N148" s="21"/>
      <c r="O148" s="21"/>
      <c r="P148" s="21"/>
      <c r="Q148" s="21"/>
    </row>
    <row r="149" spans="1:17" ht="18.75" customHeight="1">
      <c r="A149" s="35" t="s">
        <v>197</v>
      </c>
      <c r="B149" s="130" t="s">
        <v>193</v>
      </c>
      <c r="C149" s="131" t="s">
        <v>10</v>
      </c>
      <c r="D149" s="132">
        <v>1.1000000000000001</v>
      </c>
      <c r="E149" s="129">
        <f>E147*D149</f>
        <v>99.440000000000012</v>
      </c>
      <c r="F149" s="69"/>
      <c r="G149" s="29"/>
      <c r="H149" s="25"/>
      <c r="I149" s="24"/>
      <c r="J149" s="25">
        <f t="shared" si="15"/>
        <v>0</v>
      </c>
      <c r="K149" s="21"/>
      <c r="L149" s="20"/>
      <c r="M149" s="21"/>
      <c r="N149" s="21"/>
      <c r="O149" s="21"/>
      <c r="P149" s="21"/>
      <c r="Q149" s="21"/>
    </row>
    <row r="150" spans="1:17" ht="15.75">
      <c r="A150" s="35" t="s">
        <v>198</v>
      </c>
      <c r="B150" s="133" t="s">
        <v>194</v>
      </c>
      <c r="C150" s="85" t="s">
        <v>13</v>
      </c>
      <c r="D150" s="102">
        <v>7.5</v>
      </c>
      <c r="E150" s="68">
        <f>D150*E147</f>
        <v>678</v>
      </c>
      <c r="F150" s="69"/>
      <c r="G150" s="29"/>
      <c r="H150" s="24"/>
      <c r="I150" s="24"/>
      <c r="J150" s="25">
        <f t="shared" si="15"/>
        <v>0</v>
      </c>
      <c r="K150" s="21"/>
      <c r="L150" s="20"/>
      <c r="M150" s="21"/>
      <c r="N150" s="21"/>
      <c r="O150" s="21"/>
      <c r="P150" s="21"/>
      <c r="Q150" s="21"/>
    </row>
    <row r="151" spans="1:17" ht="15.75">
      <c r="A151" s="35" t="s">
        <v>199</v>
      </c>
      <c r="B151" s="104" t="s">
        <v>195</v>
      </c>
      <c r="C151" s="85" t="s">
        <v>13</v>
      </c>
      <c r="D151" s="102">
        <v>0.3</v>
      </c>
      <c r="E151" s="129">
        <f>E147*D151</f>
        <v>27.12</v>
      </c>
      <c r="F151" s="29"/>
      <c r="G151" s="29"/>
      <c r="H151" s="24"/>
      <c r="I151" s="24"/>
      <c r="J151" s="25">
        <f t="shared" si="15"/>
        <v>0</v>
      </c>
      <c r="K151" s="21"/>
      <c r="L151" s="20"/>
      <c r="M151" s="21"/>
      <c r="N151" s="21"/>
      <c r="O151" s="21"/>
      <c r="P151" s="21"/>
      <c r="Q151" s="21"/>
    </row>
    <row r="152" spans="1:17" s="32" customFormat="1" ht="15.75">
      <c r="A152" s="22" t="s">
        <v>78</v>
      </c>
      <c r="B152" s="97" t="s">
        <v>190</v>
      </c>
      <c r="C152" s="59" t="s">
        <v>37</v>
      </c>
      <c r="D152" s="96"/>
      <c r="E152" s="74">
        <v>25</v>
      </c>
      <c r="F152" s="69"/>
      <c r="G152" s="29"/>
      <c r="H152" s="62"/>
      <c r="I152" s="23"/>
      <c r="J152" s="29">
        <f>G152</f>
        <v>0</v>
      </c>
      <c r="K152" s="30"/>
      <c r="L152" s="31"/>
      <c r="M152" s="30"/>
      <c r="N152" s="30"/>
      <c r="O152" s="30"/>
      <c r="P152" s="30"/>
      <c r="Q152" s="30"/>
    </row>
    <row r="153" spans="1:17" ht="15.75">
      <c r="A153" s="35" t="s">
        <v>79</v>
      </c>
      <c r="B153" s="65" t="s">
        <v>191</v>
      </c>
      <c r="C153" s="67" t="s">
        <v>189</v>
      </c>
      <c r="D153" s="70">
        <v>1.05</v>
      </c>
      <c r="E153" s="129">
        <f>E152*D153</f>
        <v>26.25</v>
      </c>
      <c r="F153" s="69"/>
      <c r="G153" s="29"/>
      <c r="H153" s="25"/>
      <c r="I153" s="24"/>
      <c r="J153" s="25">
        <f t="shared" ref="J153" si="16">I153</f>
        <v>0</v>
      </c>
      <c r="K153" s="21"/>
      <c r="L153" s="20"/>
      <c r="M153" s="21"/>
      <c r="N153" s="21"/>
      <c r="O153" s="21"/>
      <c r="P153" s="21"/>
      <c r="Q153" s="21"/>
    </row>
    <row r="154" spans="1:17" s="32" customFormat="1" ht="15.75">
      <c r="A154" s="22" t="s">
        <v>202</v>
      </c>
      <c r="B154" s="97" t="s">
        <v>187</v>
      </c>
      <c r="C154" s="59" t="s">
        <v>37</v>
      </c>
      <c r="D154" s="96"/>
      <c r="E154" s="74">
        <v>78</v>
      </c>
      <c r="F154" s="69"/>
      <c r="G154" s="29"/>
      <c r="H154" s="62"/>
      <c r="I154" s="23"/>
      <c r="J154" s="29">
        <f>G154</f>
        <v>0</v>
      </c>
      <c r="K154" s="30"/>
      <c r="L154" s="31"/>
    </row>
    <row r="155" spans="1:17" ht="15.75">
      <c r="A155" s="35" t="s">
        <v>203</v>
      </c>
      <c r="B155" s="65" t="s">
        <v>188</v>
      </c>
      <c r="C155" s="67" t="s">
        <v>189</v>
      </c>
      <c r="D155" s="70">
        <v>1.05</v>
      </c>
      <c r="E155" s="129">
        <f>E154*D155</f>
        <v>81.900000000000006</v>
      </c>
      <c r="F155" s="69"/>
      <c r="G155" s="29"/>
      <c r="H155" s="25"/>
      <c r="I155" s="24"/>
      <c r="J155" s="25">
        <f t="shared" ref="J155" si="17">I155</f>
        <v>0</v>
      </c>
      <c r="K155" s="21"/>
      <c r="L155" s="20"/>
    </row>
    <row r="156" spans="1:17" ht="15.75">
      <c r="A156" s="35"/>
      <c r="B156" s="90"/>
      <c r="C156" s="67"/>
      <c r="D156" s="70"/>
      <c r="E156" s="129"/>
      <c r="F156" s="69"/>
      <c r="G156" s="29"/>
      <c r="H156" s="25"/>
      <c r="I156" s="24"/>
      <c r="J156" s="25"/>
      <c r="K156" s="21"/>
      <c r="L156" s="20"/>
    </row>
    <row r="157" spans="1:17" ht="15.75">
      <c r="A157" s="35"/>
      <c r="B157" s="92"/>
      <c r="C157" s="67"/>
      <c r="D157" s="67"/>
      <c r="E157" s="129"/>
      <c r="F157" s="69"/>
      <c r="G157" s="29"/>
      <c r="H157" s="24"/>
      <c r="I157" s="24"/>
      <c r="J157" s="25"/>
      <c r="K157" s="21"/>
      <c r="L157" s="20"/>
    </row>
    <row r="158" spans="1:17" ht="15.75">
      <c r="A158" s="35"/>
      <c r="B158" s="72"/>
      <c r="C158" s="67"/>
      <c r="D158" s="134"/>
      <c r="E158" s="129"/>
      <c r="F158" s="69"/>
      <c r="G158" s="29"/>
      <c r="H158" s="24"/>
      <c r="I158" s="24"/>
      <c r="J158" s="25"/>
      <c r="K158" s="21"/>
      <c r="L158" s="20"/>
    </row>
    <row r="159" spans="1:17" ht="12.75" customHeight="1">
      <c r="A159" s="35"/>
      <c r="B159" s="72"/>
      <c r="C159" s="67"/>
      <c r="D159" s="134"/>
      <c r="E159" s="129"/>
      <c r="F159" s="69"/>
      <c r="G159" s="29"/>
      <c r="H159" s="24"/>
      <c r="I159" s="24"/>
      <c r="J159" s="25"/>
      <c r="K159" s="21"/>
      <c r="L159" s="20"/>
    </row>
    <row r="160" spans="1:17">
      <c r="A160" s="35"/>
      <c r="B160" s="135" t="s">
        <v>81</v>
      </c>
      <c r="C160" s="67"/>
      <c r="D160" s="67"/>
      <c r="E160" s="129"/>
      <c r="F160" s="136"/>
      <c r="G160" s="137">
        <f>SUM(G17:G153)</f>
        <v>0</v>
      </c>
      <c r="H160" s="137"/>
      <c r="I160" s="137">
        <f>SUM(I17:I153)</f>
        <v>0</v>
      </c>
      <c r="J160" s="137">
        <f>SUM(J17:J153)</f>
        <v>0</v>
      </c>
      <c r="K160" s="21"/>
      <c r="L160" s="20"/>
    </row>
    <row r="161" spans="1:22">
      <c r="A161" s="35"/>
      <c r="B161" s="135" t="s">
        <v>82</v>
      </c>
      <c r="C161" s="67"/>
      <c r="D161" s="67"/>
      <c r="E161" s="129"/>
      <c r="F161" s="136"/>
      <c r="G161" s="137">
        <f>G160*0.2</f>
        <v>0</v>
      </c>
      <c r="H161" s="137"/>
      <c r="I161" s="137">
        <f t="shared" ref="I161:J161" si="18">I160*0.2</f>
        <v>0</v>
      </c>
      <c r="J161" s="137">
        <f t="shared" si="18"/>
        <v>0</v>
      </c>
      <c r="K161" s="21"/>
      <c r="L161" s="20"/>
    </row>
    <row r="162" spans="1:22" ht="15.75">
      <c r="A162" s="35"/>
      <c r="B162" s="138" t="s">
        <v>83</v>
      </c>
      <c r="C162" s="67"/>
      <c r="D162" s="67"/>
      <c r="E162" s="129"/>
      <c r="F162" s="136"/>
      <c r="G162" s="139">
        <f>G160+G161</f>
        <v>0</v>
      </c>
      <c r="H162" s="139"/>
      <c r="I162" s="139">
        <f t="shared" ref="I162:J162" si="19">I160+I161</f>
        <v>0</v>
      </c>
      <c r="J162" s="139">
        <f t="shared" si="19"/>
        <v>0</v>
      </c>
      <c r="K162" s="21"/>
      <c r="L162" s="20"/>
    </row>
    <row r="163" spans="1:22" ht="15.75">
      <c r="A163" s="35"/>
      <c r="B163" s="138" t="s">
        <v>84</v>
      </c>
      <c r="C163" s="67"/>
      <c r="D163" s="67"/>
      <c r="E163" s="129"/>
      <c r="F163" s="136"/>
      <c r="G163" s="137"/>
      <c r="H163" s="80"/>
      <c r="I163" s="80"/>
      <c r="J163" s="80"/>
      <c r="K163" s="21"/>
      <c r="L163" s="20"/>
      <c r="M163" s="21">
        <f>0.45*(15+9)</f>
        <v>10.8</v>
      </c>
      <c r="N163" s="21" t="s">
        <v>148</v>
      </c>
      <c r="O163" s="30"/>
      <c r="P163" s="30"/>
      <c r="Q163" s="30"/>
      <c r="R163" s="11">
        <f>0.45*(15+9)</f>
        <v>10.8</v>
      </c>
      <c r="S163" s="11" t="s">
        <v>149</v>
      </c>
      <c r="T163" s="32"/>
      <c r="U163" s="32"/>
      <c r="V163" s="32"/>
    </row>
    <row r="164" spans="1:22" ht="15.75">
      <c r="A164" s="35"/>
      <c r="B164" s="140" t="s">
        <v>150</v>
      </c>
      <c r="C164" s="141"/>
      <c r="D164" s="141"/>
      <c r="E164" s="142"/>
      <c r="F164" s="29"/>
      <c r="G164" s="139"/>
      <c r="H164" s="139"/>
      <c r="I164" s="137"/>
      <c r="J164" s="137"/>
      <c r="M164" s="21">
        <v>1.67</v>
      </c>
      <c r="N164" s="21" t="s">
        <v>151</v>
      </c>
      <c r="O164" s="21"/>
      <c r="P164" s="21"/>
      <c r="Q164" s="21"/>
      <c r="R164" s="11">
        <f>0.15*(15+9)</f>
        <v>3.5999999999999996</v>
      </c>
      <c r="S164" s="11" t="s">
        <v>152</v>
      </c>
    </row>
    <row r="165" spans="1:22" ht="15.75">
      <c r="A165" s="35"/>
      <c r="B165" s="140" t="s">
        <v>82</v>
      </c>
      <c r="C165" s="141"/>
      <c r="D165" s="141"/>
      <c r="E165" s="142"/>
      <c r="F165" s="29"/>
      <c r="G165" s="139"/>
      <c r="H165" s="139"/>
      <c r="I165" s="137"/>
      <c r="J165" s="137"/>
      <c r="M165" s="21">
        <v>1.45</v>
      </c>
      <c r="N165" s="21" t="s">
        <v>153</v>
      </c>
      <c r="O165" s="21"/>
      <c r="P165" s="21"/>
      <c r="Q165" s="21"/>
      <c r="R165" s="21">
        <v>1.45</v>
      </c>
      <c r="S165" s="21" t="s">
        <v>153</v>
      </c>
      <c r="T165" s="21"/>
    </row>
    <row r="166" spans="1:22" ht="15.75">
      <c r="A166" s="35"/>
      <c r="B166" s="143" t="s">
        <v>154</v>
      </c>
      <c r="C166" s="141"/>
      <c r="D166" s="141"/>
      <c r="E166" s="142"/>
      <c r="F166" s="29"/>
      <c r="G166" s="139"/>
      <c r="H166" s="139"/>
      <c r="I166" s="139"/>
      <c r="J166" s="139"/>
      <c r="M166" s="21">
        <f>1.45+2.4</f>
        <v>3.8499999999999996</v>
      </c>
      <c r="N166" s="21" t="s">
        <v>155</v>
      </c>
      <c r="O166" s="21"/>
      <c r="P166" s="21"/>
      <c r="Q166" s="21"/>
      <c r="R166" s="21">
        <f>1.45+2.4</f>
        <v>3.8499999999999996</v>
      </c>
      <c r="S166" s="21" t="s">
        <v>155</v>
      </c>
      <c r="T166" s="21"/>
    </row>
    <row r="167" spans="1:22" ht="15.75">
      <c r="A167" s="144"/>
      <c r="B167" s="141"/>
      <c r="C167" s="141"/>
      <c r="D167" s="141"/>
      <c r="E167" s="142"/>
      <c r="F167" s="29"/>
      <c r="G167" s="139"/>
      <c r="H167" s="139"/>
      <c r="I167" s="139"/>
      <c r="J167" s="139"/>
      <c r="M167" s="21">
        <v>13.94</v>
      </c>
      <c r="N167" s="21" t="s">
        <v>156</v>
      </c>
      <c r="O167" s="21"/>
      <c r="P167" s="21"/>
      <c r="Q167" s="21"/>
      <c r="R167" s="21">
        <v>13.94</v>
      </c>
      <c r="S167" s="21" t="s">
        <v>156</v>
      </c>
      <c r="T167" s="21"/>
    </row>
    <row r="168" spans="1:22" ht="15.75">
      <c r="A168" s="144"/>
      <c r="B168" s="145" t="s">
        <v>85</v>
      </c>
      <c r="C168" s="141"/>
      <c r="D168" s="141"/>
      <c r="E168" s="142"/>
      <c r="F168" s="29"/>
      <c r="G168" s="137"/>
      <c r="H168" s="137"/>
      <c r="I168" s="137"/>
      <c r="J168" s="137"/>
      <c r="M168" s="21"/>
      <c r="N168" s="21"/>
      <c r="O168" s="21"/>
      <c r="P168" s="21"/>
      <c r="Q168" s="21"/>
    </row>
    <row r="169" spans="1:22" ht="15.75">
      <c r="A169" s="144"/>
      <c r="B169" s="145" t="s">
        <v>82</v>
      </c>
      <c r="C169" s="141"/>
      <c r="D169" s="141"/>
      <c r="E169" s="142"/>
      <c r="F169" s="29"/>
      <c r="G169" s="137"/>
      <c r="H169" s="137"/>
      <c r="I169" s="137"/>
      <c r="J169" s="137"/>
      <c r="M169" s="21">
        <f>M163+M164+M165+M166+M167</f>
        <v>31.71</v>
      </c>
      <c r="N169" s="21" t="s">
        <v>157</v>
      </c>
      <c r="O169" s="21"/>
      <c r="P169" s="21"/>
      <c r="Q169" s="21"/>
      <c r="R169" s="21">
        <f>R163+R164+R165+R166+R167</f>
        <v>33.64</v>
      </c>
      <c r="S169" s="11" t="s">
        <v>157</v>
      </c>
    </row>
    <row r="170" spans="1:22" ht="15.75">
      <c r="A170" s="144"/>
      <c r="B170" s="141" t="s">
        <v>86</v>
      </c>
      <c r="C170" s="141"/>
      <c r="D170" s="141"/>
      <c r="E170" s="142"/>
      <c r="F170" s="29"/>
      <c r="G170" s="139"/>
      <c r="H170" s="139"/>
      <c r="I170" s="139"/>
      <c r="J170" s="139"/>
      <c r="M170" s="21">
        <v>2</v>
      </c>
      <c r="N170" s="21" t="s">
        <v>158</v>
      </c>
      <c r="O170" s="21"/>
      <c r="P170" s="21"/>
      <c r="Q170" s="21"/>
      <c r="R170" s="11">
        <v>2</v>
      </c>
      <c r="S170" s="11" t="s">
        <v>158</v>
      </c>
    </row>
    <row r="171" spans="1:22" ht="15.75">
      <c r="A171" s="146"/>
      <c r="B171" s="147"/>
      <c r="C171" s="16"/>
      <c r="D171" s="16"/>
      <c r="E171" s="148"/>
      <c r="F171" s="148"/>
      <c r="G171" s="148"/>
      <c r="H171" s="148"/>
      <c r="I171" s="149"/>
      <c r="J171" s="149"/>
      <c r="M171" s="30">
        <f>M169*M170</f>
        <v>63.42</v>
      </c>
      <c r="N171" s="30" t="s">
        <v>159</v>
      </c>
      <c r="O171" s="30" t="s">
        <v>160</v>
      </c>
      <c r="P171" s="21"/>
      <c r="Q171" s="21"/>
      <c r="R171" s="32">
        <f>R169*R170</f>
        <v>67.28</v>
      </c>
      <c r="S171" s="32" t="s">
        <v>161</v>
      </c>
    </row>
    <row r="172" spans="1:22">
      <c r="A172" s="150"/>
      <c r="B172" s="151"/>
      <c r="C172" s="152"/>
      <c r="D172" s="152"/>
      <c r="E172" s="153"/>
      <c r="F172" s="152"/>
      <c r="G172" s="152"/>
      <c r="H172" s="152"/>
      <c r="I172" s="152"/>
      <c r="J172" s="152"/>
      <c r="M172" s="21"/>
      <c r="N172" s="21"/>
      <c r="O172" s="21"/>
      <c r="P172" s="21"/>
      <c r="Q172" s="21"/>
    </row>
    <row r="173" spans="1:22">
      <c r="A173" s="154"/>
      <c r="B173" s="155"/>
      <c r="C173" s="152"/>
      <c r="D173" s="152"/>
      <c r="E173" s="153"/>
      <c r="F173" s="152"/>
      <c r="G173" s="152"/>
      <c r="H173" s="152"/>
      <c r="I173" s="152"/>
      <c r="J173" s="152"/>
    </row>
    <row r="174" spans="1:22">
      <c r="A174" s="191"/>
      <c r="B174" s="192" t="s">
        <v>279</v>
      </c>
      <c r="C174" s="193"/>
      <c r="D174" s="193"/>
      <c r="E174" s="193"/>
      <c r="F174" s="194"/>
      <c r="G174" s="194"/>
      <c r="H174" s="193"/>
      <c r="I174" s="195"/>
      <c r="J174" s="195"/>
    </row>
    <row r="175" spans="1:22" ht="90.75" customHeight="1">
      <c r="A175" s="191">
        <v>1</v>
      </c>
      <c r="B175" s="196" t="s">
        <v>280</v>
      </c>
      <c r="C175" s="196"/>
      <c r="D175" s="196"/>
      <c r="E175" s="196"/>
      <c r="F175" s="196"/>
      <c r="G175" s="196"/>
      <c r="H175" s="196"/>
      <c r="I175" s="196"/>
      <c r="J175" s="196"/>
    </row>
    <row r="176" spans="1:22">
      <c r="A176" s="191">
        <v>2</v>
      </c>
      <c r="B176" s="197" t="s">
        <v>281</v>
      </c>
      <c r="C176" s="198"/>
      <c r="D176" s="198"/>
      <c r="E176" s="198"/>
      <c r="F176" s="198"/>
      <c r="G176" s="198"/>
      <c r="H176" s="198"/>
      <c r="I176" s="198"/>
      <c r="J176" s="195"/>
    </row>
    <row r="177" spans="1:12">
      <c r="A177" s="191">
        <v>3</v>
      </c>
      <c r="B177" s="199" t="s">
        <v>282</v>
      </c>
      <c r="C177" s="199"/>
      <c r="D177" s="199"/>
      <c r="E177" s="199"/>
      <c r="F177" s="199"/>
      <c r="G177" s="199"/>
      <c r="H177" s="199"/>
      <c r="I177" s="199"/>
      <c r="J177" s="195"/>
    </row>
    <row r="178" spans="1:12">
      <c r="A178" s="191">
        <v>4</v>
      </c>
      <c r="B178" s="197" t="s">
        <v>283</v>
      </c>
      <c r="C178" s="199"/>
      <c r="D178" s="199"/>
      <c r="E178" s="199"/>
      <c r="F178" s="199"/>
      <c r="G178" s="199"/>
      <c r="H178" s="199"/>
      <c r="I178" s="199"/>
      <c r="J178" s="195"/>
    </row>
    <row r="179" spans="1:12">
      <c r="A179" s="191">
        <v>5</v>
      </c>
      <c r="B179" s="200" t="s">
        <v>284</v>
      </c>
      <c r="C179" s="200"/>
      <c r="D179" s="200"/>
      <c r="E179" s="200"/>
      <c r="F179" s="200"/>
      <c r="G179" s="200"/>
      <c r="H179" s="200"/>
      <c r="I179" s="200"/>
      <c r="J179" s="200"/>
    </row>
    <row r="180" spans="1:12">
      <c r="A180" s="191">
        <v>6</v>
      </c>
      <c r="B180" s="200" t="s">
        <v>285</v>
      </c>
      <c r="C180" s="200"/>
      <c r="D180" s="200"/>
      <c r="E180" s="200"/>
      <c r="F180" s="200"/>
      <c r="G180" s="200"/>
      <c r="H180" s="200"/>
      <c r="I180" s="200"/>
      <c r="J180" s="200"/>
    </row>
    <row r="181" spans="1:12" s="159" customFormat="1">
      <c r="A181" s="191">
        <v>7</v>
      </c>
      <c r="B181" s="197" t="s">
        <v>286</v>
      </c>
      <c r="C181" s="201"/>
      <c r="D181" s="201"/>
      <c r="E181" s="201"/>
      <c r="F181" s="201"/>
      <c r="G181" s="201"/>
      <c r="H181" s="201"/>
      <c r="I181" s="201"/>
      <c r="J181" s="201"/>
      <c r="L181" s="160"/>
    </row>
    <row r="182" spans="1:12" s="159" customFormat="1">
      <c r="A182" s="191">
        <v>8</v>
      </c>
      <c r="B182" s="197" t="s">
        <v>287</v>
      </c>
      <c r="C182" s="193"/>
      <c r="D182" s="193"/>
      <c r="E182" s="193"/>
      <c r="F182" s="194"/>
      <c r="G182" s="194"/>
      <c r="H182" s="193"/>
      <c r="I182" s="195"/>
      <c r="J182" s="195"/>
      <c r="L182" s="160"/>
    </row>
    <row r="183" spans="1:12" s="159" customFormat="1">
      <c r="A183" s="191">
        <v>9</v>
      </c>
      <c r="B183" s="202" t="s">
        <v>288</v>
      </c>
      <c r="C183" s="193"/>
      <c r="D183" s="193"/>
      <c r="E183" s="193"/>
      <c r="F183" s="194"/>
      <c r="G183" s="194"/>
      <c r="H183" s="193"/>
      <c r="I183" s="195"/>
      <c r="J183" s="195"/>
      <c r="L183" s="160"/>
    </row>
    <row r="184" spans="1:12" s="159" customFormat="1">
      <c r="A184" s="191">
        <v>10</v>
      </c>
      <c r="B184" s="202" t="s">
        <v>289</v>
      </c>
      <c r="C184" s="193"/>
      <c r="D184" s="193"/>
      <c r="E184" s="193"/>
      <c r="F184" s="194"/>
      <c r="G184" s="194"/>
      <c r="H184" s="193"/>
      <c r="I184" s="195"/>
      <c r="J184" s="195"/>
      <c r="L184" s="160"/>
    </row>
    <row r="185" spans="1:12" s="159" customFormat="1">
      <c r="A185" s="191">
        <v>11</v>
      </c>
      <c r="B185" s="220" t="s">
        <v>295</v>
      </c>
      <c r="C185" s="193"/>
      <c r="D185" s="193"/>
      <c r="E185" s="193"/>
      <c r="F185" s="194"/>
      <c r="G185" s="194"/>
      <c r="H185" s="193"/>
      <c r="I185" s="195"/>
      <c r="J185" s="195"/>
      <c r="L185" s="160"/>
    </row>
    <row r="186" spans="1:12" s="159" customFormat="1">
      <c r="A186" s="203"/>
      <c r="B186" s="204"/>
      <c r="C186" s="193"/>
      <c r="D186" s="193"/>
      <c r="E186" s="193"/>
      <c r="F186" s="193"/>
      <c r="G186" s="193"/>
      <c r="H186" s="193"/>
      <c r="I186" s="193"/>
      <c r="J186" s="193"/>
      <c r="L186" s="160"/>
    </row>
    <row r="187" spans="1:12">
      <c r="A187" s="203"/>
      <c r="B187" s="205" t="s">
        <v>87</v>
      </c>
      <c r="C187" s="193"/>
      <c r="D187" s="193"/>
      <c r="E187" s="193"/>
      <c r="F187" s="193"/>
      <c r="G187" s="206" t="s">
        <v>290</v>
      </c>
      <c r="H187" s="206"/>
      <c r="I187" s="206"/>
      <c r="J187" s="193"/>
    </row>
    <row r="188" spans="1:12">
      <c r="A188" s="207"/>
      <c r="B188" s="208" t="s">
        <v>291</v>
      </c>
      <c r="C188" s="202"/>
      <c r="D188" s="202"/>
      <c r="E188" s="209"/>
      <c r="F188" s="202"/>
      <c r="G188" s="210" t="s">
        <v>292</v>
      </c>
      <c r="H188" s="210"/>
      <c r="I188" s="210"/>
      <c r="J188" s="211"/>
    </row>
    <row r="189" spans="1:12">
      <c r="A189" s="207"/>
      <c r="B189" s="212"/>
      <c r="C189" s="202"/>
      <c r="D189" s="202"/>
      <c r="E189" s="213"/>
      <c r="F189" s="214"/>
      <c r="G189" s="211"/>
      <c r="H189" s="211"/>
      <c r="I189" s="211"/>
      <c r="J189" s="211"/>
    </row>
    <row r="190" spans="1:12">
      <c r="A190" s="207"/>
      <c r="B190" s="215" t="s">
        <v>293</v>
      </c>
      <c r="C190" s="202"/>
      <c r="D190" s="202"/>
      <c r="E190" s="213"/>
      <c r="F190" s="214"/>
      <c r="G190" s="216" t="s">
        <v>293</v>
      </c>
      <c r="H190" s="216"/>
      <c r="I190" s="216"/>
      <c r="J190" s="211"/>
    </row>
    <row r="191" spans="1:12">
      <c r="A191" s="207"/>
      <c r="B191" s="217" t="s">
        <v>294</v>
      </c>
      <c r="C191" s="202"/>
      <c r="D191" s="202"/>
      <c r="E191" s="209"/>
      <c r="F191" s="214"/>
      <c r="G191" s="218" t="s">
        <v>294</v>
      </c>
      <c r="H191" s="218"/>
      <c r="I191" s="218"/>
      <c r="J191" s="211"/>
    </row>
    <row r="192" spans="1:12">
      <c r="A192" s="207"/>
      <c r="B192" s="211" t="s">
        <v>37</v>
      </c>
      <c r="C192" s="211"/>
      <c r="D192" s="211"/>
      <c r="E192" s="211"/>
      <c r="F192" s="219"/>
      <c r="G192" s="211" t="s">
        <v>37</v>
      </c>
      <c r="H192" s="211"/>
      <c r="I192" s="211"/>
      <c r="J192" s="211"/>
    </row>
    <row r="193" spans="2:7">
      <c r="B193" s="155"/>
      <c r="C193" s="152"/>
      <c r="D193" s="152"/>
      <c r="E193" s="153"/>
      <c r="F193" s="152"/>
      <c r="G193" s="152"/>
    </row>
    <row r="194" spans="2:7">
      <c r="B194" s="156"/>
      <c r="C194" s="156"/>
      <c r="D194" s="156"/>
      <c r="E194" s="157"/>
      <c r="F194" s="158"/>
      <c r="G194" s="156"/>
    </row>
    <row r="195" spans="2:7">
      <c r="B195" s="155"/>
      <c r="C195" s="152"/>
      <c r="D195" s="152"/>
      <c r="E195" s="153"/>
      <c r="F195" s="152"/>
      <c r="G195" s="152"/>
    </row>
    <row r="196" spans="2:7">
      <c r="B196" s="156"/>
      <c r="C196" s="156"/>
      <c r="D196" s="156"/>
      <c r="E196" s="157"/>
      <c r="F196" s="158"/>
      <c r="G196" s="156"/>
    </row>
    <row r="197" spans="2:7">
      <c r="B197" s="155"/>
      <c r="C197" s="152"/>
      <c r="D197" s="152"/>
      <c r="E197" s="153"/>
      <c r="F197" s="152"/>
      <c r="G197" s="152"/>
    </row>
    <row r="198" spans="2:7">
      <c r="B198" s="156"/>
      <c r="C198" s="156"/>
      <c r="D198" s="156"/>
      <c r="E198" s="157"/>
      <c r="F198" s="158"/>
      <c r="G198" s="156"/>
    </row>
    <row r="199" spans="2:7">
      <c r="B199" s="155"/>
      <c r="C199" s="152"/>
      <c r="D199" s="152"/>
      <c r="E199" s="153"/>
      <c r="F199" s="152"/>
      <c r="G199" s="152"/>
    </row>
    <row r="200" spans="2:7">
      <c r="B200" s="156"/>
      <c r="C200" s="156"/>
      <c r="D200" s="156"/>
      <c r="E200" s="157"/>
      <c r="F200" s="158"/>
      <c r="G200" s="156"/>
    </row>
    <row r="201" spans="2:7">
      <c r="B201" s="155"/>
      <c r="C201" s="152"/>
      <c r="D201" s="152"/>
      <c r="E201" s="153"/>
      <c r="F201" s="152"/>
      <c r="G201" s="152"/>
    </row>
    <row r="202" spans="2:7">
      <c r="B202" s="156"/>
      <c r="C202" s="156"/>
      <c r="D202" s="156"/>
      <c r="E202" s="157"/>
      <c r="F202" s="158"/>
      <c r="G202" s="156"/>
    </row>
    <row r="203" spans="2:7">
      <c r="B203" s="155"/>
      <c r="C203" s="152"/>
      <c r="D203" s="152"/>
      <c r="E203" s="153"/>
      <c r="F203" s="152"/>
      <c r="G203" s="152"/>
    </row>
    <row r="204" spans="2:7">
      <c r="B204" s="156"/>
      <c r="C204" s="156"/>
      <c r="D204" s="156"/>
      <c r="E204" s="157"/>
      <c r="F204" s="158"/>
      <c r="G204" s="156"/>
    </row>
    <row r="205" spans="2:7">
      <c r="B205" s="155"/>
      <c r="C205" s="152"/>
      <c r="D205" s="152"/>
      <c r="E205" s="153"/>
      <c r="F205" s="152"/>
      <c r="G205" s="152"/>
    </row>
    <row r="206" spans="2:7">
      <c r="B206" s="156"/>
      <c r="C206" s="156"/>
      <c r="D206" s="156"/>
      <c r="E206" s="157"/>
      <c r="F206" s="158"/>
      <c r="G206" s="156"/>
    </row>
    <row r="207" spans="2:7">
      <c r="B207" s="155"/>
      <c r="C207" s="152"/>
      <c r="D207" s="152"/>
      <c r="E207" s="153"/>
      <c r="F207" s="152"/>
      <c r="G207" s="152"/>
    </row>
    <row r="208" spans="2:7">
      <c r="B208" s="156"/>
      <c r="C208" s="156"/>
      <c r="D208" s="156"/>
      <c r="E208" s="157"/>
      <c r="F208" s="158"/>
      <c r="G208" s="156"/>
    </row>
    <row r="209" spans="2:7">
      <c r="B209" s="155"/>
      <c r="C209" s="152"/>
      <c r="D209" s="152"/>
      <c r="E209" s="153"/>
      <c r="F209" s="152"/>
      <c r="G209" s="152"/>
    </row>
    <row r="210" spans="2:7">
      <c r="B210" s="156"/>
      <c r="C210" s="156"/>
      <c r="D210" s="156"/>
      <c r="E210" s="157"/>
      <c r="F210" s="158"/>
      <c r="G210" s="156"/>
    </row>
    <row r="211" spans="2:7">
      <c r="B211" s="155"/>
      <c r="C211" s="152"/>
      <c r="D211" s="152"/>
      <c r="E211" s="153"/>
      <c r="F211" s="152"/>
      <c r="G211" s="152"/>
    </row>
    <row r="212" spans="2:7">
      <c r="B212" s="156"/>
      <c r="C212" s="156"/>
      <c r="D212" s="156"/>
      <c r="E212" s="157"/>
      <c r="F212" s="158"/>
      <c r="G212" s="156"/>
    </row>
    <row r="213" spans="2:7">
      <c r="B213" s="155"/>
      <c r="C213" s="152"/>
      <c r="D213" s="152"/>
      <c r="E213" s="153"/>
      <c r="F213" s="152"/>
      <c r="G213" s="152"/>
    </row>
    <row r="214" spans="2:7">
      <c r="B214" s="156"/>
      <c r="C214" s="156"/>
      <c r="D214" s="156"/>
      <c r="E214" s="157"/>
      <c r="F214" s="158"/>
      <c r="G214" s="156"/>
    </row>
    <row r="215" spans="2:7">
      <c r="B215" s="155"/>
      <c r="C215" s="152"/>
      <c r="D215" s="152"/>
      <c r="E215" s="153"/>
      <c r="F215" s="152"/>
      <c r="G215" s="152"/>
    </row>
    <row r="216" spans="2:7">
      <c r="B216" s="156"/>
      <c r="C216" s="156"/>
      <c r="D216" s="156"/>
      <c r="E216" s="157"/>
      <c r="F216" s="158"/>
      <c r="G216" s="156"/>
    </row>
    <row r="217" spans="2:7">
      <c r="B217" s="155"/>
      <c r="C217" s="152"/>
      <c r="D217" s="152"/>
      <c r="E217" s="153"/>
      <c r="F217" s="152"/>
      <c r="G217" s="152"/>
    </row>
    <row r="218" spans="2:7">
      <c r="B218" s="156"/>
      <c r="C218" s="156"/>
      <c r="D218" s="156"/>
      <c r="E218" s="157"/>
      <c r="F218" s="158"/>
      <c r="G218" s="156"/>
    </row>
    <row r="219" spans="2:7">
      <c r="B219" s="155"/>
      <c r="C219" s="152"/>
      <c r="D219" s="152"/>
      <c r="E219" s="153"/>
      <c r="F219" s="152"/>
      <c r="G219" s="152"/>
    </row>
    <row r="220" spans="2:7">
      <c r="B220" s="156"/>
      <c r="C220" s="156"/>
      <c r="D220" s="156"/>
      <c r="E220" s="157"/>
      <c r="F220" s="158"/>
      <c r="G220" s="156"/>
    </row>
    <row r="221" spans="2:7">
      <c r="B221" s="155"/>
      <c r="C221" s="152"/>
      <c r="D221" s="152"/>
      <c r="E221" s="153"/>
      <c r="F221" s="152"/>
      <c r="G221" s="152"/>
    </row>
    <row r="222" spans="2:7">
      <c r="B222" s="156"/>
      <c r="C222" s="156"/>
      <c r="D222" s="156"/>
      <c r="E222" s="157"/>
      <c r="F222" s="158"/>
      <c r="G222" s="156"/>
    </row>
    <row r="223" spans="2:7">
      <c r="B223" s="155"/>
      <c r="C223" s="152"/>
      <c r="D223" s="152"/>
      <c r="E223" s="153"/>
      <c r="F223" s="152"/>
      <c r="G223" s="152"/>
    </row>
    <row r="224" spans="2:7">
      <c r="B224" s="156"/>
      <c r="C224" s="156"/>
      <c r="D224" s="156"/>
      <c r="E224" s="157"/>
      <c r="F224" s="158"/>
      <c r="G224" s="156"/>
    </row>
    <row r="225" spans="2:7">
      <c r="B225" s="155"/>
      <c r="C225" s="152"/>
      <c r="D225" s="152"/>
      <c r="E225" s="153"/>
      <c r="F225" s="152"/>
      <c r="G225" s="152"/>
    </row>
    <row r="226" spans="2:7">
      <c r="B226" s="156"/>
      <c r="C226" s="156"/>
      <c r="D226" s="156"/>
      <c r="E226" s="157"/>
      <c r="F226" s="158"/>
      <c r="G226" s="156"/>
    </row>
    <row r="227" spans="2:7">
      <c r="B227" s="155"/>
      <c r="C227" s="152"/>
      <c r="D227" s="152"/>
      <c r="E227" s="153"/>
      <c r="F227" s="152"/>
      <c r="G227" s="152"/>
    </row>
    <row r="228" spans="2:7">
      <c r="B228" s="156"/>
      <c r="C228" s="156"/>
      <c r="D228" s="156"/>
      <c r="E228" s="157"/>
      <c r="F228" s="158"/>
      <c r="G228" s="156"/>
    </row>
    <row r="229" spans="2:7">
      <c r="B229" s="155"/>
      <c r="C229" s="152"/>
      <c r="D229" s="152"/>
      <c r="E229" s="153"/>
      <c r="F229" s="152"/>
      <c r="G229" s="152"/>
    </row>
    <row r="230" spans="2:7">
      <c r="B230" s="156"/>
      <c r="C230" s="156"/>
      <c r="D230" s="156"/>
      <c r="E230" s="157"/>
      <c r="F230" s="158"/>
      <c r="G230" s="156"/>
    </row>
    <row r="231" spans="2:7">
      <c r="B231" s="155"/>
      <c r="C231" s="152"/>
      <c r="D231" s="152"/>
      <c r="E231" s="153"/>
      <c r="F231" s="152"/>
      <c r="G231" s="152"/>
    </row>
    <row r="232" spans="2:7">
      <c r="B232" s="156"/>
      <c r="C232" s="156"/>
      <c r="D232" s="156"/>
      <c r="E232" s="157"/>
      <c r="F232" s="158"/>
      <c r="G232" s="156"/>
    </row>
  </sheetData>
  <mergeCells count="27">
    <mergeCell ref="G190:I190"/>
    <mergeCell ref="G191:I191"/>
    <mergeCell ref="B175:J175"/>
    <mergeCell ref="B179:J179"/>
    <mergeCell ref="B180:J180"/>
    <mergeCell ref="G187:I187"/>
    <mergeCell ref="G188:I188"/>
    <mergeCell ref="A8:J8"/>
    <mergeCell ref="A5:J5"/>
    <mergeCell ref="A6:J6"/>
    <mergeCell ref="A7:B7"/>
    <mergeCell ref="A9:J9"/>
    <mergeCell ref="A10:J10"/>
    <mergeCell ref="A11:J11"/>
    <mergeCell ref="A13:A14"/>
    <mergeCell ref="B13:B14"/>
    <mergeCell ref="C13:C14"/>
    <mergeCell ref="D13:D14"/>
    <mergeCell ref="E13:E14"/>
    <mergeCell ref="F13:G13"/>
    <mergeCell ref="H13:I13"/>
    <mergeCell ref="J13:J14"/>
    <mergeCell ref="K13:K14"/>
    <mergeCell ref="M51:N51"/>
    <mergeCell ref="P51:Q51"/>
    <mergeCell ref="M73:N73"/>
    <mergeCell ref="P73:Q73"/>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2025-01-23T07:30:52Z</dcterms:modified>
</cp:coreProperties>
</file>