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КП" sheetId="10" r:id="rId1"/>
  </sheets>
  <definedNames>
    <definedName name="_xlnm._FilterDatabase" localSheetId="0" hidden="1">КП!$A$5:$WUV$175</definedName>
    <definedName name="_xlnm.Print_Area" localSheetId="0">КП!$A$1:$F$175</definedName>
  </definedNames>
  <calcPr calcId="162913"/>
</workbook>
</file>

<file path=xl/calcChain.xml><?xml version="1.0" encoding="utf-8"?>
<calcChain xmlns="http://schemas.openxmlformats.org/spreadsheetml/2006/main">
  <c r="D160" i="10" l="1"/>
  <c r="D120" i="10" l="1"/>
  <c r="D119" i="10"/>
  <c r="F137" i="10" l="1"/>
  <c r="F136" i="10"/>
  <c r="F8" i="10"/>
  <c r="F10" i="10"/>
  <c r="F11" i="10"/>
  <c r="F12" i="10"/>
  <c r="F13" i="10"/>
  <c r="F15" i="10"/>
  <c r="F16" i="10"/>
  <c r="F17" i="10"/>
  <c r="F19" i="10"/>
  <c r="F22" i="10"/>
  <c r="F26" i="10"/>
  <c r="F27" i="10"/>
  <c r="F31" i="10"/>
  <c r="F32" i="10"/>
  <c r="F33" i="10"/>
  <c r="F39" i="10"/>
  <c r="F41" i="10"/>
  <c r="F42" i="10"/>
  <c r="F43" i="10"/>
  <c r="F44" i="10"/>
  <c r="F46" i="10"/>
  <c r="F47" i="10"/>
  <c r="F48" i="10"/>
  <c r="F53" i="10"/>
  <c r="F55" i="10"/>
  <c r="F56" i="10"/>
  <c r="F61" i="10"/>
  <c r="F62" i="10"/>
  <c r="F68" i="10"/>
  <c r="F77" i="10"/>
  <c r="F78" i="10"/>
  <c r="F84" i="10"/>
  <c r="F85" i="10"/>
  <c r="F98" i="10"/>
  <c r="F99" i="10"/>
  <c r="F100" i="10"/>
  <c r="F101" i="10"/>
  <c r="F104" i="10"/>
  <c r="F106" i="10"/>
  <c r="F110" i="10"/>
  <c r="F111" i="10"/>
  <c r="F113" i="10"/>
  <c r="F116" i="10"/>
  <c r="F117" i="10"/>
  <c r="F118" i="10"/>
  <c r="F122" i="10"/>
  <c r="F124" i="10"/>
  <c r="F129" i="10"/>
  <c r="F130" i="10"/>
  <c r="F131" i="10"/>
  <c r="F133" i="10"/>
  <c r="F134" i="10"/>
  <c r="F135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6" i="10"/>
  <c r="F158" i="10"/>
  <c r="F159" i="10"/>
  <c r="F160" i="10"/>
  <c r="F162" i="10"/>
  <c r="F166" i="10"/>
  <c r="F167" i="10"/>
  <c r="F168" i="10"/>
  <c r="F169" i="10"/>
  <c r="F170" i="10"/>
  <c r="F171" i="10"/>
  <c r="F172" i="10"/>
  <c r="F7" i="10"/>
  <c r="D154" i="10"/>
  <c r="F154" i="10" s="1"/>
  <c r="D155" i="10" l="1"/>
  <c r="D157" i="10"/>
  <c r="D163" i="10"/>
  <c r="D165" i="10"/>
  <c r="D164" i="10"/>
  <c r="D161" i="10"/>
  <c r="D138" i="10"/>
  <c r="D139" i="10" l="1"/>
  <c r="F138" i="10"/>
  <c r="F165" i="10"/>
  <c r="F164" i="10"/>
  <c r="F155" i="10"/>
  <c r="D140" i="10"/>
  <c r="F163" i="10"/>
  <c r="F161" i="10"/>
  <c r="F157" i="10"/>
  <c r="D132" i="10"/>
  <c r="D128" i="10"/>
  <c r="D127" i="10"/>
  <c r="D126" i="10"/>
  <c r="D125" i="10"/>
  <c r="F126" i="10" l="1"/>
  <c r="F127" i="10"/>
  <c r="F125" i="10"/>
  <c r="F128" i="10"/>
  <c r="F140" i="10"/>
  <c r="F132" i="10"/>
  <c r="F139" i="10"/>
  <c r="D123" i="10"/>
  <c r="F123" i="10" l="1"/>
  <c r="D121" i="10"/>
  <c r="D114" i="10"/>
  <c r="F114" i="10" l="1"/>
  <c r="F121" i="10"/>
  <c r="D112" i="10"/>
  <c r="D49" i="10"/>
  <c r="D45" i="10"/>
  <c r="D38" i="10"/>
  <c r="F38" i="10" l="1"/>
  <c r="F49" i="10"/>
  <c r="F45" i="10"/>
  <c r="F112" i="10"/>
  <c r="D37" i="10"/>
  <c r="D28" i="10"/>
  <c r="F28" i="10" l="1"/>
  <c r="F37" i="10"/>
  <c r="D30" i="10"/>
  <c r="D29" i="10"/>
  <c r="F29" i="10" l="1"/>
  <c r="F30" i="10"/>
  <c r="D91" i="10" l="1"/>
  <c r="F91" i="10" l="1"/>
  <c r="D115" i="10"/>
  <c r="D93" i="10"/>
  <c r="D95" i="10"/>
  <c r="D92" i="10"/>
  <c r="D94" i="10"/>
  <c r="F115" i="10" l="1"/>
  <c r="F92" i="10"/>
  <c r="F95" i="10"/>
  <c r="F94" i="10"/>
  <c r="F93" i="10"/>
  <c r="D105" i="10"/>
  <c r="D102" i="10"/>
  <c r="D96" i="10"/>
  <c r="D86" i="10"/>
  <c r="D79" i="10"/>
  <c r="D72" i="10"/>
  <c r="F79" i="10" l="1"/>
  <c r="F105" i="10"/>
  <c r="D76" i="10"/>
  <c r="F72" i="10"/>
  <c r="F102" i="10"/>
  <c r="F86" i="10"/>
  <c r="D97" i="10"/>
  <c r="F96" i="10"/>
  <c r="D107" i="10"/>
  <c r="D74" i="10"/>
  <c r="D87" i="10"/>
  <c r="D73" i="10"/>
  <c r="D80" i="10"/>
  <c r="D88" i="10"/>
  <c r="D89" i="10"/>
  <c r="D90" i="10"/>
  <c r="D81" i="10"/>
  <c r="D82" i="10"/>
  <c r="D83" i="10"/>
  <c r="D75" i="10"/>
  <c r="F88" i="10" l="1"/>
  <c r="F81" i="10"/>
  <c r="F80" i="10"/>
  <c r="F107" i="10"/>
  <c r="F97" i="10"/>
  <c r="F82" i="10"/>
  <c r="F73" i="10"/>
  <c r="F76" i="10"/>
  <c r="F74" i="10"/>
  <c r="F75" i="10"/>
  <c r="F90" i="10"/>
  <c r="F83" i="10"/>
  <c r="F89" i="10"/>
  <c r="F87" i="10"/>
  <c r="D109" i="10"/>
  <c r="D108" i="10"/>
  <c r="F108" i="10" l="1"/>
  <c r="F109" i="10"/>
  <c r="D103" i="10"/>
  <c r="D25" i="10"/>
  <c r="D40" i="10"/>
  <c r="F40" i="10" l="1"/>
  <c r="F25" i="10"/>
  <c r="F103" i="10"/>
  <c r="D34" i="10"/>
  <c r="D35" i="10"/>
  <c r="D36" i="10"/>
  <c r="D52" i="10"/>
  <c r="D50" i="10"/>
  <c r="D54" i="10"/>
  <c r="D51" i="10"/>
  <c r="D18" i="10"/>
  <c r="D23" i="10"/>
  <c r="D20" i="10"/>
  <c r="F23" i="10" l="1"/>
  <c r="F51" i="10"/>
  <c r="F36" i="10"/>
  <c r="D21" i="10"/>
  <c r="F20" i="10"/>
  <c r="F52" i="10"/>
  <c r="F18" i="10"/>
  <c r="F54" i="10"/>
  <c r="F35" i="10"/>
  <c r="F50" i="10"/>
  <c r="F34" i="10"/>
  <c r="F119" i="10"/>
  <c r="F120" i="10"/>
  <c r="D69" i="10"/>
  <c r="D24" i="10"/>
  <c r="D9" i="10"/>
  <c r="F21" i="10" l="1"/>
  <c r="F69" i="10"/>
  <c r="F9" i="10"/>
  <c r="F24" i="10"/>
  <c r="D57" i="10"/>
  <c r="D60" i="10" s="1"/>
  <c r="D59" i="10"/>
  <c r="D58" i="10"/>
  <c r="D71" i="10"/>
  <c r="D70" i="10"/>
  <c r="D14" i="10"/>
  <c r="D63" i="10" l="1"/>
  <c r="D64" i="10" s="1"/>
  <c r="F70" i="10"/>
  <c r="F59" i="10"/>
  <c r="F14" i="10"/>
  <c r="F60" i="10"/>
  <c r="F71" i="10"/>
  <c r="F58" i="10"/>
  <c r="F57" i="10"/>
  <c r="D66" i="10"/>
  <c r="D67" i="10" l="1"/>
  <c r="F67" i="10" s="1"/>
  <c r="F63" i="10"/>
  <c r="D65" i="10"/>
  <c r="F65" i="10"/>
  <c r="F66" i="10"/>
  <c r="F64" i="10"/>
</calcChain>
</file>

<file path=xl/sharedStrings.xml><?xml version="1.0" encoding="utf-8"?>
<sst xmlns="http://schemas.openxmlformats.org/spreadsheetml/2006/main" count="345" uniqueCount="149">
  <si>
    <t>п/п</t>
  </si>
  <si>
    <t>м2</t>
  </si>
  <si>
    <t>№</t>
  </si>
  <si>
    <t>Робота і матеріали</t>
  </si>
  <si>
    <t>Од</t>
  </si>
  <si>
    <t>вим</t>
  </si>
  <si>
    <t>К-сть</t>
  </si>
  <si>
    <t>на од</t>
  </si>
  <si>
    <t>Розцінка</t>
  </si>
  <si>
    <t>Вартість</t>
  </si>
  <si>
    <t>робіт</t>
  </si>
  <si>
    <t>Разом</t>
  </si>
  <si>
    <t>шт</t>
  </si>
  <si>
    <t>Розділ 1. Демонтажні роботи</t>
  </si>
  <si>
    <t>Розділ 2. Будівельно-ремонтні роботи</t>
  </si>
  <si>
    <t>к-кт</t>
  </si>
  <si>
    <t xml:space="preserve">Огородження вхідної групи </t>
  </si>
  <si>
    <t xml:space="preserve">стрічка </t>
  </si>
  <si>
    <t>рул</t>
  </si>
  <si>
    <t>брус 50х50 для стійок</t>
  </si>
  <si>
    <t>мп</t>
  </si>
  <si>
    <t>саморізі 4,2х76 мм по дереву</t>
  </si>
  <si>
    <t>Демонтаж сталевого пандусу (апарелі)</t>
  </si>
  <si>
    <t>Демонтаж плитки з ганку</t>
  </si>
  <si>
    <t>круг відрізний ф125</t>
  </si>
  <si>
    <t>піка</t>
  </si>
  <si>
    <t>диск алмазний</t>
  </si>
  <si>
    <t>Демонтаж бетонного ганку входу в банк товщ.300 мм</t>
  </si>
  <si>
    <t>Демонтаж плитки в тамбурі</t>
  </si>
  <si>
    <t>Демонтаж стяжки в тамбурі</t>
  </si>
  <si>
    <t>Демонтаж дверних блоків</t>
  </si>
  <si>
    <t>Демонтаж бетонної сегментної площадки</t>
  </si>
  <si>
    <t>Демонтаж плінтусу в тамбурі і в залі</t>
  </si>
  <si>
    <t xml:space="preserve">Демонтаж плитки на сегментній площадці </t>
  </si>
  <si>
    <t>пісок</t>
  </si>
  <si>
    <t>щебінь</t>
  </si>
  <si>
    <t>кг</t>
  </si>
  <si>
    <t>м3</t>
  </si>
  <si>
    <t>цемент М500</t>
  </si>
  <si>
    <t>Влаштування бетонних сходів</t>
  </si>
  <si>
    <t>сітка ф3 100х100</t>
  </si>
  <si>
    <t>дошка 25х150 мм</t>
  </si>
  <si>
    <t>саморізи 3,5х55</t>
  </si>
  <si>
    <t>арматура ф12</t>
  </si>
  <si>
    <t xml:space="preserve">Демонтаж перегородки в тамбурі </t>
  </si>
  <si>
    <t>Монтаж гіпсокартону на відкоси після демонтажу перегородки</t>
  </si>
  <si>
    <t>лист ГКЛВ</t>
  </si>
  <si>
    <t>клей перлфікс</t>
  </si>
  <si>
    <t>м</t>
  </si>
  <si>
    <t>грунтовка СТ-17</t>
  </si>
  <si>
    <t>л</t>
  </si>
  <si>
    <t>Влаштування стяжки армованої сіткою</t>
  </si>
  <si>
    <t>плівка 200мкр</t>
  </si>
  <si>
    <t>сілтек F-20</t>
  </si>
  <si>
    <t>дріт в'язальний</t>
  </si>
  <si>
    <t>маяк штукатурний 10мм</t>
  </si>
  <si>
    <t>Клейова суміш  Ceresit CM-11</t>
  </si>
  <si>
    <t>Затирка Ceresit CE33 plus</t>
  </si>
  <si>
    <t>Система выравнивания плитки TecnicBuild 1,5 мм 1000 шт./уп</t>
  </si>
  <si>
    <t>Плитка для підлоги</t>
  </si>
  <si>
    <t>уп</t>
  </si>
  <si>
    <t>Монтаж плінтусу ПВХ</t>
  </si>
  <si>
    <t>плінтус ПВХ світлий (сосна) з комплектацією</t>
  </si>
  <si>
    <t>дюбель 6х60</t>
  </si>
  <si>
    <t>диск відрізний по бетону ф120</t>
  </si>
  <si>
    <t>Облицювання пандусу і ганку вхідної групи  керамічними плитками</t>
  </si>
  <si>
    <t>Облицювання підлоги керамічними плитками в тамбурі</t>
  </si>
  <si>
    <t>Облицювання сходів і підсхідців ганку вхідної групи  керамічними плитками</t>
  </si>
  <si>
    <t>Ремонт штукатурки в тамбурі</t>
  </si>
  <si>
    <t>ротбанд</t>
  </si>
  <si>
    <t>шпаклівка фініш Стабіл 41</t>
  </si>
  <si>
    <t>кутик  перфорований</t>
  </si>
  <si>
    <t>наждачка</t>
  </si>
  <si>
    <t>Шпаклювання стін і відкосів тамбуру</t>
  </si>
  <si>
    <t>Фарбування стін і відкосів тамбуру</t>
  </si>
  <si>
    <t>фарба водоемульсійна</t>
  </si>
  <si>
    <t>стрічка малярна</t>
  </si>
  <si>
    <t>Монтаж дверного вхідного блоку</t>
  </si>
  <si>
    <t xml:space="preserve">блок дверний </t>
  </si>
  <si>
    <t>піна монтажна</t>
  </si>
  <si>
    <t>вартість конструкції огорожі</t>
  </si>
  <si>
    <t xml:space="preserve">Опуск металевої труби опалення </t>
  </si>
  <si>
    <t xml:space="preserve">матеріали </t>
  </si>
  <si>
    <t>Виготовлення і монтаж плінтусу із керамічної плитки</t>
  </si>
  <si>
    <t>мішки під сміття</t>
  </si>
  <si>
    <t>Елементи тактильної доступності</t>
  </si>
  <si>
    <t>Загальні роботи</t>
  </si>
  <si>
    <t>Фарба Композит АК-11 жовтого кольору</t>
  </si>
  <si>
    <t>Монтаж системи виклику для інвалідів (кнопка виклику)</t>
  </si>
  <si>
    <t>система виклику для інвалідів (кнопка виклику)</t>
  </si>
  <si>
    <t>Демонтаж плитки ФЕМ</t>
  </si>
  <si>
    <t>Виїмка  підстилаючого шару</t>
  </si>
  <si>
    <t>цв'яхи будівельні</t>
  </si>
  <si>
    <t>Влаштування бетонної підготовки під ганок</t>
  </si>
  <si>
    <t>арматура  ф10 А400</t>
  </si>
  <si>
    <t>арматура  ф6 А400</t>
  </si>
  <si>
    <t>електроди</t>
  </si>
  <si>
    <t>Виготовлення закладних деталей ЗД-1</t>
  </si>
  <si>
    <t>пластина 120х10 ; довжина 240мм</t>
  </si>
  <si>
    <t>пластина 30х6; довжина 360мм</t>
  </si>
  <si>
    <t>Монтаж закладних деталей ЗД-1</t>
  </si>
  <si>
    <t xml:space="preserve">Влаштування бетонного ганку і пандусу </t>
  </si>
  <si>
    <t>Облицювання підлоги  в залі керамічними плитками</t>
  </si>
  <si>
    <t xml:space="preserve">Вкладанння ФЕМ </t>
  </si>
  <si>
    <t>ФЕМ старе місто</t>
  </si>
  <si>
    <t>Влаштування ніші  під брудоочисний коврик та монтаж коврика</t>
  </si>
  <si>
    <t>брудоочисний коврик</t>
  </si>
  <si>
    <t>Влаштування огородження пандусу із чорного металу</t>
  </si>
  <si>
    <t>Влаштування металевого каркасу навісу ганку</t>
  </si>
  <si>
    <t>труба 60х60х4</t>
  </si>
  <si>
    <t>труба 80х60х4</t>
  </si>
  <si>
    <t>труба 80х40х3</t>
  </si>
  <si>
    <t>фарба ПФ-115</t>
  </si>
  <si>
    <t>грунт ГФ-021</t>
  </si>
  <si>
    <t>Грунтування та фарбування металевих конструкцій навісу</t>
  </si>
  <si>
    <t>кисть малярна</t>
  </si>
  <si>
    <t>анкер М 12х145мм</t>
  </si>
  <si>
    <t>хімічна суміш для анкерування</t>
  </si>
  <si>
    <t>Полікарбонат монолітний Terner Plast Elite 10 мм Бронзовий</t>
  </si>
  <si>
    <t>З`єднувальний Н-профіль 10мм x 3м бронзовий</t>
  </si>
  <si>
    <t>Торцевий профіль для полікарбонату Terner Plast кольоровий 2100х10 мм</t>
  </si>
  <si>
    <t>Термошайба універсальна для полікарбонату Oscar бронзова з ущільнювачем</t>
  </si>
  <si>
    <t>Монтаж водостічних ринв і труб</t>
  </si>
  <si>
    <t>Труба водостічна PROFiL 100 мм 3 м коричневий</t>
  </si>
  <si>
    <t>Коліно труби PROFiL 60° 100 мм коричневий</t>
  </si>
  <si>
    <t>Коліно відведення труби двомуфтове 67° PROFIL 130 система Коричневий</t>
  </si>
  <si>
    <t>Ринва водостічна PROFiL 130 мм 3 м коричневий</t>
  </si>
  <si>
    <t>Воронка зливоприймач ринви ліва PROFIL 130 система Коричневий</t>
  </si>
  <si>
    <t>Кронштейн труби металевий PROFiL L-160 100 мм Коричневий</t>
  </si>
  <si>
    <t>Заглушка ринви ліва PROFIL 130 система Коричневий</t>
  </si>
  <si>
    <t>Кронштейн ринви PROFiL 130 мм коричневий</t>
  </si>
  <si>
    <t>карнизна планка 2м</t>
  </si>
  <si>
    <t>захисна накладка із н/ст на двері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</si>
  <si>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</si>
  <si>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</si>
  <si>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Наклеювання тактильного індикатора</t>
  </si>
  <si>
    <t xml:space="preserve"> тактильний індикатор "конус"</t>
  </si>
  <si>
    <t>Монтаж гумової накладки</t>
  </si>
  <si>
    <t>гумова накладка кутова антиковзна</t>
  </si>
  <si>
    <t>Нанесення контрасного маркування сходів і поручнів жовтою фарбою</t>
  </si>
  <si>
    <t>планка примикання до стіни 2м</t>
  </si>
  <si>
    <t>герметик</t>
  </si>
  <si>
    <t>тюб</t>
  </si>
  <si>
    <t>Наклеювання смуги із захисної плівки в два шари дверні полотна</t>
  </si>
  <si>
    <t>Прибирання будівельного сміття та навантаження на авто</t>
  </si>
  <si>
    <t xml:space="preserve"> Вивезення будівельного сміття</t>
  </si>
  <si>
    <t>або монтаж спеціалізованою бригадою</t>
  </si>
  <si>
    <t>Доставка матеріалів виконується підрядником</t>
  </si>
  <si>
    <t>Ремонт вхідної групи приміщення для відвідувачів.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</si>
</sst>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5" fillId="0" borderId="2" xfId="1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/>
    </xf>
    <xf numFmtId="2" fontId="5" fillId="0" borderId="3" xfId="3" applyNumberFormat="1" applyFont="1" applyFill="1" applyBorder="1" applyAlignment="1">
      <alignment horizontal="centerContinuous" vertical="center"/>
    </xf>
    <xf numFmtId="0" fontId="5" fillId="0" borderId="0" xfId="1" applyFont="1" applyFill="1"/>
    <xf numFmtId="0" fontId="3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43" fontId="5" fillId="0" borderId="3" xfId="5" applyFont="1" applyFill="1" applyBorder="1" applyAlignment="1">
      <alignment horizontal="center"/>
    </xf>
    <xf numFmtId="43" fontId="5" fillId="0" borderId="3" xfId="5" applyFont="1" applyFill="1" applyBorder="1" applyAlignment="1">
      <alignment horizontal="center" vertical="center"/>
    </xf>
    <xf numFmtId="43" fontId="5" fillId="0" borderId="1" xfId="5" applyFont="1" applyFill="1" applyBorder="1" applyAlignment="1">
      <alignment horizontal="center" vertical="center"/>
    </xf>
    <xf numFmtId="43" fontId="3" fillId="0" borderId="0" xfId="5" applyFont="1" applyFill="1"/>
    <xf numFmtId="43" fontId="5" fillId="0" borderId="0" xfId="5" applyFont="1" applyFill="1"/>
    <xf numFmtId="2" fontId="5" fillId="0" borderId="3" xfId="1" applyNumberFormat="1" applyFont="1" applyFill="1" applyBorder="1" applyAlignment="1">
      <alignment horizontal="centerContinuous" vertical="center"/>
    </xf>
    <xf numFmtId="2" fontId="5" fillId="0" borderId="1" xfId="3" applyNumberFormat="1" applyFont="1" applyFill="1" applyBorder="1" applyAlignment="1">
      <alignment horizontal="centerContinuous" vertical="center"/>
    </xf>
    <xf numFmtId="43" fontId="5" fillId="0" borderId="1" xfId="5" applyFont="1" applyFill="1" applyBorder="1" applyAlignment="1">
      <alignment horizontal="center"/>
    </xf>
    <xf numFmtId="2" fontId="5" fillId="0" borderId="9" xfId="3" applyNumberFormat="1" applyFont="1" applyFill="1" applyBorder="1" applyAlignment="1">
      <alignment horizontal="centerContinuous" vertical="center"/>
    </xf>
    <xf numFmtId="43" fontId="5" fillId="0" borderId="9" xfId="5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/>
    </xf>
    <xf numFmtId="43" fontId="4" fillId="0" borderId="6" xfId="5" applyFont="1" applyFill="1" applyBorder="1" applyAlignment="1">
      <alignment horizontal="center" vertical="center" wrapText="1"/>
    </xf>
    <xf numFmtId="0" fontId="4" fillId="0" borderId="0" xfId="1" applyFont="1" applyFill="1"/>
    <xf numFmtId="43" fontId="4" fillId="0" borderId="0" xfId="5" applyFont="1" applyFill="1"/>
    <xf numFmtId="43" fontId="4" fillId="0" borderId="7" xfId="5" applyFont="1" applyFill="1" applyBorder="1" applyAlignment="1">
      <alignment horizontal="center"/>
    </xf>
    <xf numFmtId="43" fontId="10" fillId="0" borderId="0" xfId="5" applyFont="1" applyFill="1"/>
    <xf numFmtId="2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165" fontId="5" fillId="0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3" fontId="3" fillId="0" borderId="0" xfId="5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3" xfId="1" applyFont="1" applyFill="1" applyBorder="1"/>
    <xf numFmtId="43" fontId="5" fillId="0" borderId="3" xfId="5" applyFont="1" applyFill="1" applyBorder="1" applyAlignment="1">
      <alignment horizontal="centerContinuous" vertical="center" wrapText="1"/>
    </xf>
    <xf numFmtId="0" fontId="5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/>
    </xf>
    <xf numFmtId="43" fontId="5" fillId="0" borderId="1" xfId="5" applyFont="1" applyFill="1" applyBorder="1" applyAlignment="1">
      <alignment horizontal="centerContinuous" vertical="center" wrapText="1"/>
    </xf>
    <xf numFmtId="0" fontId="5" fillId="0" borderId="8" xfId="1" applyFont="1" applyFill="1" applyBorder="1" applyAlignment="1">
      <alignment horizontal="center"/>
    </xf>
    <xf numFmtId="0" fontId="5" fillId="0" borderId="9" xfId="3" applyFont="1" applyFill="1" applyBorder="1" applyAlignment="1">
      <alignment horizontal="centerContinuous" vertical="center"/>
    </xf>
    <xf numFmtId="0" fontId="5" fillId="0" borderId="9" xfId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4" fillId="0" borderId="5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right"/>
    </xf>
    <xf numFmtId="0" fontId="4" fillId="0" borderId="6" xfId="1" applyFont="1" applyFill="1" applyBorder="1" applyAlignment="1">
      <alignment horizontal="center" vertical="center" wrapText="1"/>
    </xf>
    <xf numFmtId="43" fontId="4" fillId="0" borderId="6" xfId="5" applyFont="1" applyFill="1" applyBorder="1" applyAlignment="1">
      <alignment horizontal="center"/>
    </xf>
    <xf numFmtId="0" fontId="6" fillId="0" borderId="0" xfId="1" applyFont="1" applyFill="1" applyAlignment="1">
      <alignment wrapText="1"/>
    </xf>
    <xf numFmtId="0" fontId="4" fillId="0" borderId="0" xfId="1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77"/>
  <sheetViews>
    <sheetView tabSelected="1" topLeftCell="A157" zoomScaleNormal="100" workbookViewId="0">
      <selection activeCell="L175" sqref="L175"/>
    </sheetView>
  </sheetViews>
  <sheetFormatPr defaultRowHeight="15" customHeight="1" x14ac:dyDescent="0.2"/>
  <cols>
    <col min="1" max="1" width="5.85546875" style="8" customWidth="1"/>
    <col min="2" max="2" width="69.140625" style="8" customWidth="1"/>
    <col min="3" max="3" width="9.85546875" style="8" customWidth="1"/>
    <col min="4" max="4" width="11.5703125" style="8" customWidth="1"/>
    <col min="5" max="5" width="14" style="27" customWidth="1"/>
    <col min="6" max="6" width="14.7109375" style="27" customWidth="1"/>
    <col min="7" max="237" width="9.140625" style="8"/>
    <col min="238" max="238" width="4.28515625" style="8" customWidth="1"/>
    <col min="239" max="239" width="63.140625" style="8" customWidth="1"/>
    <col min="240" max="240" width="9.85546875" style="8" customWidth="1"/>
    <col min="241" max="241" width="9.140625" style="8"/>
    <col min="242" max="242" width="11.5703125" style="8" customWidth="1"/>
    <col min="243" max="243" width="9.140625" style="8"/>
    <col min="244" max="244" width="10.85546875" style="8" customWidth="1"/>
    <col min="245" max="246" width="10.28515625" style="8" customWidth="1"/>
    <col min="247" max="247" width="9.140625" style="8"/>
    <col min="248" max="248" width="9.5703125" style="8" bestFit="1" customWidth="1"/>
    <col min="249" max="493" width="9.140625" style="8"/>
    <col min="494" max="494" width="4.28515625" style="8" customWidth="1"/>
    <col min="495" max="495" width="63.140625" style="8" customWidth="1"/>
    <col min="496" max="496" width="9.85546875" style="8" customWidth="1"/>
    <col min="497" max="497" width="9.140625" style="8"/>
    <col min="498" max="498" width="11.5703125" style="8" customWidth="1"/>
    <col min="499" max="499" width="9.140625" style="8"/>
    <col min="500" max="500" width="10.85546875" style="8" customWidth="1"/>
    <col min="501" max="502" width="10.28515625" style="8" customWidth="1"/>
    <col min="503" max="503" width="9.140625" style="8"/>
    <col min="504" max="504" width="9.5703125" style="8" bestFit="1" customWidth="1"/>
    <col min="505" max="749" width="9.140625" style="8"/>
    <col min="750" max="750" width="4.28515625" style="8" customWidth="1"/>
    <col min="751" max="751" width="63.140625" style="8" customWidth="1"/>
    <col min="752" max="752" width="9.85546875" style="8" customWidth="1"/>
    <col min="753" max="753" width="9.140625" style="8"/>
    <col min="754" max="754" width="11.5703125" style="8" customWidth="1"/>
    <col min="755" max="755" width="9.140625" style="8"/>
    <col min="756" max="756" width="10.85546875" style="8" customWidth="1"/>
    <col min="757" max="758" width="10.28515625" style="8" customWidth="1"/>
    <col min="759" max="759" width="9.140625" style="8"/>
    <col min="760" max="760" width="9.5703125" style="8" bestFit="1" customWidth="1"/>
    <col min="761" max="1005" width="9.140625" style="8"/>
    <col min="1006" max="1006" width="4.28515625" style="8" customWidth="1"/>
    <col min="1007" max="1007" width="63.140625" style="8" customWidth="1"/>
    <col min="1008" max="1008" width="9.85546875" style="8" customWidth="1"/>
    <col min="1009" max="1009" width="9.140625" style="8"/>
    <col min="1010" max="1010" width="11.5703125" style="8" customWidth="1"/>
    <col min="1011" max="1011" width="9.140625" style="8"/>
    <col min="1012" max="1012" width="10.85546875" style="8" customWidth="1"/>
    <col min="1013" max="1014" width="10.28515625" style="8" customWidth="1"/>
    <col min="1015" max="1015" width="9.140625" style="8"/>
    <col min="1016" max="1016" width="9.5703125" style="8" bestFit="1" customWidth="1"/>
    <col min="1017" max="1261" width="9.140625" style="8"/>
    <col min="1262" max="1262" width="4.28515625" style="8" customWidth="1"/>
    <col min="1263" max="1263" width="63.140625" style="8" customWidth="1"/>
    <col min="1264" max="1264" width="9.85546875" style="8" customWidth="1"/>
    <col min="1265" max="1265" width="9.140625" style="8"/>
    <col min="1266" max="1266" width="11.5703125" style="8" customWidth="1"/>
    <col min="1267" max="1267" width="9.140625" style="8"/>
    <col min="1268" max="1268" width="10.85546875" style="8" customWidth="1"/>
    <col min="1269" max="1270" width="10.28515625" style="8" customWidth="1"/>
    <col min="1271" max="1271" width="9.140625" style="8"/>
    <col min="1272" max="1272" width="9.5703125" style="8" bestFit="1" customWidth="1"/>
    <col min="1273" max="1517" width="9.140625" style="8"/>
    <col min="1518" max="1518" width="4.28515625" style="8" customWidth="1"/>
    <col min="1519" max="1519" width="63.140625" style="8" customWidth="1"/>
    <col min="1520" max="1520" width="9.85546875" style="8" customWidth="1"/>
    <col min="1521" max="1521" width="9.140625" style="8"/>
    <col min="1522" max="1522" width="11.5703125" style="8" customWidth="1"/>
    <col min="1523" max="1523" width="9.140625" style="8"/>
    <col min="1524" max="1524" width="10.85546875" style="8" customWidth="1"/>
    <col min="1525" max="1526" width="10.28515625" style="8" customWidth="1"/>
    <col min="1527" max="1527" width="9.140625" style="8"/>
    <col min="1528" max="1528" width="9.5703125" style="8" bestFit="1" customWidth="1"/>
    <col min="1529" max="1773" width="9.140625" style="8"/>
    <col min="1774" max="1774" width="4.28515625" style="8" customWidth="1"/>
    <col min="1775" max="1775" width="63.140625" style="8" customWidth="1"/>
    <col min="1776" max="1776" width="9.85546875" style="8" customWidth="1"/>
    <col min="1777" max="1777" width="9.140625" style="8"/>
    <col min="1778" max="1778" width="11.5703125" style="8" customWidth="1"/>
    <col min="1779" max="1779" width="9.140625" style="8"/>
    <col min="1780" max="1780" width="10.85546875" style="8" customWidth="1"/>
    <col min="1781" max="1782" width="10.28515625" style="8" customWidth="1"/>
    <col min="1783" max="1783" width="9.140625" style="8"/>
    <col min="1784" max="1784" width="9.5703125" style="8" bestFit="1" customWidth="1"/>
    <col min="1785" max="2029" width="9.140625" style="8"/>
    <col min="2030" max="2030" width="4.28515625" style="8" customWidth="1"/>
    <col min="2031" max="2031" width="63.140625" style="8" customWidth="1"/>
    <col min="2032" max="2032" width="9.85546875" style="8" customWidth="1"/>
    <col min="2033" max="2033" width="9.140625" style="8"/>
    <col min="2034" max="2034" width="11.5703125" style="8" customWidth="1"/>
    <col min="2035" max="2035" width="9.140625" style="8"/>
    <col min="2036" max="2036" width="10.85546875" style="8" customWidth="1"/>
    <col min="2037" max="2038" width="10.28515625" style="8" customWidth="1"/>
    <col min="2039" max="2039" width="9.140625" style="8"/>
    <col min="2040" max="2040" width="9.5703125" style="8" bestFit="1" customWidth="1"/>
    <col min="2041" max="2285" width="9.140625" style="8"/>
    <col min="2286" max="2286" width="4.28515625" style="8" customWidth="1"/>
    <col min="2287" max="2287" width="63.140625" style="8" customWidth="1"/>
    <col min="2288" max="2288" width="9.85546875" style="8" customWidth="1"/>
    <col min="2289" max="2289" width="9.140625" style="8"/>
    <col min="2290" max="2290" width="11.5703125" style="8" customWidth="1"/>
    <col min="2291" max="2291" width="9.140625" style="8"/>
    <col min="2292" max="2292" width="10.85546875" style="8" customWidth="1"/>
    <col min="2293" max="2294" width="10.28515625" style="8" customWidth="1"/>
    <col min="2295" max="2295" width="9.140625" style="8"/>
    <col min="2296" max="2296" width="9.5703125" style="8" bestFit="1" customWidth="1"/>
    <col min="2297" max="2541" width="9.140625" style="8"/>
    <col min="2542" max="2542" width="4.28515625" style="8" customWidth="1"/>
    <col min="2543" max="2543" width="63.140625" style="8" customWidth="1"/>
    <col min="2544" max="2544" width="9.85546875" style="8" customWidth="1"/>
    <col min="2545" max="2545" width="9.140625" style="8"/>
    <col min="2546" max="2546" width="11.5703125" style="8" customWidth="1"/>
    <col min="2547" max="2547" width="9.140625" style="8"/>
    <col min="2548" max="2548" width="10.85546875" style="8" customWidth="1"/>
    <col min="2549" max="2550" width="10.28515625" style="8" customWidth="1"/>
    <col min="2551" max="2551" width="9.140625" style="8"/>
    <col min="2552" max="2552" width="9.5703125" style="8" bestFit="1" customWidth="1"/>
    <col min="2553" max="2797" width="9.140625" style="8"/>
    <col min="2798" max="2798" width="4.28515625" style="8" customWidth="1"/>
    <col min="2799" max="2799" width="63.140625" style="8" customWidth="1"/>
    <col min="2800" max="2800" width="9.85546875" style="8" customWidth="1"/>
    <col min="2801" max="2801" width="9.140625" style="8"/>
    <col min="2802" max="2802" width="11.5703125" style="8" customWidth="1"/>
    <col min="2803" max="2803" width="9.140625" style="8"/>
    <col min="2804" max="2804" width="10.85546875" style="8" customWidth="1"/>
    <col min="2805" max="2806" width="10.28515625" style="8" customWidth="1"/>
    <col min="2807" max="2807" width="9.140625" style="8"/>
    <col min="2808" max="2808" width="9.5703125" style="8" bestFit="1" customWidth="1"/>
    <col min="2809" max="3053" width="9.140625" style="8"/>
    <col min="3054" max="3054" width="4.28515625" style="8" customWidth="1"/>
    <col min="3055" max="3055" width="63.140625" style="8" customWidth="1"/>
    <col min="3056" max="3056" width="9.85546875" style="8" customWidth="1"/>
    <col min="3057" max="3057" width="9.140625" style="8"/>
    <col min="3058" max="3058" width="11.5703125" style="8" customWidth="1"/>
    <col min="3059" max="3059" width="9.140625" style="8"/>
    <col min="3060" max="3060" width="10.85546875" style="8" customWidth="1"/>
    <col min="3061" max="3062" width="10.28515625" style="8" customWidth="1"/>
    <col min="3063" max="3063" width="9.140625" style="8"/>
    <col min="3064" max="3064" width="9.5703125" style="8" bestFit="1" customWidth="1"/>
    <col min="3065" max="3309" width="9.140625" style="8"/>
    <col min="3310" max="3310" width="4.28515625" style="8" customWidth="1"/>
    <col min="3311" max="3311" width="63.140625" style="8" customWidth="1"/>
    <col min="3312" max="3312" width="9.85546875" style="8" customWidth="1"/>
    <col min="3313" max="3313" width="9.140625" style="8"/>
    <col min="3314" max="3314" width="11.5703125" style="8" customWidth="1"/>
    <col min="3315" max="3315" width="9.140625" style="8"/>
    <col min="3316" max="3316" width="10.85546875" style="8" customWidth="1"/>
    <col min="3317" max="3318" width="10.28515625" style="8" customWidth="1"/>
    <col min="3319" max="3319" width="9.140625" style="8"/>
    <col min="3320" max="3320" width="9.5703125" style="8" bestFit="1" customWidth="1"/>
    <col min="3321" max="3565" width="9.140625" style="8"/>
    <col min="3566" max="3566" width="4.28515625" style="8" customWidth="1"/>
    <col min="3567" max="3567" width="63.140625" style="8" customWidth="1"/>
    <col min="3568" max="3568" width="9.85546875" style="8" customWidth="1"/>
    <col min="3569" max="3569" width="9.140625" style="8"/>
    <col min="3570" max="3570" width="11.5703125" style="8" customWidth="1"/>
    <col min="3571" max="3571" width="9.140625" style="8"/>
    <col min="3572" max="3572" width="10.85546875" style="8" customWidth="1"/>
    <col min="3573" max="3574" width="10.28515625" style="8" customWidth="1"/>
    <col min="3575" max="3575" width="9.140625" style="8"/>
    <col min="3576" max="3576" width="9.5703125" style="8" bestFit="1" customWidth="1"/>
    <col min="3577" max="3821" width="9.140625" style="8"/>
    <col min="3822" max="3822" width="4.28515625" style="8" customWidth="1"/>
    <col min="3823" max="3823" width="63.140625" style="8" customWidth="1"/>
    <col min="3824" max="3824" width="9.85546875" style="8" customWidth="1"/>
    <col min="3825" max="3825" width="9.140625" style="8"/>
    <col min="3826" max="3826" width="11.5703125" style="8" customWidth="1"/>
    <col min="3827" max="3827" width="9.140625" style="8"/>
    <col min="3828" max="3828" width="10.85546875" style="8" customWidth="1"/>
    <col min="3829" max="3830" width="10.28515625" style="8" customWidth="1"/>
    <col min="3831" max="3831" width="9.140625" style="8"/>
    <col min="3832" max="3832" width="9.5703125" style="8" bestFit="1" customWidth="1"/>
    <col min="3833" max="4077" width="9.140625" style="8"/>
    <col min="4078" max="4078" width="4.28515625" style="8" customWidth="1"/>
    <col min="4079" max="4079" width="63.140625" style="8" customWidth="1"/>
    <col min="4080" max="4080" width="9.85546875" style="8" customWidth="1"/>
    <col min="4081" max="4081" width="9.140625" style="8"/>
    <col min="4082" max="4082" width="11.5703125" style="8" customWidth="1"/>
    <col min="4083" max="4083" width="9.140625" style="8"/>
    <col min="4084" max="4084" width="10.85546875" style="8" customWidth="1"/>
    <col min="4085" max="4086" width="10.28515625" style="8" customWidth="1"/>
    <col min="4087" max="4087" width="9.140625" style="8"/>
    <col min="4088" max="4088" width="9.5703125" style="8" bestFit="1" customWidth="1"/>
    <col min="4089" max="4333" width="9.140625" style="8"/>
    <col min="4334" max="4334" width="4.28515625" style="8" customWidth="1"/>
    <col min="4335" max="4335" width="63.140625" style="8" customWidth="1"/>
    <col min="4336" max="4336" width="9.85546875" style="8" customWidth="1"/>
    <col min="4337" max="4337" width="9.140625" style="8"/>
    <col min="4338" max="4338" width="11.5703125" style="8" customWidth="1"/>
    <col min="4339" max="4339" width="9.140625" style="8"/>
    <col min="4340" max="4340" width="10.85546875" style="8" customWidth="1"/>
    <col min="4341" max="4342" width="10.28515625" style="8" customWidth="1"/>
    <col min="4343" max="4343" width="9.140625" style="8"/>
    <col min="4344" max="4344" width="9.5703125" style="8" bestFit="1" customWidth="1"/>
    <col min="4345" max="4589" width="9.140625" style="8"/>
    <col min="4590" max="4590" width="4.28515625" style="8" customWidth="1"/>
    <col min="4591" max="4591" width="63.140625" style="8" customWidth="1"/>
    <col min="4592" max="4592" width="9.85546875" style="8" customWidth="1"/>
    <col min="4593" max="4593" width="9.140625" style="8"/>
    <col min="4594" max="4594" width="11.5703125" style="8" customWidth="1"/>
    <col min="4595" max="4595" width="9.140625" style="8"/>
    <col min="4596" max="4596" width="10.85546875" style="8" customWidth="1"/>
    <col min="4597" max="4598" width="10.28515625" style="8" customWidth="1"/>
    <col min="4599" max="4599" width="9.140625" style="8"/>
    <col min="4600" max="4600" width="9.5703125" style="8" bestFit="1" customWidth="1"/>
    <col min="4601" max="4845" width="9.140625" style="8"/>
    <col min="4846" max="4846" width="4.28515625" style="8" customWidth="1"/>
    <col min="4847" max="4847" width="63.140625" style="8" customWidth="1"/>
    <col min="4848" max="4848" width="9.85546875" style="8" customWidth="1"/>
    <col min="4849" max="4849" width="9.140625" style="8"/>
    <col min="4850" max="4850" width="11.5703125" style="8" customWidth="1"/>
    <col min="4851" max="4851" width="9.140625" style="8"/>
    <col min="4852" max="4852" width="10.85546875" style="8" customWidth="1"/>
    <col min="4853" max="4854" width="10.28515625" style="8" customWidth="1"/>
    <col min="4855" max="4855" width="9.140625" style="8"/>
    <col min="4856" max="4856" width="9.5703125" style="8" bestFit="1" customWidth="1"/>
    <col min="4857" max="5101" width="9.140625" style="8"/>
    <col min="5102" max="5102" width="4.28515625" style="8" customWidth="1"/>
    <col min="5103" max="5103" width="63.140625" style="8" customWidth="1"/>
    <col min="5104" max="5104" width="9.85546875" style="8" customWidth="1"/>
    <col min="5105" max="5105" width="9.140625" style="8"/>
    <col min="5106" max="5106" width="11.5703125" style="8" customWidth="1"/>
    <col min="5107" max="5107" width="9.140625" style="8"/>
    <col min="5108" max="5108" width="10.85546875" style="8" customWidth="1"/>
    <col min="5109" max="5110" width="10.28515625" style="8" customWidth="1"/>
    <col min="5111" max="5111" width="9.140625" style="8"/>
    <col min="5112" max="5112" width="9.5703125" style="8" bestFit="1" customWidth="1"/>
    <col min="5113" max="5357" width="9.140625" style="8"/>
    <col min="5358" max="5358" width="4.28515625" style="8" customWidth="1"/>
    <col min="5359" max="5359" width="63.140625" style="8" customWidth="1"/>
    <col min="5360" max="5360" width="9.85546875" style="8" customWidth="1"/>
    <col min="5361" max="5361" width="9.140625" style="8"/>
    <col min="5362" max="5362" width="11.5703125" style="8" customWidth="1"/>
    <col min="5363" max="5363" width="9.140625" style="8"/>
    <col min="5364" max="5364" width="10.85546875" style="8" customWidth="1"/>
    <col min="5365" max="5366" width="10.28515625" style="8" customWidth="1"/>
    <col min="5367" max="5367" width="9.140625" style="8"/>
    <col min="5368" max="5368" width="9.5703125" style="8" bestFit="1" customWidth="1"/>
    <col min="5369" max="5613" width="9.140625" style="8"/>
    <col min="5614" max="5614" width="4.28515625" style="8" customWidth="1"/>
    <col min="5615" max="5615" width="63.140625" style="8" customWidth="1"/>
    <col min="5616" max="5616" width="9.85546875" style="8" customWidth="1"/>
    <col min="5617" max="5617" width="9.140625" style="8"/>
    <col min="5618" max="5618" width="11.5703125" style="8" customWidth="1"/>
    <col min="5619" max="5619" width="9.140625" style="8"/>
    <col min="5620" max="5620" width="10.85546875" style="8" customWidth="1"/>
    <col min="5621" max="5622" width="10.28515625" style="8" customWidth="1"/>
    <col min="5623" max="5623" width="9.140625" style="8"/>
    <col min="5624" max="5624" width="9.5703125" style="8" bestFit="1" customWidth="1"/>
    <col min="5625" max="5869" width="9.140625" style="8"/>
    <col min="5870" max="5870" width="4.28515625" style="8" customWidth="1"/>
    <col min="5871" max="5871" width="63.140625" style="8" customWidth="1"/>
    <col min="5872" max="5872" width="9.85546875" style="8" customWidth="1"/>
    <col min="5873" max="5873" width="9.140625" style="8"/>
    <col min="5874" max="5874" width="11.5703125" style="8" customWidth="1"/>
    <col min="5875" max="5875" width="9.140625" style="8"/>
    <col min="5876" max="5876" width="10.85546875" style="8" customWidth="1"/>
    <col min="5877" max="5878" width="10.28515625" style="8" customWidth="1"/>
    <col min="5879" max="5879" width="9.140625" style="8"/>
    <col min="5880" max="5880" width="9.5703125" style="8" bestFit="1" customWidth="1"/>
    <col min="5881" max="6125" width="9.140625" style="8"/>
    <col min="6126" max="6126" width="4.28515625" style="8" customWidth="1"/>
    <col min="6127" max="6127" width="63.140625" style="8" customWidth="1"/>
    <col min="6128" max="6128" width="9.85546875" style="8" customWidth="1"/>
    <col min="6129" max="6129" width="9.140625" style="8"/>
    <col min="6130" max="6130" width="11.5703125" style="8" customWidth="1"/>
    <col min="6131" max="6131" width="9.140625" style="8"/>
    <col min="6132" max="6132" width="10.85546875" style="8" customWidth="1"/>
    <col min="6133" max="6134" width="10.28515625" style="8" customWidth="1"/>
    <col min="6135" max="6135" width="9.140625" style="8"/>
    <col min="6136" max="6136" width="9.5703125" style="8" bestFit="1" customWidth="1"/>
    <col min="6137" max="6381" width="9.140625" style="8"/>
    <col min="6382" max="6382" width="4.28515625" style="8" customWidth="1"/>
    <col min="6383" max="6383" width="63.140625" style="8" customWidth="1"/>
    <col min="6384" max="6384" width="9.85546875" style="8" customWidth="1"/>
    <col min="6385" max="6385" width="9.140625" style="8"/>
    <col min="6386" max="6386" width="11.5703125" style="8" customWidth="1"/>
    <col min="6387" max="6387" width="9.140625" style="8"/>
    <col min="6388" max="6388" width="10.85546875" style="8" customWidth="1"/>
    <col min="6389" max="6390" width="10.28515625" style="8" customWidth="1"/>
    <col min="6391" max="6391" width="9.140625" style="8"/>
    <col min="6392" max="6392" width="9.5703125" style="8" bestFit="1" customWidth="1"/>
    <col min="6393" max="6637" width="9.140625" style="8"/>
    <col min="6638" max="6638" width="4.28515625" style="8" customWidth="1"/>
    <col min="6639" max="6639" width="63.140625" style="8" customWidth="1"/>
    <col min="6640" max="6640" width="9.85546875" style="8" customWidth="1"/>
    <col min="6641" max="6641" width="9.140625" style="8"/>
    <col min="6642" max="6642" width="11.5703125" style="8" customWidth="1"/>
    <col min="6643" max="6643" width="9.140625" style="8"/>
    <col min="6644" max="6644" width="10.85546875" style="8" customWidth="1"/>
    <col min="6645" max="6646" width="10.28515625" style="8" customWidth="1"/>
    <col min="6647" max="6647" width="9.140625" style="8"/>
    <col min="6648" max="6648" width="9.5703125" style="8" bestFit="1" customWidth="1"/>
    <col min="6649" max="6893" width="9.140625" style="8"/>
    <col min="6894" max="6894" width="4.28515625" style="8" customWidth="1"/>
    <col min="6895" max="6895" width="63.140625" style="8" customWidth="1"/>
    <col min="6896" max="6896" width="9.85546875" style="8" customWidth="1"/>
    <col min="6897" max="6897" width="9.140625" style="8"/>
    <col min="6898" max="6898" width="11.5703125" style="8" customWidth="1"/>
    <col min="6899" max="6899" width="9.140625" style="8"/>
    <col min="6900" max="6900" width="10.85546875" style="8" customWidth="1"/>
    <col min="6901" max="6902" width="10.28515625" style="8" customWidth="1"/>
    <col min="6903" max="6903" width="9.140625" style="8"/>
    <col min="6904" max="6904" width="9.5703125" style="8" bestFit="1" customWidth="1"/>
    <col min="6905" max="7149" width="9.140625" style="8"/>
    <col min="7150" max="7150" width="4.28515625" style="8" customWidth="1"/>
    <col min="7151" max="7151" width="63.140625" style="8" customWidth="1"/>
    <col min="7152" max="7152" width="9.85546875" style="8" customWidth="1"/>
    <col min="7153" max="7153" width="9.140625" style="8"/>
    <col min="7154" max="7154" width="11.5703125" style="8" customWidth="1"/>
    <col min="7155" max="7155" width="9.140625" style="8"/>
    <col min="7156" max="7156" width="10.85546875" style="8" customWidth="1"/>
    <col min="7157" max="7158" width="10.28515625" style="8" customWidth="1"/>
    <col min="7159" max="7159" width="9.140625" style="8"/>
    <col min="7160" max="7160" width="9.5703125" style="8" bestFit="1" customWidth="1"/>
    <col min="7161" max="7405" width="9.140625" style="8"/>
    <col min="7406" max="7406" width="4.28515625" style="8" customWidth="1"/>
    <col min="7407" max="7407" width="63.140625" style="8" customWidth="1"/>
    <col min="7408" max="7408" width="9.85546875" style="8" customWidth="1"/>
    <col min="7409" max="7409" width="9.140625" style="8"/>
    <col min="7410" max="7410" width="11.5703125" style="8" customWidth="1"/>
    <col min="7411" max="7411" width="9.140625" style="8"/>
    <col min="7412" max="7412" width="10.85546875" style="8" customWidth="1"/>
    <col min="7413" max="7414" width="10.28515625" style="8" customWidth="1"/>
    <col min="7415" max="7415" width="9.140625" style="8"/>
    <col min="7416" max="7416" width="9.5703125" style="8" bestFit="1" customWidth="1"/>
    <col min="7417" max="7661" width="9.140625" style="8"/>
    <col min="7662" max="7662" width="4.28515625" style="8" customWidth="1"/>
    <col min="7663" max="7663" width="63.140625" style="8" customWidth="1"/>
    <col min="7664" max="7664" width="9.85546875" style="8" customWidth="1"/>
    <col min="7665" max="7665" width="9.140625" style="8"/>
    <col min="7666" max="7666" width="11.5703125" style="8" customWidth="1"/>
    <col min="7667" max="7667" width="9.140625" style="8"/>
    <col min="7668" max="7668" width="10.85546875" style="8" customWidth="1"/>
    <col min="7669" max="7670" width="10.28515625" style="8" customWidth="1"/>
    <col min="7671" max="7671" width="9.140625" style="8"/>
    <col min="7672" max="7672" width="9.5703125" style="8" bestFit="1" customWidth="1"/>
    <col min="7673" max="7917" width="9.140625" style="8"/>
    <col min="7918" max="7918" width="4.28515625" style="8" customWidth="1"/>
    <col min="7919" max="7919" width="63.140625" style="8" customWidth="1"/>
    <col min="7920" max="7920" width="9.85546875" style="8" customWidth="1"/>
    <col min="7921" max="7921" width="9.140625" style="8"/>
    <col min="7922" max="7922" width="11.5703125" style="8" customWidth="1"/>
    <col min="7923" max="7923" width="9.140625" style="8"/>
    <col min="7924" max="7924" width="10.85546875" style="8" customWidth="1"/>
    <col min="7925" max="7926" width="10.28515625" style="8" customWidth="1"/>
    <col min="7927" max="7927" width="9.140625" style="8"/>
    <col min="7928" max="7928" width="9.5703125" style="8" bestFit="1" customWidth="1"/>
    <col min="7929" max="8173" width="9.140625" style="8"/>
    <col min="8174" max="8174" width="4.28515625" style="8" customWidth="1"/>
    <col min="8175" max="8175" width="63.140625" style="8" customWidth="1"/>
    <col min="8176" max="8176" width="9.85546875" style="8" customWidth="1"/>
    <col min="8177" max="8177" width="9.140625" style="8"/>
    <col min="8178" max="8178" width="11.5703125" style="8" customWidth="1"/>
    <col min="8179" max="8179" width="9.140625" style="8"/>
    <col min="8180" max="8180" width="10.85546875" style="8" customWidth="1"/>
    <col min="8181" max="8182" width="10.28515625" style="8" customWidth="1"/>
    <col min="8183" max="8183" width="9.140625" style="8"/>
    <col min="8184" max="8184" width="9.5703125" style="8" bestFit="1" customWidth="1"/>
    <col min="8185" max="8429" width="9.140625" style="8"/>
    <col min="8430" max="8430" width="4.28515625" style="8" customWidth="1"/>
    <col min="8431" max="8431" width="63.140625" style="8" customWidth="1"/>
    <col min="8432" max="8432" width="9.85546875" style="8" customWidth="1"/>
    <col min="8433" max="8433" width="9.140625" style="8"/>
    <col min="8434" max="8434" width="11.5703125" style="8" customWidth="1"/>
    <col min="8435" max="8435" width="9.140625" style="8"/>
    <col min="8436" max="8436" width="10.85546875" style="8" customWidth="1"/>
    <col min="8437" max="8438" width="10.28515625" style="8" customWidth="1"/>
    <col min="8439" max="8439" width="9.140625" style="8"/>
    <col min="8440" max="8440" width="9.5703125" style="8" bestFit="1" customWidth="1"/>
    <col min="8441" max="8685" width="9.140625" style="8"/>
    <col min="8686" max="8686" width="4.28515625" style="8" customWidth="1"/>
    <col min="8687" max="8687" width="63.140625" style="8" customWidth="1"/>
    <col min="8688" max="8688" width="9.85546875" style="8" customWidth="1"/>
    <col min="8689" max="8689" width="9.140625" style="8"/>
    <col min="8690" max="8690" width="11.5703125" style="8" customWidth="1"/>
    <col min="8691" max="8691" width="9.140625" style="8"/>
    <col min="8692" max="8692" width="10.85546875" style="8" customWidth="1"/>
    <col min="8693" max="8694" width="10.28515625" style="8" customWidth="1"/>
    <col min="8695" max="8695" width="9.140625" style="8"/>
    <col min="8696" max="8696" width="9.5703125" style="8" bestFit="1" customWidth="1"/>
    <col min="8697" max="8941" width="9.140625" style="8"/>
    <col min="8942" max="8942" width="4.28515625" style="8" customWidth="1"/>
    <col min="8943" max="8943" width="63.140625" style="8" customWidth="1"/>
    <col min="8944" max="8944" width="9.85546875" style="8" customWidth="1"/>
    <col min="8945" max="8945" width="9.140625" style="8"/>
    <col min="8946" max="8946" width="11.5703125" style="8" customWidth="1"/>
    <col min="8947" max="8947" width="9.140625" style="8"/>
    <col min="8948" max="8948" width="10.85546875" style="8" customWidth="1"/>
    <col min="8949" max="8950" width="10.28515625" style="8" customWidth="1"/>
    <col min="8951" max="8951" width="9.140625" style="8"/>
    <col min="8952" max="8952" width="9.5703125" style="8" bestFit="1" customWidth="1"/>
    <col min="8953" max="9197" width="9.140625" style="8"/>
    <col min="9198" max="9198" width="4.28515625" style="8" customWidth="1"/>
    <col min="9199" max="9199" width="63.140625" style="8" customWidth="1"/>
    <col min="9200" max="9200" width="9.85546875" style="8" customWidth="1"/>
    <col min="9201" max="9201" width="9.140625" style="8"/>
    <col min="9202" max="9202" width="11.5703125" style="8" customWidth="1"/>
    <col min="9203" max="9203" width="9.140625" style="8"/>
    <col min="9204" max="9204" width="10.85546875" style="8" customWidth="1"/>
    <col min="9205" max="9206" width="10.28515625" style="8" customWidth="1"/>
    <col min="9207" max="9207" width="9.140625" style="8"/>
    <col min="9208" max="9208" width="9.5703125" style="8" bestFit="1" customWidth="1"/>
    <col min="9209" max="9453" width="9.140625" style="8"/>
    <col min="9454" max="9454" width="4.28515625" style="8" customWidth="1"/>
    <col min="9455" max="9455" width="63.140625" style="8" customWidth="1"/>
    <col min="9456" max="9456" width="9.85546875" style="8" customWidth="1"/>
    <col min="9457" max="9457" width="9.140625" style="8"/>
    <col min="9458" max="9458" width="11.5703125" style="8" customWidth="1"/>
    <col min="9459" max="9459" width="9.140625" style="8"/>
    <col min="9460" max="9460" width="10.85546875" style="8" customWidth="1"/>
    <col min="9461" max="9462" width="10.28515625" style="8" customWidth="1"/>
    <col min="9463" max="9463" width="9.140625" style="8"/>
    <col min="9464" max="9464" width="9.5703125" style="8" bestFit="1" customWidth="1"/>
    <col min="9465" max="9709" width="9.140625" style="8"/>
    <col min="9710" max="9710" width="4.28515625" style="8" customWidth="1"/>
    <col min="9711" max="9711" width="63.140625" style="8" customWidth="1"/>
    <col min="9712" max="9712" width="9.85546875" style="8" customWidth="1"/>
    <col min="9713" max="9713" width="9.140625" style="8"/>
    <col min="9714" max="9714" width="11.5703125" style="8" customWidth="1"/>
    <col min="9715" max="9715" width="9.140625" style="8"/>
    <col min="9716" max="9716" width="10.85546875" style="8" customWidth="1"/>
    <col min="9717" max="9718" width="10.28515625" style="8" customWidth="1"/>
    <col min="9719" max="9719" width="9.140625" style="8"/>
    <col min="9720" max="9720" width="9.5703125" style="8" bestFit="1" customWidth="1"/>
    <col min="9721" max="9965" width="9.140625" style="8"/>
    <col min="9966" max="9966" width="4.28515625" style="8" customWidth="1"/>
    <col min="9967" max="9967" width="63.140625" style="8" customWidth="1"/>
    <col min="9968" max="9968" width="9.85546875" style="8" customWidth="1"/>
    <col min="9969" max="9969" width="9.140625" style="8"/>
    <col min="9970" max="9970" width="11.5703125" style="8" customWidth="1"/>
    <col min="9971" max="9971" width="9.140625" style="8"/>
    <col min="9972" max="9972" width="10.85546875" style="8" customWidth="1"/>
    <col min="9973" max="9974" width="10.28515625" style="8" customWidth="1"/>
    <col min="9975" max="9975" width="9.140625" style="8"/>
    <col min="9976" max="9976" width="9.5703125" style="8" bestFit="1" customWidth="1"/>
    <col min="9977" max="10221" width="9.140625" style="8"/>
    <col min="10222" max="10222" width="4.28515625" style="8" customWidth="1"/>
    <col min="10223" max="10223" width="63.140625" style="8" customWidth="1"/>
    <col min="10224" max="10224" width="9.85546875" style="8" customWidth="1"/>
    <col min="10225" max="10225" width="9.140625" style="8"/>
    <col min="10226" max="10226" width="11.5703125" style="8" customWidth="1"/>
    <col min="10227" max="10227" width="9.140625" style="8"/>
    <col min="10228" max="10228" width="10.85546875" style="8" customWidth="1"/>
    <col min="10229" max="10230" width="10.28515625" style="8" customWidth="1"/>
    <col min="10231" max="10231" width="9.140625" style="8"/>
    <col min="10232" max="10232" width="9.5703125" style="8" bestFit="1" customWidth="1"/>
    <col min="10233" max="10477" width="9.140625" style="8"/>
    <col min="10478" max="10478" width="4.28515625" style="8" customWidth="1"/>
    <col min="10479" max="10479" width="63.140625" style="8" customWidth="1"/>
    <col min="10480" max="10480" width="9.85546875" style="8" customWidth="1"/>
    <col min="10481" max="10481" width="9.140625" style="8"/>
    <col min="10482" max="10482" width="11.5703125" style="8" customWidth="1"/>
    <col min="10483" max="10483" width="9.140625" style="8"/>
    <col min="10484" max="10484" width="10.85546875" style="8" customWidth="1"/>
    <col min="10485" max="10486" width="10.28515625" style="8" customWidth="1"/>
    <col min="10487" max="10487" width="9.140625" style="8"/>
    <col min="10488" max="10488" width="9.5703125" style="8" bestFit="1" customWidth="1"/>
    <col min="10489" max="10733" width="9.140625" style="8"/>
    <col min="10734" max="10734" width="4.28515625" style="8" customWidth="1"/>
    <col min="10735" max="10735" width="63.140625" style="8" customWidth="1"/>
    <col min="10736" max="10736" width="9.85546875" style="8" customWidth="1"/>
    <col min="10737" max="10737" width="9.140625" style="8"/>
    <col min="10738" max="10738" width="11.5703125" style="8" customWidth="1"/>
    <col min="10739" max="10739" width="9.140625" style="8"/>
    <col min="10740" max="10740" width="10.85546875" style="8" customWidth="1"/>
    <col min="10741" max="10742" width="10.28515625" style="8" customWidth="1"/>
    <col min="10743" max="10743" width="9.140625" style="8"/>
    <col min="10744" max="10744" width="9.5703125" style="8" bestFit="1" customWidth="1"/>
    <col min="10745" max="10989" width="9.140625" style="8"/>
    <col min="10990" max="10990" width="4.28515625" style="8" customWidth="1"/>
    <col min="10991" max="10991" width="63.140625" style="8" customWidth="1"/>
    <col min="10992" max="10992" width="9.85546875" style="8" customWidth="1"/>
    <col min="10993" max="10993" width="9.140625" style="8"/>
    <col min="10994" max="10994" width="11.5703125" style="8" customWidth="1"/>
    <col min="10995" max="10995" width="9.140625" style="8"/>
    <col min="10996" max="10996" width="10.85546875" style="8" customWidth="1"/>
    <col min="10997" max="10998" width="10.28515625" style="8" customWidth="1"/>
    <col min="10999" max="10999" width="9.140625" style="8"/>
    <col min="11000" max="11000" width="9.5703125" style="8" bestFit="1" customWidth="1"/>
    <col min="11001" max="11245" width="9.140625" style="8"/>
    <col min="11246" max="11246" width="4.28515625" style="8" customWidth="1"/>
    <col min="11247" max="11247" width="63.140625" style="8" customWidth="1"/>
    <col min="11248" max="11248" width="9.85546875" style="8" customWidth="1"/>
    <col min="11249" max="11249" width="9.140625" style="8"/>
    <col min="11250" max="11250" width="11.5703125" style="8" customWidth="1"/>
    <col min="11251" max="11251" width="9.140625" style="8"/>
    <col min="11252" max="11252" width="10.85546875" style="8" customWidth="1"/>
    <col min="11253" max="11254" width="10.28515625" style="8" customWidth="1"/>
    <col min="11255" max="11255" width="9.140625" style="8"/>
    <col min="11256" max="11256" width="9.5703125" style="8" bestFit="1" customWidth="1"/>
    <col min="11257" max="11501" width="9.140625" style="8"/>
    <col min="11502" max="11502" width="4.28515625" style="8" customWidth="1"/>
    <col min="11503" max="11503" width="63.140625" style="8" customWidth="1"/>
    <col min="11504" max="11504" width="9.85546875" style="8" customWidth="1"/>
    <col min="11505" max="11505" width="9.140625" style="8"/>
    <col min="11506" max="11506" width="11.5703125" style="8" customWidth="1"/>
    <col min="11507" max="11507" width="9.140625" style="8"/>
    <col min="11508" max="11508" width="10.85546875" style="8" customWidth="1"/>
    <col min="11509" max="11510" width="10.28515625" style="8" customWidth="1"/>
    <col min="11511" max="11511" width="9.140625" style="8"/>
    <col min="11512" max="11512" width="9.5703125" style="8" bestFit="1" customWidth="1"/>
    <col min="11513" max="11757" width="9.140625" style="8"/>
    <col min="11758" max="11758" width="4.28515625" style="8" customWidth="1"/>
    <col min="11759" max="11759" width="63.140625" style="8" customWidth="1"/>
    <col min="11760" max="11760" width="9.85546875" style="8" customWidth="1"/>
    <col min="11761" max="11761" width="9.140625" style="8"/>
    <col min="11762" max="11762" width="11.5703125" style="8" customWidth="1"/>
    <col min="11763" max="11763" width="9.140625" style="8"/>
    <col min="11764" max="11764" width="10.85546875" style="8" customWidth="1"/>
    <col min="11765" max="11766" width="10.28515625" style="8" customWidth="1"/>
    <col min="11767" max="11767" width="9.140625" style="8"/>
    <col min="11768" max="11768" width="9.5703125" style="8" bestFit="1" customWidth="1"/>
    <col min="11769" max="12013" width="9.140625" style="8"/>
    <col min="12014" max="12014" width="4.28515625" style="8" customWidth="1"/>
    <col min="12015" max="12015" width="63.140625" style="8" customWidth="1"/>
    <col min="12016" max="12016" width="9.85546875" style="8" customWidth="1"/>
    <col min="12017" max="12017" width="9.140625" style="8"/>
    <col min="12018" max="12018" width="11.5703125" style="8" customWidth="1"/>
    <col min="12019" max="12019" width="9.140625" style="8"/>
    <col min="12020" max="12020" width="10.85546875" style="8" customWidth="1"/>
    <col min="12021" max="12022" width="10.28515625" style="8" customWidth="1"/>
    <col min="12023" max="12023" width="9.140625" style="8"/>
    <col min="12024" max="12024" width="9.5703125" style="8" bestFit="1" customWidth="1"/>
    <col min="12025" max="12269" width="9.140625" style="8"/>
    <col min="12270" max="12270" width="4.28515625" style="8" customWidth="1"/>
    <col min="12271" max="12271" width="63.140625" style="8" customWidth="1"/>
    <col min="12272" max="12272" width="9.85546875" style="8" customWidth="1"/>
    <col min="12273" max="12273" width="9.140625" style="8"/>
    <col min="12274" max="12274" width="11.5703125" style="8" customWidth="1"/>
    <col min="12275" max="12275" width="9.140625" style="8"/>
    <col min="12276" max="12276" width="10.85546875" style="8" customWidth="1"/>
    <col min="12277" max="12278" width="10.28515625" style="8" customWidth="1"/>
    <col min="12279" max="12279" width="9.140625" style="8"/>
    <col min="12280" max="12280" width="9.5703125" style="8" bestFit="1" customWidth="1"/>
    <col min="12281" max="12525" width="9.140625" style="8"/>
    <col min="12526" max="12526" width="4.28515625" style="8" customWidth="1"/>
    <col min="12527" max="12527" width="63.140625" style="8" customWidth="1"/>
    <col min="12528" max="12528" width="9.85546875" style="8" customWidth="1"/>
    <col min="12529" max="12529" width="9.140625" style="8"/>
    <col min="12530" max="12530" width="11.5703125" style="8" customWidth="1"/>
    <col min="12531" max="12531" width="9.140625" style="8"/>
    <col min="12532" max="12532" width="10.85546875" style="8" customWidth="1"/>
    <col min="12533" max="12534" width="10.28515625" style="8" customWidth="1"/>
    <col min="12535" max="12535" width="9.140625" style="8"/>
    <col min="12536" max="12536" width="9.5703125" style="8" bestFit="1" customWidth="1"/>
    <col min="12537" max="12781" width="9.140625" style="8"/>
    <col min="12782" max="12782" width="4.28515625" style="8" customWidth="1"/>
    <col min="12783" max="12783" width="63.140625" style="8" customWidth="1"/>
    <col min="12784" max="12784" width="9.85546875" style="8" customWidth="1"/>
    <col min="12785" max="12785" width="9.140625" style="8"/>
    <col min="12786" max="12786" width="11.5703125" style="8" customWidth="1"/>
    <col min="12787" max="12787" width="9.140625" style="8"/>
    <col min="12788" max="12788" width="10.85546875" style="8" customWidth="1"/>
    <col min="12789" max="12790" width="10.28515625" style="8" customWidth="1"/>
    <col min="12791" max="12791" width="9.140625" style="8"/>
    <col min="12792" max="12792" width="9.5703125" style="8" bestFit="1" customWidth="1"/>
    <col min="12793" max="13037" width="9.140625" style="8"/>
    <col min="13038" max="13038" width="4.28515625" style="8" customWidth="1"/>
    <col min="13039" max="13039" width="63.140625" style="8" customWidth="1"/>
    <col min="13040" max="13040" width="9.85546875" style="8" customWidth="1"/>
    <col min="13041" max="13041" width="9.140625" style="8"/>
    <col min="13042" max="13042" width="11.5703125" style="8" customWidth="1"/>
    <col min="13043" max="13043" width="9.140625" style="8"/>
    <col min="13044" max="13044" width="10.85546875" style="8" customWidth="1"/>
    <col min="13045" max="13046" width="10.28515625" style="8" customWidth="1"/>
    <col min="13047" max="13047" width="9.140625" style="8"/>
    <col min="13048" max="13048" width="9.5703125" style="8" bestFit="1" customWidth="1"/>
    <col min="13049" max="13293" width="9.140625" style="8"/>
    <col min="13294" max="13294" width="4.28515625" style="8" customWidth="1"/>
    <col min="13295" max="13295" width="63.140625" style="8" customWidth="1"/>
    <col min="13296" max="13296" width="9.85546875" style="8" customWidth="1"/>
    <col min="13297" max="13297" width="9.140625" style="8"/>
    <col min="13298" max="13298" width="11.5703125" style="8" customWidth="1"/>
    <col min="13299" max="13299" width="9.140625" style="8"/>
    <col min="13300" max="13300" width="10.85546875" style="8" customWidth="1"/>
    <col min="13301" max="13302" width="10.28515625" style="8" customWidth="1"/>
    <col min="13303" max="13303" width="9.140625" style="8"/>
    <col min="13304" max="13304" width="9.5703125" style="8" bestFit="1" customWidth="1"/>
    <col min="13305" max="13549" width="9.140625" style="8"/>
    <col min="13550" max="13550" width="4.28515625" style="8" customWidth="1"/>
    <col min="13551" max="13551" width="63.140625" style="8" customWidth="1"/>
    <col min="13552" max="13552" width="9.85546875" style="8" customWidth="1"/>
    <col min="13553" max="13553" width="9.140625" style="8"/>
    <col min="13554" max="13554" width="11.5703125" style="8" customWidth="1"/>
    <col min="13555" max="13555" width="9.140625" style="8"/>
    <col min="13556" max="13556" width="10.85546875" style="8" customWidth="1"/>
    <col min="13557" max="13558" width="10.28515625" style="8" customWidth="1"/>
    <col min="13559" max="13559" width="9.140625" style="8"/>
    <col min="13560" max="13560" width="9.5703125" style="8" bestFit="1" customWidth="1"/>
    <col min="13561" max="13805" width="9.140625" style="8"/>
    <col min="13806" max="13806" width="4.28515625" style="8" customWidth="1"/>
    <col min="13807" max="13807" width="63.140625" style="8" customWidth="1"/>
    <col min="13808" max="13808" width="9.85546875" style="8" customWidth="1"/>
    <col min="13809" max="13809" width="9.140625" style="8"/>
    <col min="13810" max="13810" width="11.5703125" style="8" customWidth="1"/>
    <col min="13811" max="13811" width="9.140625" style="8"/>
    <col min="13812" max="13812" width="10.85546875" style="8" customWidth="1"/>
    <col min="13813" max="13814" width="10.28515625" style="8" customWidth="1"/>
    <col min="13815" max="13815" width="9.140625" style="8"/>
    <col min="13816" max="13816" width="9.5703125" style="8" bestFit="1" customWidth="1"/>
    <col min="13817" max="14061" width="9.140625" style="8"/>
    <col min="14062" max="14062" width="4.28515625" style="8" customWidth="1"/>
    <col min="14063" max="14063" width="63.140625" style="8" customWidth="1"/>
    <col min="14064" max="14064" width="9.85546875" style="8" customWidth="1"/>
    <col min="14065" max="14065" width="9.140625" style="8"/>
    <col min="14066" max="14066" width="11.5703125" style="8" customWidth="1"/>
    <col min="14067" max="14067" width="9.140625" style="8"/>
    <col min="14068" max="14068" width="10.85546875" style="8" customWidth="1"/>
    <col min="14069" max="14070" width="10.28515625" style="8" customWidth="1"/>
    <col min="14071" max="14071" width="9.140625" style="8"/>
    <col min="14072" max="14072" width="9.5703125" style="8" bestFit="1" customWidth="1"/>
    <col min="14073" max="14317" width="9.140625" style="8"/>
    <col min="14318" max="14318" width="4.28515625" style="8" customWidth="1"/>
    <col min="14319" max="14319" width="63.140625" style="8" customWidth="1"/>
    <col min="14320" max="14320" width="9.85546875" style="8" customWidth="1"/>
    <col min="14321" max="14321" width="9.140625" style="8"/>
    <col min="14322" max="14322" width="11.5703125" style="8" customWidth="1"/>
    <col min="14323" max="14323" width="9.140625" style="8"/>
    <col min="14324" max="14324" width="10.85546875" style="8" customWidth="1"/>
    <col min="14325" max="14326" width="10.28515625" style="8" customWidth="1"/>
    <col min="14327" max="14327" width="9.140625" style="8"/>
    <col min="14328" max="14328" width="9.5703125" style="8" bestFit="1" customWidth="1"/>
    <col min="14329" max="14573" width="9.140625" style="8"/>
    <col min="14574" max="14574" width="4.28515625" style="8" customWidth="1"/>
    <col min="14575" max="14575" width="63.140625" style="8" customWidth="1"/>
    <col min="14576" max="14576" width="9.85546875" style="8" customWidth="1"/>
    <col min="14577" max="14577" width="9.140625" style="8"/>
    <col min="14578" max="14578" width="11.5703125" style="8" customWidth="1"/>
    <col min="14579" max="14579" width="9.140625" style="8"/>
    <col min="14580" max="14580" width="10.85546875" style="8" customWidth="1"/>
    <col min="14581" max="14582" width="10.28515625" style="8" customWidth="1"/>
    <col min="14583" max="14583" width="9.140625" style="8"/>
    <col min="14584" max="14584" width="9.5703125" style="8" bestFit="1" customWidth="1"/>
    <col min="14585" max="14829" width="9.140625" style="8"/>
    <col min="14830" max="14830" width="4.28515625" style="8" customWidth="1"/>
    <col min="14831" max="14831" width="63.140625" style="8" customWidth="1"/>
    <col min="14832" max="14832" width="9.85546875" style="8" customWidth="1"/>
    <col min="14833" max="14833" width="9.140625" style="8"/>
    <col min="14834" max="14834" width="11.5703125" style="8" customWidth="1"/>
    <col min="14835" max="14835" width="9.140625" style="8"/>
    <col min="14836" max="14836" width="10.85546875" style="8" customWidth="1"/>
    <col min="14837" max="14838" width="10.28515625" style="8" customWidth="1"/>
    <col min="14839" max="14839" width="9.140625" style="8"/>
    <col min="14840" max="14840" width="9.5703125" style="8" bestFit="1" customWidth="1"/>
    <col min="14841" max="15085" width="9.140625" style="8"/>
    <col min="15086" max="15086" width="4.28515625" style="8" customWidth="1"/>
    <col min="15087" max="15087" width="63.140625" style="8" customWidth="1"/>
    <col min="15088" max="15088" width="9.85546875" style="8" customWidth="1"/>
    <col min="15089" max="15089" width="9.140625" style="8"/>
    <col min="15090" max="15090" width="11.5703125" style="8" customWidth="1"/>
    <col min="15091" max="15091" width="9.140625" style="8"/>
    <col min="15092" max="15092" width="10.85546875" style="8" customWidth="1"/>
    <col min="15093" max="15094" width="10.28515625" style="8" customWidth="1"/>
    <col min="15095" max="15095" width="9.140625" style="8"/>
    <col min="15096" max="15096" width="9.5703125" style="8" bestFit="1" customWidth="1"/>
    <col min="15097" max="15341" width="9.140625" style="8"/>
    <col min="15342" max="15342" width="4.28515625" style="8" customWidth="1"/>
    <col min="15343" max="15343" width="63.140625" style="8" customWidth="1"/>
    <col min="15344" max="15344" width="9.85546875" style="8" customWidth="1"/>
    <col min="15345" max="15345" width="9.140625" style="8"/>
    <col min="15346" max="15346" width="11.5703125" style="8" customWidth="1"/>
    <col min="15347" max="15347" width="9.140625" style="8"/>
    <col min="15348" max="15348" width="10.85546875" style="8" customWidth="1"/>
    <col min="15349" max="15350" width="10.28515625" style="8" customWidth="1"/>
    <col min="15351" max="15351" width="9.140625" style="8"/>
    <col min="15352" max="15352" width="9.5703125" style="8" bestFit="1" customWidth="1"/>
    <col min="15353" max="15597" width="9.140625" style="8"/>
    <col min="15598" max="15598" width="4.28515625" style="8" customWidth="1"/>
    <col min="15599" max="15599" width="63.140625" style="8" customWidth="1"/>
    <col min="15600" max="15600" width="9.85546875" style="8" customWidth="1"/>
    <col min="15601" max="15601" width="9.140625" style="8"/>
    <col min="15602" max="15602" width="11.5703125" style="8" customWidth="1"/>
    <col min="15603" max="15603" width="9.140625" style="8"/>
    <col min="15604" max="15604" width="10.85546875" style="8" customWidth="1"/>
    <col min="15605" max="15606" width="10.28515625" style="8" customWidth="1"/>
    <col min="15607" max="15607" width="9.140625" style="8"/>
    <col min="15608" max="15608" width="9.5703125" style="8" bestFit="1" customWidth="1"/>
    <col min="15609" max="15853" width="9.140625" style="8"/>
    <col min="15854" max="15854" width="4.28515625" style="8" customWidth="1"/>
    <col min="15855" max="15855" width="63.140625" style="8" customWidth="1"/>
    <col min="15856" max="15856" width="9.85546875" style="8" customWidth="1"/>
    <col min="15857" max="15857" width="9.140625" style="8"/>
    <col min="15858" max="15858" width="11.5703125" style="8" customWidth="1"/>
    <col min="15859" max="15859" width="9.140625" style="8"/>
    <col min="15860" max="15860" width="10.85546875" style="8" customWidth="1"/>
    <col min="15861" max="15862" width="10.28515625" style="8" customWidth="1"/>
    <col min="15863" max="15863" width="9.140625" style="8"/>
    <col min="15864" max="15864" width="9.5703125" style="8" bestFit="1" customWidth="1"/>
    <col min="15865" max="16109" width="9.140625" style="8"/>
    <col min="16110" max="16110" width="4.28515625" style="8" customWidth="1"/>
    <col min="16111" max="16111" width="63.140625" style="8" customWidth="1"/>
    <col min="16112" max="16112" width="9.85546875" style="8" customWidth="1"/>
    <col min="16113" max="16113" width="9.140625" style="8"/>
    <col min="16114" max="16114" width="11.5703125" style="8" customWidth="1"/>
    <col min="16115" max="16115" width="9.140625" style="8"/>
    <col min="16116" max="16116" width="10.85546875" style="8" customWidth="1"/>
    <col min="16117" max="16118" width="10.28515625" style="8" customWidth="1"/>
    <col min="16119" max="16119" width="9.140625" style="8"/>
    <col min="16120" max="16120" width="9.5703125" style="8" bestFit="1" customWidth="1"/>
    <col min="16121" max="16384" width="9.140625" style="8"/>
  </cols>
  <sheetData>
    <row r="1" spans="1:232" s="5" customFormat="1" ht="57" customHeight="1" x14ac:dyDescent="0.25">
      <c r="A1" s="52"/>
      <c r="B1" s="53" t="s">
        <v>148</v>
      </c>
      <c r="D1" s="73"/>
      <c r="E1" s="73"/>
      <c r="F1" s="28"/>
    </row>
    <row r="2" spans="1:232" s="5" customFormat="1" ht="15.75" thickBot="1" x14ac:dyDescent="0.3">
      <c r="A2" s="52"/>
      <c r="B2" s="52"/>
      <c r="E2" s="28"/>
      <c r="F2" s="28"/>
    </row>
    <row r="3" spans="1:232" s="5" customFormat="1" ht="14.25" x14ac:dyDescent="0.2">
      <c r="A3" s="1" t="s">
        <v>2</v>
      </c>
      <c r="B3" s="54"/>
      <c r="C3" s="3" t="s">
        <v>4</v>
      </c>
      <c r="D3" s="29" t="s">
        <v>6</v>
      </c>
      <c r="E3" s="24" t="s">
        <v>8</v>
      </c>
      <c r="F3" s="55" t="s">
        <v>9</v>
      </c>
    </row>
    <row r="4" spans="1:232" s="5" customFormat="1" ht="14.25" x14ac:dyDescent="0.2">
      <c r="A4" s="56" t="s">
        <v>0</v>
      </c>
      <c r="B4" s="57" t="s">
        <v>3</v>
      </c>
      <c r="C4" s="58" t="s">
        <v>5</v>
      </c>
      <c r="D4" s="30"/>
      <c r="E4" s="31" t="s">
        <v>7</v>
      </c>
      <c r="F4" s="59" t="s">
        <v>10</v>
      </c>
    </row>
    <row r="5" spans="1:232" s="5" customFormat="1" thickBot="1" x14ac:dyDescent="0.25">
      <c r="A5" s="60"/>
      <c r="B5" s="61"/>
      <c r="C5" s="62"/>
      <c r="D5" s="32"/>
      <c r="E5" s="33"/>
      <c r="F5" s="33"/>
    </row>
    <row r="6" spans="1:232" s="5" customFormat="1" ht="14.25" customHeight="1" x14ac:dyDescent="0.2">
      <c r="A6" s="1"/>
      <c r="B6" s="2" t="s">
        <v>13</v>
      </c>
      <c r="C6" s="3"/>
      <c r="D6" s="4"/>
      <c r="E6" s="24"/>
      <c r="F6" s="25"/>
    </row>
    <row r="7" spans="1:232" s="14" customFormat="1" ht="14.25" x14ac:dyDescent="0.25">
      <c r="A7" s="13">
        <v>1</v>
      </c>
      <c r="B7" s="21" t="s">
        <v>16</v>
      </c>
      <c r="C7" s="10" t="s">
        <v>15</v>
      </c>
      <c r="D7" s="10">
        <v>1</v>
      </c>
      <c r="E7" s="26">
        <v>700</v>
      </c>
      <c r="F7" s="26">
        <f t="shared" ref="F7:F38" si="0">D7*E7</f>
        <v>700</v>
      </c>
    </row>
    <row r="8" spans="1:232" s="14" customFormat="1" ht="14.25" x14ac:dyDescent="0.25">
      <c r="A8" s="13"/>
      <c r="B8" s="17" t="s">
        <v>17</v>
      </c>
      <c r="C8" s="10" t="s">
        <v>18</v>
      </c>
      <c r="D8" s="10">
        <v>1</v>
      </c>
      <c r="E8" s="26">
        <v>0</v>
      </c>
      <c r="F8" s="26">
        <f t="shared" si="0"/>
        <v>0</v>
      </c>
    </row>
    <row r="9" spans="1:232" s="14" customFormat="1" ht="14.25" x14ac:dyDescent="0.25">
      <c r="A9" s="13"/>
      <c r="B9" s="17" t="s">
        <v>19</v>
      </c>
      <c r="C9" s="10" t="s">
        <v>20</v>
      </c>
      <c r="D9" s="10">
        <f>1.5*3*7</f>
        <v>31.5</v>
      </c>
      <c r="E9" s="26">
        <v>0</v>
      </c>
      <c r="F9" s="26">
        <f t="shared" si="0"/>
        <v>0</v>
      </c>
    </row>
    <row r="10" spans="1:232" s="14" customFormat="1" ht="14.25" x14ac:dyDescent="0.25">
      <c r="A10" s="13"/>
      <c r="B10" s="17" t="s">
        <v>21</v>
      </c>
      <c r="C10" s="10" t="s">
        <v>12</v>
      </c>
      <c r="D10" s="10">
        <v>50</v>
      </c>
      <c r="E10" s="26">
        <v>0</v>
      </c>
      <c r="F10" s="26">
        <f t="shared" si="0"/>
        <v>0</v>
      </c>
    </row>
    <row r="11" spans="1:232" s="14" customFormat="1" ht="29.25" customHeight="1" x14ac:dyDescent="0.25">
      <c r="A11" s="13">
        <v>2</v>
      </c>
      <c r="B11" s="16" t="s">
        <v>22</v>
      </c>
      <c r="C11" s="10" t="s">
        <v>12</v>
      </c>
      <c r="D11" s="10">
        <v>1</v>
      </c>
      <c r="E11" s="26">
        <v>300</v>
      </c>
      <c r="F11" s="26">
        <f t="shared" si="0"/>
        <v>300</v>
      </c>
    </row>
    <row r="12" spans="1:232" s="14" customFormat="1" ht="29.25" customHeight="1" x14ac:dyDescent="0.25">
      <c r="A12" s="13"/>
      <c r="B12" s="17" t="s">
        <v>24</v>
      </c>
      <c r="C12" s="10" t="s">
        <v>12</v>
      </c>
      <c r="D12" s="10">
        <v>1</v>
      </c>
      <c r="E12" s="26">
        <v>0</v>
      </c>
      <c r="F12" s="26">
        <f t="shared" si="0"/>
        <v>0</v>
      </c>
    </row>
    <row r="13" spans="1:232" s="22" customFormat="1" ht="14.25" x14ac:dyDescent="0.25">
      <c r="A13" s="13">
        <v>3</v>
      </c>
      <c r="B13" s="21" t="s">
        <v>23</v>
      </c>
      <c r="C13" s="10" t="s">
        <v>1</v>
      </c>
      <c r="D13" s="43">
        <v>10.16</v>
      </c>
      <c r="E13" s="26">
        <v>100</v>
      </c>
      <c r="F13" s="26">
        <f t="shared" si="0"/>
        <v>1016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</row>
    <row r="14" spans="1:232" s="44" customFormat="1" ht="14.25" x14ac:dyDescent="0.25">
      <c r="A14" s="13">
        <v>4</v>
      </c>
      <c r="B14" s="21" t="s">
        <v>27</v>
      </c>
      <c r="C14" s="10" t="s">
        <v>1</v>
      </c>
      <c r="D14" s="43">
        <f>D13</f>
        <v>10.16</v>
      </c>
      <c r="E14" s="26">
        <v>200</v>
      </c>
      <c r="F14" s="26">
        <f t="shared" si="0"/>
        <v>2032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</row>
    <row r="15" spans="1:232" s="44" customFormat="1" ht="14.25" x14ac:dyDescent="0.25">
      <c r="A15" s="13"/>
      <c r="B15" s="45" t="s">
        <v>25</v>
      </c>
      <c r="C15" s="10" t="s">
        <v>12</v>
      </c>
      <c r="D15" s="43">
        <v>1</v>
      </c>
      <c r="E15" s="26">
        <v>0</v>
      </c>
      <c r="F15" s="26">
        <f t="shared" si="0"/>
        <v>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</row>
    <row r="16" spans="1:232" s="23" customFormat="1" ht="15.75" customHeight="1" x14ac:dyDescent="0.25">
      <c r="A16" s="13"/>
      <c r="B16" s="17" t="s">
        <v>26</v>
      </c>
      <c r="C16" s="20" t="s">
        <v>12</v>
      </c>
      <c r="D16" s="30">
        <v>1</v>
      </c>
      <c r="E16" s="26">
        <v>0</v>
      </c>
      <c r="F16" s="26">
        <f t="shared" si="0"/>
        <v>0</v>
      </c>
      <c r="G16" s="14"/>
    </row>
    <row r="17" spans="1:232" s="23" customFormat="1" ht="14.25" customHeight="1" x14ac:dyDescent="0.25">
      <c r="A17" s="13">
        <v>5</v>
      </c>
      <c r="B17" s="63" t="s">
        <v>90</v>
      </c>
      <c r="C17" s="20" t="s">
        <v>1</v>
      </c>
      <c r="D17" s="30">
        <v>11.43</v>
      </c>
      <c r="E17" s="26">
        <v>130</v>
      </c>
      <c r="F17" s="26">
        <f t="shared" si="0"/>
        <v>1485.8999999999999</v>
      </c>
      <c r="G17" s="14"/>
    </row>
    <row r="18" spans="1:232" s="23" customFormat="1" ht="15.75" customHeight="1" x14ac:dyDescent="0.25">
      <c r="A18" s="13">
        <v>6</v>
      </c>
      <c r="B18" s="16" t="s">
        <v>32</v>
      </c>
      <c r="C18" s="20" t="s">
        <v>20</v>
      </c>
      <c r="D18" s="30">
        <f>(1.7+1.33)*2-0.98*2+1</f>
        <v>5.1000000000000005</v>
      </c>
      <c r="E18" s="26">
        <v>20</v>
      </c>
      <c r="F18" s="26">
        <f t="shared" si="0"/>
        <v>102.00000000000001</v>
      </c>
      <c r="G18" s="14"/>
    </row>
    <row r="19" spans="1:232" s="23" customFormat="1" ht="15.75" customHeight="1" x14ac:dyDescent="0.25">
      <c r="A19" s="13">
        <v>7</v>
      </c>
      <c r="B19" s="16" t="s">
        <v>30</v>
      </c>
      <c r="C19" s="20" t="s">
        <v>12</v>
      </c>
      <c r="D19" s="30">
        <v>2</v>
      </c>
      <c r="E19" s="26">
        <v>500</v>
      </c>
      <c r="F19" s="26">
        <f t="shared" si="0"/>
        <v>1000</v>
      </c>
      <c r="G19" s="14"/>
    </row>
    <row r="20" spans="1:232" s="14" customFormat="1" ht="14.25" x14ac:dyDescent="0.25">
      <c r="A20" s="13">
        <v>8</v>
      </c>
      <c r="B20" s="21" t="s">
        <v>28</v>
      </c>
      <c r="C20" s="10" t="s">
        <v>1</v>
      </c>
      <c r="D20" s="42">
        <f>1.7*1.33+0.88*0.16+0.98*0.38</f>
        <v>2.7742</v>
      </c>
      <c r="E20" s="26">
        <v>130</v>
      </c>
      <c r="F20" s="26">
        <f t="shared" si="0"/>
        <v>360.64600000000002</v>
      </c>
    </row>
    <row r="21" spans="1:232" s="14" customFormat="1" ht="14.25" x14ac:dyDescent="0.25">
      <c r="A21" s="13">
        <v>9</v>
      </c>
      <c r="B21" s="21" t="s">
        <v>29</v>
      </c>
      <c r="C21" s="10" t="s">
        <v>1</v>
      </c>
      <c r="D21" s="42">
        <f>D20</f>
        <v>2.7742</v>
      </c>
      <c r="E21" s="26">
        <v>180</v>
      </c>
      <c r="F21" s="26">
        <f t="shared" si="0"/>
        <v>499.35599999999999</v>
      </c>
    </row>
    <row r="22" spans="1:232" s="14" customFormat="1" ht="14.25" x14ac:dyDescent="0.25">
      <c r="A22" s="13">
        <v>10</v>
      </c>
      <c r="B22" s="16" t="s">
        <v>91</v>
      </c>
      <c r="C22" s="10" t="s">
        <v>37</v>
      </c>
      <c r="D22" s="42">
        <v>3.75</v>
      </c>
      <c r="E22" s="26">
        <v>1000</v>
      </c>
      <c r="F22" s="26">
        <f t="shared" si="0"/>
        <v>3750</v>
      </c>
    </row>
    <row r="23" spans="1:232" s="14" customFormat="1" ht="17.25" customHeight="1" x14ac:dyDescent="0.25">
      <c r="A23" s="13">
        <v>11</v>
      </c>
      <c r="B23" s="16" t="s">
        <v>33</v>
      </c>
      <c r="C23" s="10" t="s">
        <v>1</v>
      </c>
      <c r="D23" s="42">
        <f>3.14*0.9*0.9/2+2*3.14*0.9/2*0.15</f>
        <v>1.6956</v>
      </c>
      <c r="E23" s="26">
        <v>130</v>
      </c>
      <c r="F23" s="26">
        <f t="shared" si="0"/>
        <v>220.428</v>
      </c>
    </row>
    <row r="24" spans="1:232" s="44" customFormat="1" ht="14.25" x14ac:dyDescent="0.25">
      <c r="A24" s="13">
        <v>12</v>
      </c>
      <c r="B24" s="21" t="s">
        <v>31</v>
      </c>
      <c r="C24" s="10" t="s">
        <v>1</v>
      </c>
      <c r="D24" s="43">
        <f>D23</f>
        <v>1.6956</v>
      </c>
      <c r="E24" s="26">
        <v>200</v>
      </c>
      <c r="F24" s="26">
        <f t="shared" si="0"/>
        <v>339.12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</row>
    <row r="25" spans="1:232" s="14" customFormat="1" ht="14.25" x14ac:dyDescent="0.25">
      <c r="A25" s="13">
        <v>14</v>
      </c>
      <c r="B25" s="16" t="s">
        <v>44</v>
      </c>
      <c r="C25" s="10" t="s">
        <v>1</v>
      </c>
      <c r="D25" s="10">
        <f>1.7*3-0.9*2.17</f>
        <v>3.1469999999999994</v>
      </c>
      <c r="E25" s="26">
        <v>400</v>
      </c>
      <c r="F25" s="26">
        <f t="shared" si="0"/>
        <v>1258.7999999999997</v>
      </c>
    </row>
    <row r="26" spans="1:232" x14ac:dyDescent="0.25">
      <c r="A26" s="6"/>
      <c r="B26" s="9" t="s">
        <v>14</v>
      </c>
      <c r="C26" s="7"/>
      <c r="D26" s="7"/>
      <c r="E26" s="31">
        <v>0</v>
      </c>
      <c r="F26" s="26">
        <f t="shared" si="0"/>
        <v>0</v>
      </c>
    </row>
    <row r="27" spans="1:232" ht="14.25" x14ac:dyDescent="0.2">
      <c r="A27" s="6">
        <v>1</v>
      </c>
      <c r="B27" s="64" t="s">
        <v>93</v>
      </c>
      <c r="C27" s="7" t="s">
        <v>37</v>
      </c>
      <c r="D27" s="7">
        <v>0.65</v>
      </c>
      <c r="E27" s="31">
        <v>3500</v>
      </c>
      <c r="F27" s="26">
        <f t="shared" si="0"/>
        <v>2275</v>
      </c>
    </row>
    <row r="28" spans="1:232" ht="14.25" x14ac:dyDescent="0.2">
      <c r="A28" s="6"/>
      <c r="B28" s="17" t="s">
        <v>38</v>
      </c>
      <c r="C28" s="12" t="s">
        <v>36</v>
      </c>
      <c r="D28" s="34">
        <f>D27*350</f>
        <v>227.5</v>
      </c>
      <c r="E28" s="31">
        <v>0</v>
      </c>
      <c r="F28" s="26">
        <f t="shared" si="0"/>
        <v>0</v>
      </c>
    </row>
    <row r="29" spans="1:232" ht="14.25" x14ac:dyDescent="0.2">
      <c r="A29" s="6"/>
      <c r="B29" s="17" t="s">
        <v>34</v>
      </c>
      <c r="C29" s="12" t="s">
        <v>36</v>
      </c>
      <c r="D29" s="34">
        <f>D27*800</f>
        <v>520</v>
      </c>
      <c r="E29" s="31">
        <v>0</v>
      </c>
      <c r="F29" s="26">
        <f t="shared" si="0"/>
        <v>0</v>
      </c>
    </row>
    <row r="30" spans="1:232" ht="14.25" x14ac:dyDescent="0.2">
      <c r="A30" s="6"/>
      <c r="B30" s="17" t="s">
        <v>35</v>
      </c>
      <c r="C30" s="12" t="s">
        <v>36</v>
      </c>
      <c r="D30" s="34">
        <f>D27*1080</f>
        <v>702</v>
      </c>
      <c r="E30" s="31">
        <v>0</v>
      </c>
      <c r="F30" s="26">
        <f t="shared" si="0"/>
        <v>0</v>
      </c>
    </row>
    <row r="31" spans="1:232" ht="14.25" x14ac:dyDescent="0.2">
      <c r="A31" s="6"/>
      <c r="B31" s="17" t="s">
        <v>41</v>
      </c>
      <c r="C31" s="12" t="s">
        <v>37</v>
      </c>
      <c r="D31" s="42">
        <v>7.0000000000000007E-2</v>
      </c>
      <c r="E31" s="31">
        <v>0</v>
      </c>
      <c r="F31" s="26">
        <f t="shared" si="0"/>
        <v>0</v>
      </c>
    </row>
    <row r="32" spans="1:232" ht="14.25" x14ac:dyDescent="0.2">
      <c r="A32" s="6"/>
      <c r="B32" s="65" t="s">
        <v>92</v>
      </c>
      <c r="C32" s="7" t="s">
        <v>36</v>
      </c>
      <c r="D32" s="7">
        <v>2.5</v>
      </c>
      <c r="E32" s="31">
        <v>0</v>
      </c>
      <c r="F32" s="26">
        <f t="shared" si="0"/>
        <v>0</v>
      </c>
    </row>
    <row r="33" spans="1:6" s="14" customFormat="1" ht="14.25" x14ac:dyDescent="0.25">
      <c r="A33" s="13">
        <v>2</v>
      </c>
      <c r="B33" s="16" t="s">
        <v>101</v>
      </c>
      <c r="C33" s="10" t="s">
        <v>37</v>
      </c>
      <c r="D33" s="42">
        <v>1.65</v>
      </c>
      <c r="E33" s="26">
        <v>4500</v>
      </c>
      <c r="F33" s="26">
        <f t="shared" si="0"/>
        <v>7425</v>
      </c>
    </row>
    <row r="34" spans="1:6" ht="14.25" x14ac:dyDescent="0.2">
      <c r="A34" s="6"/>
      <c r="B34" s="11" t="s">
        <v>38</v>
      </c>
      <c r="C34" s="12" t="s">
        <v>36</v>
      </c>
      <c r="D34" s="34">
        <f>D33*300</f>
        <v>495</v>
      </c>
      <c r="E34" s="31">
        <v>0</v>
      </c>
      <c r="F34" s="26">
        <f t="shared" si="0"/>
        <v>0</v>
      </c>
    </row>
    <row r="35" spans="1:6" ht="14.25" x14ac:dyDescent="0.2">
      <c r="A35" s="6"/>
      <c r="B35" s="11" t="s">
        <v>34</v>
      </c>
      <c r="C35" s="12" t="s">
        <v>36</v>
      </c>
      <c r="D35" s="34">
        <f>D33*800</f>
        <v>1320</v>
      </c>
      <c r="E35" s="31">
        <v>0</v>
      </c>
      <c r="F35" s="26">
        <f t="shared" si="0"/>
        <v>0</v>
      </c>
    </row>
    <row r="36" spans="1:6" ht="14.25" x14ac:dyDescent="0.2">
      <c r="A36" s="6"/>
      <c r="B36" s="11" t="s">
        <v>35</v>
      </c>
      <c r="C36" s="12" t="s">
        <v>36</v>
      </c>
      <c r="D36" s="34">
        <f>D33*1080</f>
        <v>1782</v>
      </c>
      <c r="E36" s="31">
        <v>0</v>
      </c>
      <c r="F36" s="26">
        <f t="shared" si="0"/>
        <v>0</v>
      </c>
    </row>
    <row r="37" spans="1:6" ht="14.25" x14ac:dyDescent="0.2">
      <c r="A37" s="6"/>
      <c r="B37" s="17" t="s">
        <v>94</v>
      </c>
      <c r="C37" s="12" t="s">
        <v>36</v>
      </c>
      <c r="D37" s="34">
        <f>89.24*1.1</f>
        <v>98.164000000000001</v>
      </c>
      <c r="E37" s="31">
        <v>0</v>
      </c>
      <c r="F37" s="26">
        <f t="shared" si="0"/>
        <v>0</v>
      </c>
    </row>
    <row r="38" spans="1:6" ht="14.25" x14ac:dyDescent="0.2">
      <c r="A38" s="6"/>
      <c r="B38" s="17" t="s">
        <v>95</v>
      </c>
      <c r="C38" s="12" t="s">
        <v>36</v>
      </c>
      <c r="D38" s="34">
        <f>11*1.1</f>
        <v>12.100000000000001</v>
      </c>
      <c r="E38" s="31">
        <v>0</v>
      </c>
      <c r="F38" s="26">
        <f t="shared" si="0"/>
        <v>0</v>
      </c>
    </row>
    <row r="39" spans="1:6" ht="14.25" x14ac:dyDescent="0.2">
      <c r="A39" s="6"/>
      <c r="B39" s="11" t="s">
        <v>40</v>
      </c>
      <c r="C39" s="12" t="s">
        <v>1</v>
      </c>
      <c r="D39" s="34">
        <v>0</v>
      </c>
      <c r="E39" s="31">
        <v>0</v>
      </c>
      <c r="F39" s="26">
        <f t="shared" ref="F39:F70" si="1">D39*E39</f>
        <v>0</v>
      </c>
    </row>
    <row r="40" spans="1:6" ht="14.25" x14ac:dyDescent="0.2">
      <c r="A40" s="6"/>
      <c r="B40" s="11" t="s">
        <v>41</v>
      </c>
      <c r="C40" s="12" t="s">
        <v>20</v>
      </c>
      <c r="D40" s="42">
        <f>(1.5*2+3.23)*2</f>
        <v>12.46</v>
      </c>
      <c r="E40" s="31">
        <v>0</v>
      </c>
      <c r="F40" s="26">
        <f t="shared" si="1"/>
        <v>0</v>
      </c>
    </row>
    <row r="41" spans="1:6" ht="14.25" x14ac:dyDescent="0.2">
      <c r="A41" s="6"/>
      <c r="B41" s="11" t="s">
        <v>42</v>
      </c>
      <c r="C41" s="12" t="s">
        <v>12</v>
      </c>
      <c r="D41" s="42">
        <v>100</v>
      </c>
      <c r="E41" s="31">
        <v>0</v>
      </c>
      <c r="F41" s="26">
        <f t="shared" si="1"/>
        <v>0</v>
      </c>
    </row>
    <row r="42" spans="1:6" ht="14.25" x14ac:dyDescent="0.2">
      <c r="A42" s="6">
        <v>3</v>
      </c>
      <c r="B42" s="16" t="s">
        <v>97</v>
      </c>
      <c r="C42" s="12" t="s">
        <v>12</v>
      </c>
      <c r="D42" s="42">
        <v>3</v>
      </c>
      <c r="E42" s="31">
        <v>500</v>
      </c>
      <c r="F42" s="26">
        <f t="shared" si="1"/>
        <v>1500</v>
      </c>
    </row>
    <row r="43" spans="1:6" ht="14.25" x14ac:dyDescent="0.2">
      <c r="A43" s="6"/>
      <c r="B43" s="17" t="s">
        <v>94</v>
      </c>
      <c r="C43" s="12" t="s">
        <v>36</v>
      </c>
      <c r="D43" s="34">
        <v>1.1000000000000001</v>
      </c>
      <c r="E43" s="31">
        <v>0</v>
      </c>
      <c r="F43" s="26">
        <f t="shared" si="1"/>
        <v>0</v>
      </c>
    </row>
    <row r="44" spans="1:6" ht="14.25" x14ac:dyDescent="0.2">
      <c r="A44" s="6"/>
      <c r="B44" s="17" t="s">
        <v>99</v>
      </c>
      <c r="C44" s="12" t="s">
        <v>36</v>
      </c>
      <c r="D44" s="42">
        <v>0.6</v>
      </c>
      <c r="E44" s="31">
        <v>0</v>
      </c>
      <c r="F44" s="26">
        <f t="shared" si="1"/>
        <v>0</v>
      </c>
    </row>
    <row r="45" spans="1:6" ht="14.25" x14ac:dyDescent="0.2">
      <c r="A45" s="6"/>
      <c r="B45" s="17" t="s">
        <v>98</v>
      </c>
      <c r="C45" s="12" t="s">
        <v>36</v>
      </c>
      <c r="D45" s="42">
        <f>1.13*3</f>
        <v>3.3899999999999997</v>
      </c>
      <c r="E45" s="31">
        <v>0</v>
      </c>
      <c r="F45" s="26">
        <f t="shared" si="1"/>
        <v>0</v>
      </c>
    </row>
    <row r="46" spans="1:6" ht="14.25" x14ac:dyDescent="0.2">
      <c r="A46" s="6"/>
      <c r="B46" s="17" t="s">
        <v>96</v>
      </c>
      <c r="C46" s="12" t="s">
        <v>36</v>
      </c>
      <c r="D46" s="42">
        <v>1</v>
      </c>
      <c r="E46" s="31">
        <v>0</v>
      </c>
      <c r="F46" s="26">
        <f t="shared" si="1"/>
        <v>0</v>
      </c>
    </row>
    <row r="47" spans="1:6" ht="14.25" x14ac:dyDescent="0.2">
      <c r="A47" s="6">
        <v>4</v>
      </c>
      <c r="B47" s="16" t="s">
        <v>100</v>
      </c>
      <c r="C47" s="12" t="s">
        <v>12</v>
      </c>
      <c r="D47" s="42">
        <v>3</v>
      </c>
      <c r="E47" s="31">
        <v>300</v>
      </c>
      <c r="F47" s="26">
        <f t="shared" si="1"/>
        <v>900</v>
      </c>
    </row>
    <row r="48" spans="1:6" ht="14.25" x14ac:dyDescent="0.2">
      <c r="A48" s="6"/>
      <c r="B48" s="17" t="s">
        <v>96</v>
      </c>
      <c r="C48" s="12" t="s">
        <v>36</v>
      </c>
      <c r="D48" s="42">
        <v>0.5</v>
      </c>
      <c r="E48" s="31">
        <v>0</v>
      </c>
      <c r="F48" s="26">
        <f t="shared" si="1"/>
        <v>0</v>
      </c>
    </row>
    <row r="49" spans="1:6" ht="14.25" x14ac:dyDescent="0.2">
      <c r="A49" s="6">
        <v>5</v>
      </c>
      <c r="B49" s="15" t="s">
        <v>39</v>
      </c>
      <c r="C49" s="12" t="s">
        <v>20</v>
      </c>
      <c r="D49" s="34">
        <f>1.8+3.53</f>
        <v>5.33</v>
      </c>
      <c r="E49" s="31">
        <v>400</v>
      </c>
      <c r="F49" s="26">
        <f t="shared" si="1"/>
        <v>2132</v>
      </c>
    </row>
    <row r="50" spans="1:6" ht="14.25" x14ac:dyDescent="0.2">
      <c r="A50" s="6"/>
      <c r="B50" s="11" t="s">
        <v>38</v>
      </c>
      <c r="C50" s="12" t="s">
        <v>36</v>
      </c>
      <c r="D50" s="34">
        <f>D49*0.15*0.3*300</f>
        <v>71.954999999999998</v>
      </c>
      <c r="E50" s="31">
        <v>0</v>
      </c>
      <c r="F50" s="26">
        <f t="shared" si="1"/>
        <v>0</v>
      </c>
    </row>
    <row r="51" spans="1:6" ht="14.25" x14ac:dyDescent="0.2">
      <c r="A51" s="6"/>
      <c r="B51" s="11" t="s">
        <v>34</v>
      </c>
      <c r="C51" s="12" t="s">
        <v>36</v>
      </c>
      <c r="D51" s="34">
        <f>D49*0.15*0.3*800</f>
        <v>191.88</v>
      </c>
      <c r="E51" s="31">
        <v>0</v>
      </c>
      <c r="F51" s="26">
        <f t="shared" si="1"/>
        <v>0</v>
      </c>
    </row>
    <row r="52" spans="1:6" ht="14.25" x14ac:dyDescent="0.2">
      <c r="A52" s="6"/>
      <c r="B52" s="11" t="s">
        <v>35</v>
      </c>
      <c r="C52" s="12" t="s">
        <v>36</v>
      </c>
      <c r="D52" s="34">
        <f>D49*0.15*0.3*1080</f>
        <v>259.03799999999995</v>
      </c>
      <c r="E52" s="31">
        <v>0</v>
      </c>
      <c r="F52" s="26">
        <f t="shared" si="1"/>
        <v>0</v>
      </c>
    </row>
    <row r="53" spans="1:6" ht="14.25" x14ac:dyDescent="0.2">
      <c r="A53" s="6"/>
      <c r="B53" s="11" t="s">
        <v>40</v>
      </c>
      <c r="C53" s="12" t="s">
        <v>1</v>
      </c>
      <c r="D53" s="34">
        <v>0</v>
      </c>
      <c r="E53" s="31">
        <v>0</v>
      </c>
      <c r="F53" s="26">
        <f t="shared" si="1"/>
        <v>0</v>
      </c>
    </row>
    <row r="54" spans="1:6" ht="14.25" x14ac:dyDescent="0.2">
      <c r="A54" s="6"/>
      <c r="B54" s="11" t="s">
        <v>41</v>
      </c>
      <c r="C54" s="12" t="s">
        <v>20</v>
      </c>
      <c r="D54" s="42">
        <f>D49*1.1</f>
        <v>5.8630000000000004</v>
      </c>
      <c r="E54" s="31">
        <v>0</v>
      </c>
      <c r="F54" s="26">
        <f t="shared" si="1"/>
        <v>0</v>
      </c>
    </row>
    <row r="55" spans="1:6" ht="14.25" x14ac:dyDescent="0.2">
      <c r="A55" s="6"/>
      <c r="B55" s="11" t="s">
        <v>42</v>
      </c>
      <c r="C55" s="12" t="s">
        <v>12</v>
      </c>
      <c r="D55" s="42">
        <v>50</v>
      </c>
      <c r="E55" s="31">
        <v>0</v>
      </c>
      <c r="F55" s="26">
        <f t="shared" si="1"/>
        <v>0</v>
      </c>
    </row>
    <row r="56" spans="1:6" ht="14.25" x14ac:dyDescent="0.2">
      <c r="A56" s="6"/>
      <c r="B56" s="11" t="s">
        <v>43</v>
      </c>
      <c r="C56" s="12" t="s">
        <v>20</v>
      </c>
      <c r="D56" s="42">
        <v>12</v>
      </c>
      <c r="E56" s="31">
        <v>0</v>
      </c>
      <c r="F56" s="26">
        <f t="shared" si="1"/>
        <v>0</v>
      </c>
    </row>
    <row r="57" spans="1:6" s="14" customFormat="1" ht="14.25" x14ac:dyDescent="0.25">
      <c r="A57" s="13">
        <v>6</v>
      </c>
      <c r="B57" s="16" t="s">
        <v>51</v>
      </c>
      <c r="C57" s="10" t="s">
        <v>1</v>
      </c>
      <c r="D57" s="42">
        <f>D21</f>
        <v>2.7742</v>
      </c>
      <c r="E57" s="46">
        <v>200</v>
      </c>
      <c r="F57" s="26">
        <f t="shared" si="1"/>
        <v>554.84</v>
      </c>
    </row>
    <row r="58" spans="1:6" s="14" customFormat="1" ht="14.25" x14ac:dyDescent="0.25">
      <c r="A58" s="13"/>
      <c r="B58" s="17" t="s">
        <v>52</v>
      </c>
      <c r="C58" s="10" t="s">
        <v>1</v>
      </c>
      <c r="D58" s="42">
        <f>D57*1.15</f>
        <v>3.1903299999999999</v>
      </c>
      <c r="E58" s="46">
        <v>0</v>
      </c>
      <c r="F58" s="26">
        <f t="shared" si="1"/>
        <v>0</v>
      </c>
    </row>
    <row r="59" spans="1:6" s="14" customFormat="1" ht="14.25" x14ac:dyDescent="0.25">
      <c r="A59" s="13"/>
      <c r="B59" s="17" t="s">
        <v>53</v>
      </c>
      <c r="C59" s="10" t="s">
        <v>36</v>
      </c>
      <c r="D59" s="42">
        <f>D57*2*50</f>
        <v>277.42</v>
      </c>
      <c r="E59" s="46">
        <v>0</v>
      </c>
      <c r="F59" s="26">
        <f t="shared" si="1"/>
        <v>0</v>
      </c>
    </row>
    <row r="60" spans="1:6" s="14" customFormat="1" ht="14.25" x14ac:dyDescent="0.25">
      <c r="A60" s="13"/>
      <c r="B60" s="17" t="s">
        <v>40</v>
      </c>
      <c r="C60" s="10" t="s">
        <v>1</v>
      </c>
      <c r="D60" s="42">
        <f>D57*1.12</f>
        <v>3.1071040000000001</v>
      </c>
      <c r="E60" s="46">
        <v>0</v>
      </c>
      <c r="F60" s="26">
        <f t="shared" si="1"/>
        <v>0</v>
      </c>
    </row>
    <row r="61" spans="1:6" s="14" customFormat="1" ht="14.25" x14ac:dyDescent="0.25">
      <c r="A61" s="13"/>
      <c r="B61" s="17" t="s">
        <v>54</v>
      </c>
      <c r="C61" s="10" t="s">
        <v>36</v>
      </c>
      <c r="D61" s="42">
        <v>1</v>
      </c>
      <c r="E61" s="46">
        <v>0</v>
      </c>
      <c r="F61" s="26">
        <f t="shared" si="1"/>
        <v>0</v>
      </c>
    </row>
    <row r="62" spans="1:6" s="14" customFormat="1" ht="14.25" x14ac:dyDescent="0.25">
      <c r="A62" s="13"/>
      <c r="B62" s="17" t="s">
        <v>55</v>
      </c>
      <c r="C62" s="10" t="s">
        <v>20</v>
      </c>
      <c r="D62" s="42">
        <v>6</v>
      </c>
      <c r="E62" s="46">
        <v>0</v>
      </c>
      <c r="F62" s="26">
        <f t="shared" si="1"/>
        <v>0</v>
      </c>
    </row>
    <row r="63" spans="1:6" ht="14.25" x14ac:dyDescent="0.2">
      <c r="A63" s="6">
        <v>7</v>
      </c>
      <c r="B63" s="16" t="s">
        <v>66</v>
      </c>
      <c r="C63" s="10" t="s">
        <v>1</v>
      </c>
      <c r="D63" s="42">
        <f>D57</f>
        <v>2.7742</v>
      </c>
      <c r="E63" s="31">
        <v>500</v>
      </c>
      <c r="F63" s="26">
        <f t="shared" si="1"/>
        <v>1387.1</v>
      </c>
    </row>
    <row r="64" spans="1:6" ht="14.25" x14ac:dyDescent="0.2">
      <c r="A64" s="6"/>
      <c r="B64" s="17" t="s">
        <v>49</v>
      </c>
      <c r="C64" s="18" t="s">
        <v>50</v>
      </c>
      <c r="D64" s="34">
        <f>D63*0.2</f>
        <v>0.55484</v>
      </c>
      <c r="E64" s="31">
        <v>0</v>
      </c>
      <c r="F64" s="26">
        <f t="shared" si="1"/>
        <v>0</v>
      </c>
    </row>
    <row r="65" spans="1:7" ht="14.25" x14ac:dyDescent="0.2">
      <c r="A65" s="6"/>
      <c r="B65" s="11" t="s">
        <v>59</v>
      </c>
      <c r="C65" s="12" t="s">
        <v>1</v>
      </c>
      <c r="D65" s="35">
        <f>D63*1.1</f>
        <v>3.0516200000000002</v>
      </c>
      <c r="E65" s="31">
        <v>0</v>
      </c>
      <c r="F65" s="26">
        <f t="shared" si="1"/>
        <v>0</v>
      </c>
    </row>
    <row r="66" spans="1:7" ht="14.25" x14ac:dyDescent="0.2">
      <c r="A66" s="6"/>
      <c r="B66" s="11" t="s">
        <v>56</v>
      </c>
      <c r="C66" s="12" t="s">
        <v>36</v>
      </c>
      <c r="D66" s="35">
        <f>D63*8</f>
        <v>22.1936</v>
      </c>
      <c r="E66" s="31">
        <v>0</v>
      </c>
      <c r="F66" s="26">
        <f t="shared" si="1"/>
        <v>0</v>
      </c>
    </row>
    <row r="67" spans="1:7" ht="14.25" x14ac:dyDescent="0.2">
      <c r="A67" s="6"/>
      <c r="B67" s="11" t="s">
        <v>57</v>
      </c>
      <c r="C67" s="12" t="s">
        <v>36</v>
      </c>
      <c r="D67" s="35">
        <f>D63*0.3</f>
        <v>0.83226</v>
      </c>
      <c r="E67" s="31">
        <v>0</v>
      </c>
      <c r="F67" s="26">
        <f t="shared" si="1"/>
        <v>0</v>
      </c>
    </row>
    <row r="68" spans="1:7" s="14" customFormat="1" x14ac:dyDescent="0.2">
      <c r="A68" s="13"/>
      <c r="B68" s="47" t="s">
        <v>58</v>
      </c>
      <c r="C68" s="19" t="s">
        <v>60</v>
      </c>
      <c r="D68" s="35">
        <v>1</v>
      </c>
      <c r="E68" s="26">
        <v>0</v>
      </c>
      <c r="F68" s="26">
        <f t="shared" si="1"/>
        <v>0</v>
      </c>
      <c r="G68" s="8"/>
    </row>
    <row r="69" spans="1:7" ht="14.25" x14ac:dyDescent="0.2">
      <c r="A69" s="6">
        <v>8</v>
      </c>
      <c r="B69" s="15" t="s">
        <v>61</v>
      </c>
      <c r="C69" s="12" t="s">
        <v>20</v>
      </c>
      <c r="D69" s="34">
        <f>D18</f>
        <v>5.1000000000000005</v>
      </c>
      <c r="E69" s="31">
        <v>50</v>
      </c>
      <c r="F69" s="26">
        <f t="shared" si="1"/>
        <v>255.00000000000003</v>
      </c>
    </row>
    <row r="70" spans="1:7" ht="14.25" x14ac:dyDescent="0.2">
      <c r="A70" s="6"/>
      <c r="B70" s="17" t="s">
        <v>62</v>
      </c>
      <c r="C70" s="10" t="s">
        <v>20</v>
      </c>
      <c r="D70" s="43">
        <f>D69*1.1</f>
        <v>5.6100000000000012</v>
      </c>
      <c r="E70" s="31">
        <v>0</v>
      </c>
      <c r="F70" s="26">
        <f t="shared" si="1"/>
        <v>0</v>
      </c>
    </row>
    <row r="71" spans="1:7" ht="14.25" x14ac:dyDescent="0.2">
      <c r="A71" s="6"/>
      <c r="B71" s="17" t="s">
        <v>63</v>
      </c>
      <c r="C71" s="10" t="s">
        <v>12</v>
      </c>
      <c r="D71" s="43">
        <f>D69/0.4</f>
        <v>12.75</v>
      </c>
      <c r="E71" s="31">
        <v>0</v>
      </c>
      <c r="F71" s="26">
        <f t="shared" ref="F71:F102" si="2">D71*E71</f>
        <v>0</v>
      </c>
    </row>
    <row r="72" spans="1:7" ht="14.25" x14ac:dyDescent="0.2">
      <c r="A72" s="6">
        <v>9</v>
      </c>
      <c r="B72" s="16" t="s">
        <v>102</v>
      </c>
      <c r="C72" s="10" t="s">
        <v>1</v>
      </c>
      <c r="D72" s="42">
        <f>1.38*1.7+1.38*0.12</f>
        <v>2.5115999999999996</v>
      </c>
      <c r="E72" s="31">
        <v>500</v>
      </c>
      <c r="F72" s="26">
        <f t="shared" si="2"/>
        <v>1255.7999999999997</v>
      </c>
    </row>
    <row r="73" spans="1:7" ht="14.25" x14ac:dyDescent="0.2">
      <c r="A73" s="6"/>
      <c r="B73" s="17" t="s">
        <v>49</v>
      </c>
      <c r="C73" s="18" t="s">
        <v>50</v>
      </c>
      <c r="D73" s="34">
        <f>D72*0.2</f>
        <v>0.50231999999999999</v>
      </c>
      <c r="E73" s="31">
        <v>0</v>
      </c>
      <c r="F73" s="26">
        <f t="shared" si="2"/>
        <v>0</v>
      </c>
    </row>
    <row r="74" spans="1:7" ht="14.25" x14ac:dyDescent="0.2">
      <c r="A74" s="6"/>
      <c r="B74" s="11" t="s">
        <v>59</v>
      </c>
      <c r="C74" s="12" t="s">
        <v>1</v>
      </c>
      <c r="D74" s="35">
        <f>D72*1.1</f>
        <v>2.7627599999999997</v>
      </c>
      <c r="E74" s="31">
        <v>0</v>
      </c>
      <c r="F74" s="26">
        <f t="shared" si="2"/>
        <v>0</v>
      </c>
    </row>
    <row r="75" spans="1:7" ht="14.25" x14ac:dyDescent="0.2">
      <c r="A75" s="6"/>
      <c r="B75" s="11" t="s">
        <v>56</v>
      </c>
      <c r="C75" s="12" t="s">
        <v>36</v>
      </c>
      <c r="D75" s="35">
        <f>D72*8</f>
        <v>20.092799999999997</v>
      </c>
      <c r="E75" s="31">
        <v>0</v>
      </c>
      <c r="F75" s="26">
        <f t="shared" si="2"/>
        <v>0</v>
      </c>
    </row>
    <row r="76" spans="1:7" ht="14.25" x14ac:dyDescent="0.2">
      <c r="A76" s="6"/>
      <c r="B76" s="11" t="s">
        <v>57</v>
      </c>
      <c r="C76" s="12" t="s">
        <v>36</v>
      </c>
      <c r="D76" s="35">
        <f>D72*0.3</f>
        <v>0.75347999999999982</v>
      </c>
      <c r="E76" s="31">
        <v>0</v>
      </c>
      <c r="F76" s="26">
        <f t="shared" si="2"/>
        <v>0</v>
      </c>
    </row>
    <row r="77" spans="1:7" s="14" customFormat="1" x14ac:dyDescent="0.2">
      <c r="A77" s="13"/>
      <c r="B77" s="47" t="s">
        <v>58</v>
      </c>
      <c r="C77" s="19" t="s">
        <v>60</v>
      </c>
      <c r="D77" s="35">
        <v>1</v>
      </c>
      <c r="E77" s="26">
        <v>0</v>
      </c>
      <c r="F77" s="26">
        <f t="shared" si="2"/>
        <v>0</v>
      </c>
      <c r="G77" s="8"/>
    </row>
    <row r="78" spans="1:7" ht="14.25" x14ac:dyDescent="0.2">
      <c r="A78" s="6"/>
      <c r="B78" s="11" t="s">
        <v>64</v>
      </c>
      <c r="C78" s="12" t="s">
        <v>12</v>
      </c>
      <c r="D78" s="34">
        <v>1</v>
      </c>
      <c r="E78" s="31">
        <v>0</v>
      </c>
      <c r="F78" s="26">
        <f t="shared" si="2"/>
        <v>0</v>
      </c>
    </row>
    <row r="79" spans="1:7" ht="14.25" x14ac:dyDescent="0.2">
      <c r="A79" s="6">
        <v>10</v>
      </c>
      <c r="B79" s="16" t="s">
        <v>65</v>
      </c>
      <c r="C79" s="10" t="s">
        <v>1</v>
      </c>
      <c r="D79" s="42">
        <f>1.5*3.64+3.64*0.13/2+3.23*1.5</f>
        <v>10.541599999999999</v>
      </c>
      <c r="E79" s="31">
        <v>500</v>
      </c>
      <c r="F79" s="26">
        <f t="shared" si="2"/>
        <v>5270.7999999999993</v>
      </c>
    </row>
    <row r="80" spans="1:7" ht="14.25" x14ac:dyDescent="0.2">
      <c r="A80" s="6"/>
      <c r="B80" s="17" t="s">
        <v>49</v>
      </c>
      <c r="C80" s="18" t="s">
        <v>50</v>
      </c>
      <c r="D80" s="34">
        <f>D79*0.2</f>
        <v>2.10832</v>
      </c>
      <c r="E80" s="31">
        <v>0</v>
      </c>
      <c r="F80" s="26">
        <f t="shared" si="2"/>
        <v>0</v>
      </c>
    </row>
    <row r="81" spans="1:7" ht="14.25" x14ac:dyDescent="0.2">
      <c r="A81" s="6"/>
      <c r="B81" s="11" t="s">
        <v>59</v>
      </c>
      <c r="C81" s="12" t="s">
        <v>1</v>
      </c>
      <c r="D81" s="35">
        <f>D79*1.1</f>
        <v>11.59576</v>
      </c>
      <c r="E81" s="31">
        <v>0</v>
      </c>
      <c r="F81" s="26">
        <f t="shared" si="2"/>
        <v>0</v>
      </c>
    </row>
    <row r="82" spans="1:7" ht="14.25" x14ac:dyDescent="0.2">
      <c r="A82" s="6"/>
      <c r="B82" s="11" t="s">
        <v>56</v>
      </c>
      <c r="C82" s="12" t="s">
        <v>36</v>
      </c>
      <c r="D82" s="35">
        <f>D79*8</f>
        <v>84.332799999999992</v>
      </c>
      <c r="E82" s="31">
        <v>0</v>
      </c>
      <c r="F82" s="26">
        <f t="shared" si="2"/>
        <v>0</v>
      </c>
    </row>
    <row r="83" spans="1:7" ht="14.25" x14ac:dyDescent="0.2">
      <c r="A83" s="6"/>
      <c r="B83" s="11" t="s">
        <v>57</v>
      </c>
      <c r="C83" s="12" t="s">
        <v>36</v>
      </c>
      <c r="D83" s="35">
        <f>D79*0.3</f>
        <v>3.1624799999999995</v>
      </c>
      <c r="E83" s="31">
        <v>0</v>
      </c>
      <c r="F83" s="26">
        <f t="shared" si="2"/>
        <v>0</v>
      </c>
    </row>
    <row r="84" spans="1:7" s="14" customFormat="1" x14ac:dyDescent="0.2">
      <c r="A84" s="13"/>
      <c r="B84" s="47" t="s">
        <v>58</v>
      </c>
      <c r="C84" s="19" t="s">
        <v>60</v>
      </c>
      <c r="D84" s="35">
        <v>1</v>
      </c>
      <c r="E84" s="26">
        <v>0</v>
      </c>
      <c r="F84" s="26">
        <f t="shared" si="2"/>
        <v>0</v>
      </c>
      <c r="G84" s="8"/>
    </row>
    <row r="85" spans="1:7" ht="14.25" x14ac:dyDescent="0.2">
      <c r="A85" s="6"/>
      <c r="B85" s="11" t="s">
        <v>64</v>
      </c>
      <c r="C85" s="12" t="s">
        <v>12</v>
      </c>
      <c r="D85" s="34">
        <v>1</v>
      </c>
      <c r="E85" s="31">
        <v>0</v>
      </c>
      <c r="F85" s="26">
        <f t="shared" si="2"/>
        <v>0</v>
      </c>
    </row>
    <row r="86" spans="1:7" ht="28.5" x14ac:dyDescent="0.2">
      <c r="A86" s="6">
        <v>11</v>
      </c>
      <c r="B86" s="16" t="s">
        <v>67</v>
      </c>
      <c r="C86" s="10" t="s">
        <v>20</v>
      </c>
      <c r="D86" s="42">
        <f>1.8+3.23</f>
        <v>5.03</v>
      </c>
      <c r="E86" s="31">
        <v>450</v>
      </c>
      <c r="F86" s="26">
        <f t="shared" si="2"/>
        <v>2263.5</v>
      </c>
    </row>
    <row r="87" spans="1:7" ht="14.25" x14ac:dyDescent="0.2">
      <c r="A87" s="6"/>
      <c r="B87" s="17" t="s">
        <v>49</v>
      </c>
      <c r="C87" s="18" t="s">
        <v>50</v>
      </c>
      <c r="D87" s="34">
        <f>D86*0.45*0.2</f>
        <v>0.45270000000000005</v>
      </c>
      <c r="E87" s="31">
        <v>0</v>
      </c>
      <c r="F87" s="26">
        <f t="shared" si="2"/>
        <v>0</v>
      </c>
    </row>
    <row r="88" spans="1:7" ht="14.25" x14ac:dyDescent="0.2">
      <c r="A88" s="6"/>
      <c r="B88" s="11" t="s">
        <v>59</v>
      </c>
      <c r="C88" s="12" t="s">
        <v>1</v>
      </c>
      <c r="D88" s="35">
        <f>D86*0.45*1.1</f>
        <v>2.4898500000000001</v>
      </c>
      <c r="E88" s="31">
        <v>0</v>
      </c>
      <c r="F88" s="26">
        <f t="shared" si="2"/>
        <v>0</v>
      </c>
    </row>
    <row r="89" spans="1:7" ht="14.25" x14ac:dyDescent="0.2">
      <c r="A89" s="6"/>
      <c r="B89" s="11" t="s">
        <v>56</v>
      </c>
      <c r="C89" s="12" t="s">
        <v>36</v>
      </c>
      <c r="D89" s="35">
        <f>D86*0.45*8</f>
        <v>18.108000000000001</v>
      </c>
      <c r="E89" s="31">
        <v>0</v>
      </c>
      <c r="F89" s="26">
        <f t="shared" si="2"/>
        <v>0</v>
      </c>
    </row>
    <row r="90" spans="1:7" ht="14.25" x14ac:dyDescent="0.2">
      <c r="A90" s="6"/>
      <c r="B90" s="11" t="s">
        <v>57</v>
      </c>
      <c r="C90" s="12" t="s">
        <v>36</v>
      </c>
      <c r="D90" s="35">
        <f>D86*0.45*0.3</f>
        <v>0.67905000000000004</v>
      </c>
      <c r="E90" s="31">
        <v>0</v>
      </c>
      <c r="F90" s="26">
        <f t="shared" si="2"/>
        <v>0</v>
      </c>
    </row>
    <row r="91" spans="1:7" ht="14.25" x14ac:dyDescent="0.2">
      <c r="A91" s="6">
        <v>12</v>
      </c>
      <c r="B91" s="15" t="s">
        <v>83</v>
      </c>
      <c r="C91" s="12" t="s">
        <v>20</v>
      </c>
      <c r="D91" s="34">
        <f>3.53-1</f>
        <v>2.5299999999999998</v>
      </c>
      <c r="E91" s="31">
        <v>250</v>
      </c>
      <c r="F91" s="26">
        <f t="shared" si="2"/>
        <v>632.5</v>
      </c>
    </row>
    <row r="92" spans="1:7" ht="14.25" x14ac:dyDescent="0.2">
      <c r="A92" s="6"/>
      <c r="B92" s="17" t="s">
        <v>49</v>
      </c>
      <c r="C92" s="18" t="s">
        <v>50</v>
      </c>
      <c r="D92" s="34">
        <f>D91*0.25*0.2</f>
        <v>0.1265</v>
      </c>
      <c r="E92" s="31">
        <v>0</v>
      </c>
      <c r="F92" s="26">
        <f t="shared" si="2"/>
        <v>0</v>
      </c>
    </row>
    <row r="93" spans="1:7" ht="14.25" x14ac:dyDescent="0.2">
      <c r="A93" s="6"/>
      <c r="B93" s="11" t="s">
        <v>59</v>
      </c>
      <c r="C93" s="12" t="s">
        <v>1</v>
      </c>
      <c r="D93" s="35">
        <f>D91*0.25*1.1</f>
        <v>0.69574999999999998</v>
      </c>
      <c r="E93" s="31">
        <v>0</v>
      </c>
      <c r="F93" s="26">
        <f t="shared" si="2"/>
        <v>0</v>
      </c>
    </row>
    <row r="94" spans="1:7" ht="14.25" x14ac:dyDescent="0.2">
      <c r="A94" s="6"/>
      <c r="B94" s="11" t="s">
        <v>56</v>
      </c>
      <c r="C94" s="12" t="s">
        <v>36</v>
      </c>
      <c r="D94" s="35">
        <f>D91*0.25*8</f>
        <v>5.0599999999999996</v>
      </c>
      <c r="E94" s="31">
        <v>0</v>
      </c>
      <c r="F94" s="26">
        <f t="shared" si="2"/>
        <v>0</v>
      </c>
    </row>
    <row r="95" spans="1:7" ht="14.25" x14ac:dyDescent="0.2">
      <c r="A95" s="6"/>
      <c r="B95" s="11" t="s">
        <v>57</v>
      </c>
      <c r="C95" s="12" t="s">
        <v>36</v>
      </c>
      <c r="D95" s="35">
        <f>D91*0.25*0.3</f>
        <v>0.18974999999999997</v>
      </c>
      <c r="E95" s="31">
        <v>0</v>
      </c>
      <c r="F95" s="26">
        <f t="shared" si="2"/>
        <v>0</v>
      </c>
    </row>
    <row r="96" spans="1:7" ht="14.25" x14ac:dyDescent="0.2">
      <c r="A96" s="6">
        <v>13</v>
      </c>
      <c r="B96" s="16" t="s">
        <v>68</v>
      </c>
      <c r="C96" s="12" t="s">
        <v>1</v>
      </c>
      <c r="D96" s="34">
        <f>(1.49*2+1.7*2)*0.2</f>
        <v>1.276</v>
      </c>
      <c r="E96" s="31">
        <v>400</v>
      </c>
      <c r="F96" s="26">
        <f t="shared" si="2"/>
        <v>510.40000000000003</v>
      </c>
    </row>
    <row r="97" spans="1:7" ht="14.25" x14ac:dyDescent="0.2">
      <c r="A97" s="6"/>
      <c r="B97" s="17" t="s">
        <v>49</v>
      </c>
      <c r="C97" s="18" t="s">
        <v>50</v>
      </c>
      <c r="D97" s="34">
        <f>D96*0.2</f>
        <v>0.25520000000000004</v>
      </c>
      <c r="E97" s="31">
        <v>0</v>
      </c>
      <c r="F97" s="26">
        <f t="shared" si="2"/>
        <v>0</v>
      </c>
    </row>
    <row r="98" spans="1:7" s="14" customFormat="1" ht="14.25" x14ac:dyDescent="0.2">
      <c r="A98" s="13"/>
      <c r="B98" s="17" t="s">
        <v>69</v>
      </c>
      <c r="C98" s="12" t="s">
        <v>36</v>
      </c>
      <c r="D98" s="34">
        <v>25</v>
      </c>
      <c r="E98" s="26">
        <v>0</v>
      </c>
      <c r="F98" s="26">
        <f t="shared" si="2"/>
        <v>0</v>
      </c>
      <c r="G98" s="8"/>
    </row>
    <row r="99" spans="1:7" s="14" customFormat="1" ht="14.25" x14ac:dyDescent="0.2">
      <c r="A99" s="13">
        <v>14</v>
      </c>
      <c r="B99" s="15" t="s">
        <v>45</v>
      </c>
      <c r="C99" s="12" t="s">
        <v>20</v>
      </c>
      <c r="D99" s="34">
        <v>12</v>
      </c>
      <c r="E99" s="31">
        <v>160</v>
      </c>
      <c r="F99" s="26">
        <f t="shared" si="2"/>
        <v>1920</v>
      </c>
      <c r="G99" s="8"/>
    </row>
    <row r="100" spans="1:7" ht="14.25" x14ac:dyDescent="0.2">
      <c r="A100" s="6"/>
      <c r="B100" s="11" t="s">
        <v>46</v>
      </c>
      <c r="C100" s="12" t="s">
        <v>1</v>
      </c>
      <c r="D100" s="34">
        <v>6</v>
      </c>
      <c r="E100" s="31">
        <v>0</v>
      </c>
      <c r="F100" s="26">
        <f t="shared" si="2"/>
        <v>0</v>
      </c>
    </row>
    <row r="101" spans="1:7" ht="14.25" x14ac:dyDescent="0.2">
      <c r="A101" s="6"/>
      <c r="B101" s="11" t="s">
        <v>47</v>
      </c>
      <c r="C101" s="12" t="s">
        <v>48</v>
      </c>
      <c r="D101" s="34">
        <v>1</v>
      </c>
      <c r="E101" s="31">
        <v>0</v>
      </c>
      <c r="F101" s="26">
        <f t="shared" si="2"/>
        <v>0</v>
      </c>
    </row>
    <row r="102" spans="1:7" ht="14.25" x14ac:dyDescent="0.2">
      <c r="A102" s="6">
        <v>15</v>
      </c>
      <c r="B102" s="15" t="s">
        <v>73</v>
      </c>
      <c r="C102" s="12" t="s">
        <v>1</v>
      </c>
      <c r="D102" s="34">
        <f>(1.49*2+1.7*2)*3-1.7*3-2*1</f>
        <v>12.040000000000001</v>
      </c>
      <c r="E102" s="31">
        <v>150</v>
      </c>
      <c r="F102" s="26">
        <f t="shared" si="2"/>
        <v>1806.0000000000002</v>
      </c>
    </row>
    <row r="103" spans="1:7" ht="14.25" x14ac:dyDescent="0.2">
      <c r="A103" s="6"/>
      <c r="B103" s="11" t="s">
        <v>49</v>
      </c>
      <c r="C103" s="12" t="s">
        <v>50</v>
      </c>
      <c r="D103" s="34">
        <f>D102*0.3*0.2</f>
        <v>0.72240000000000004</v>
      </c>
      <c r="E103" s="31">
        <v>0</v>
      </c>
      <c r="F103" s="26">
        <f t="shared" ref="F103:F134" si="3">D103*E103</f>
        <v>0</v>
      </c>
    </row>
    <row r="104" spans="1:7" ht="14.25" x14ac:dyDescent="0.2">
      <c r="A104" s="6"/>
      <c r="B104" s="11" t="s">
        <v>70</v>
      </c>
      <c r="C104" s="12" t="s">
        <v>36</v>
      </c>
      <c r="D104" s="34">
        <v>20</v>
      </c>
      <c r="E104" s="31">
        <v>0</v>
      </c>
      <c r="F104" s="26">
        <f t="shared" si="3"/>
        <v>0</v>
      </c>
    </row>
    <row r="105" spans="1:7" ht="16.5" customHeight="1" x14ac:dyDescent="0.2">
      <c r="A105" s="6"/>
      <c r="B105" s="11" t="s">
        <v>71</v>
      </c>
      <c r="C105" s="12" t="s">
        <v>20</v>
      </c>
      <c r="D105" s="34">
        <f>12</f>
        <v>12</v>
      </c>
      <c r="E105" s="31">
        <v>0</v>
      </c>
      <c r="F105" s="26">
        <f t="shared" si="3"/>
        <v>0</v>
      </c>
    </row>
    <row r="106" spans="1:7" s="14" customFormat="1" ht="14.25" x14ac:dyDescent="0.2">
      <c r="A106" s="13"/>
      <c r="B106" s="17" t="s">
        <v>72</v>
      </c>
      <c r="C106" s="12" t="s">
        <v>20</v>
      </c>
      <c r="D106" s="34">
        <v>3</v>
      </c>
      <c r="E106" s="26">
        <v>0</v>
      </c>
      <c r="F106" s="26">
        <f t="shared" si="3"/>
        <v>0</v>
      </c>
      <c r="G106" s="8"/>
    </row>
    <row r="107" spans="1:7" ht="14.25" x14ac:dyDescent="0.2">
      <c r="A107" s="6">
        <v>16</v>
      </c>
      <c r="B107" s="15" t="s">
        <v>74</v>
      </c>
      <c r="C107" s="12" t="s">
        <v>1</v>
      </c>
      <c r="D107" s="34">
        <f>D102</f>
        <v>12.040000000000001</v>
      </c>
      <c r="E107" s="31">
        <v>120</v>
      </c>
      <c r="F107" s="26">
        <f t="shared" si="3"/>
        <v>1444.8000000000002</v>
      </c>
    </row>
    <row r="108" spans="1:7" ht="14.25" x14ac:dyDescent="0.2">
      <c r="A108" s="6"/>
      <c r="B108" s="11" t="s">
        <v>49</v>
      </c>
      <c r="C108" s="12" t="s">
        <v>50</v>
      </c>
      <c r="D108" s="34">
        <f>D107*0.3*0.2</f>
        <v>0.72240000000000004</v>
      </c>
      <c r="E108" s="31">
        <v>0</v>
      </c>
      <c r="F108" s="26">
        <f t="shared" si="3"/>
        <v>0</v>
      </c>
    </row>
    <row r="109" spans="1:7" ht="14.25" x14ac:dyDescent="0.2">
      <c r="A109" s="6"/>
      <c r="B109" s="11" t="s">
        <v>75</v>
      </c>
      <c r="C109" s="12" t="s">
        <v>50</v>
      </c>
      <c r="D109" s="34">
        <f>D107*0.45</f>
        <v>5.4180000000000001</v>
      </c>
      <c r="E109" s="31">
        <v>0</v>
      </c>
      <c r="F109" s="26">
        <f t="shared" si="3"/>
        <v>0</v>
      </c>
    </row>
    <row r="110" spans="1:7" s="14" customFormat="1" ht="14.25" x14ac:dyDescent="0.2">
      <c r="A110" s="13"/>
      <c r="B110" s="17" t="s">
        <v>76</v>
      </c>
      <c r="C110" s="12" t="s">
        <v>18</v>
      </c>
      <c r="D110" s="34">
        <v>1</v>
      </c>
      <c r="E110" s="26">
        <v>0</v>
      </c>
      <c r="F110" s="26">
        <f t="shared" si="3"/>
        <v>0</v>
      </c>
      <c r="G110" s="8"/>
    </row>
    <row r="111" spans="1:7" ht="14.25" x14ac:dyDescent="0.2">
      <c r="A111" s="6">
        <v>17</v>
      </c>
      <c r="B111" s="50" t="s">
        <v>77</v>
      </c>
      <c r="C111" s="12" t="s">
        <v>12</v>
      </c>
      <c r="D111" s="34">
        <v>2</v>
      </c>
      <c r="E111" s="31">
        <v>1200</v>
      </c>
      <c r="F111" s="26">
        <f t="shared" si="3"/>
        <v>2400</v>
      </c>
      <c r="G111" s="8" t="s">
        <v>146</v>
      </c>
    </row>
    <row r="112" spans="1:7" s="14" customFormat="1" ht="14.25" x14ac:dyDescent="0.2">
      <c r="A112" s="13"/>
      <c r="B112" s="17" t="s">
        <v>78</v>
      </c>
      <c r="C112" s="12" t="s">
        <v>1</v>
      </c>
      <c r="D112" s="34">
        <f>1.7*2.1+1.1*2.29</f>
        <v>6.0890000000000004</v>
      </c>
      <c r="E112" s="26">
        <v>0</v>
      </c>
      <c r="F112" s="26">
        <f t="shared" si="3"/>
        <v>0</v>
      </c>
      <c r="G112" s="8"/>
    </row>
    <row r="113" spans="1:7" ht="14.25" x14ac:dyDescent="0.2">
      <c r="A113" s="6"/>
      <c r="B113" s="11" t="s">
        <v>79</v>
      </c>
      <c r="C113" s="12" t="s">
        <v>12</v>
      </c>
      <c r="D113" s="34">
        <v>2</v>
      </c>
      <c r="E113" s="31">
        <v>0</v>
      </c>
      <c r="F113" s="26">
        <f t="shared" si="3"/>
        <v>0</v>
      </c>
    </row>
    <row r="114" spans="1:7" s="14" customFormat="1" ht="14.25" x14ac:dyDescent="0.2">
      <c r="A114" s="13">
        <v>18</v>
      </c>
      <c r="B114" s="49" t="s">
        <v>107</v>
      </c>
      <c r="C114" s="10" t="s">
        <v>20</v>
      </c>
      <c r="D114" s="10">
        <f>2.9+3.7+1.8+1.8+0.9</f>
        <v>11.100000000000001</v>
      </c>
      <c r="E114" s="26">
        <v>300</v>
      </c>
      <c r="F114" s="26">
        <f t="shared" si="3"/>
        <v>3330.0000000000005</v>
      </c>
      <c r="G114" s="8" t="s">
        <v>146</v>
      </c>
    </row>
    <row r="115" spans="1:7" ht="14.25" x14ac:dyDescent="0.2">
      <c r="A115" s="6"/>
      <c r="B115" s="11" t="s">
        <v>80</v>
      </c>
      <c r="C115" s="12" t="s">
        <v>20</v>
      </c>
      <c r="D115" s="35">
        <f>D114</f>
        <v>11.100000000000001</v>
      </c>
      <c r="E115" s="31">
        <v>0</v>
      </c>
      <c r="F115" s="26">
        <f t="shared" si="3"/>
        <v>0</v>
      </c>
    </row>
    <row r="116" spans="1:7" ht="14.25" x14ac:dyDescent="0.2">
      <c r="A116" s="6">
        <v>19</v>
      </c>
      <c r="B116" s="15" t="s">
        <v>81</v>
      </c>
      <c r="C116" s="12" t="s">
        <v>15</v>
      </c>
      <c r="D116" s="35">
        <v>1</v>
      </c>
      <c r="E116" s="31">
        <v>3500</v>
      </c>
      <c r="F116" s="26">
        <f t="shared" si="3"/>
        <v>3500</v>
      </c>
    </row>
    <row r="117" spans="1:7" ht="14.25" x14ac:dyDescent="0.2">
      <c r="A117" s="6"/>
      <c r="B117" s="11" t="s">
        <v>82</v>
      </c>
      <c r="C117" s="12" t="s">
        <v>15</v>
      </c>
      <c r="D117" s="35">
        <v>1</v>
      </c>
      <c r="E117" s="31">
        <v>0</v>
      </c>
      <c r="F117" s="26">
        <f t="shared" si="3"/>
        <v>0</v>
      </c>
    </row>
    <row r="118" spans="1:7" s="14" customFormat="1" ht="14.25" x14ac:dyDescent="0.25">
      <c r="A118" s="13">
        <v>20</v>
      </c>
      <c r="B118" s="15" t="s">
        <v>103</v>
      </c>
      <c r="C118" s="12" t="s">
        <v>1</v>
      </c>
      <c r="D118" s="35">
        <v>6</v>
      </c>
      <c r="E118" s="26">
        <v>250</v>
      </c>
      <c r="F118" s="26">
        <f t="shared" si="3"/>
        <v>1500</v>
      </c>
    </row>
    <row r="119" spans="1:7" ht="14.25" x14ac:dyDescent="0.2">
      <c r="A119" s="6"/>
      <c r="B119" s="11" t="s">
        <v>38</v>
      </c>
      <c r="C119" s="12" t="s">
        <v>36</v>
      </c>
      <c r="D119" s="34">
        <f>D118*0.04*350</f>
        <v>84</v>
      </c>
      <c r="E119" s="31">
        <v>0</v>
      </c>
      <c r="F119" s="26">
        <f t="shared" si="3"/>
        <v>0</v>
      </c>
    </row>
    <row r="120" spans="1:7" ht="14.25" x14ac:dyDescent="0.2">
      <c r="A120" s="6"/>
      <c r="B120" s="11" t="s">
        <v>34</v>
      </c>
      <c r="C120" s="12" t="s">
        <v>36</v>
      </c>
      <c r="D120" s="34">
        <f>D118*0.04*800</f>
        <v>192</v>
      </c>
      <c r="E120" s="31">
        <v>0</v>
      </c>
      <c r="F120" s="26">
        <f t="shared" si="3"/>
        <v>0</v>
      </c>
    </row>
    <row r="121" spans="1:7" ht="14.25" x14ac:dyDescent="0.2">
      <c r="A121" s="6"/>
      <c r="B121" s="11" t="s">
        <v>104</v>
      </c>
      <c r="C121" s="12" t="s">
        <v>1</v>
      </c>
      <c r="D121" s="34">
        <f>D118*1.05</f>
        <v>6.3000000000000007</v>
      </c>
      <c r="E121" s="31">
        <v>0</v>
      </c>
      <c r="F121" s="26">
        <f t="shared" si="3"/>
        <v>0</v>
      </c>
    </row>
    <row r="122" spans="1:7" ht="14.25" x14ac:dyDescent="0.2">
      <c r="A122" s="6">
        <v>21</v>
      </c>
      <c r="B122" s="16" t="s">
        <v>105</v>
      </c>
      <c r="C122" s="12" t="s">
        <v>12</v>
      </c>
      <c r="D122" s="34">
        <v>1</v>
      </c>
      <c r="E122" s="31">
        <v>800</v>
      </c>
      <c r="F122" s="26">
        <f t="shared" si="3"/>
        <v>800</v>
      </c>
    </row>
    <row r="123" spans="1:7" ht="14.25" x14ac:dyDescent="0.2">
      <c r="A123" s="6"/>
      <c r="B123" s="17" t="s">
        <v>106</v>
      </c>
      <c r="C123" s="12" t="s">
        <v>1</v>
      </c>
      <c r="D123" s="34">
        <f>1.1*0.7</f>
        <v>0.77</v>
      </c>
      <c r="E123" s="31">
        <v>0</v>
      </c>
      <c r="F123" s="26">
        <f t="shared" si="3"/>
        <v>0</v>
      </c>
    </row>
    <row r="124" spans="1:7" ht="14.25" x14ac:dyDescent="0.2">
      <c r="A124" s="6">
        <v>22</v>
      </c>
      <c r="B124" s="16" t="s">
        <v>108</v>
      </c>
      <c r="C124" s="12" t="s">
        <v>1</v>
      </c>
      <c r="D124" s="34">
        <v>8.6999999999999993</v>
      </c>
      <c r="E124" s="31">
        <v>2000</v>
      </c>
      <c r="F124" s="26">
        <f t="shared" si="3"/>
        <v>17400</v>
      </c>
    </row>
    <row r="125" spans="1:7" ht="14.25" x14ac:dyDescent="0.2">
      <c r="A125" s="6"/>
      <c r="B125" s="17" t="s">
        <v>109</v>
      </c>
      <c r="C125" s="12" t="s">
        <v>36</v>
      </c>
      <c r="D125" s="34">
        <f>46.14*1.05</f>
        <v>48.447000000000003</v>
      </c>
      <c r="E125" s="31">
        <v>0</v>
      </c>
      <c r="F125" s="26">
        <f t="shared" si="3"/>
        <v>0</v>
      </c>
    </row>
    <row r="126" spans="1:7" ht="14.25" x14ac:dyDescent="0.2">
      <c r="A126" s="6"/>
      <c r="B126" s="17" t="s">
        <v>110</v>
      </c>
      <c r="C126" s="12" t="s">
        <v>36</v>
      </c>
      <c r="D126" s="34">
        <f>33.17*1.05</f>
        <v>34.828500000000005</v>
      </c>
      <c r="E126" s="31">
        <v>0</v>
      </c>
      <c r="F126" s="26">
        <f t="shared" si="3"/>
        <v>0</v>
      </c>
    </row>
    <row r="127" spans="1:7" ht="14.25" x14ac:dyDescent="0.2">
      <c r="A127" s="6"/>
      <c r="B127" s="17" t="s">
        <v>111</v>
      </c>
      <c r="C127" s="12" t="s">
        <v>36</v>
      </c>
      <c r="D127" s="34">
        <f>(40.64+46.31)*1.05</f>
        <v>91.297500000000014</v>
      </c>
      <c r="E127" s="31">
        <v>0</v>
      </c>
      <c r="F127" s="26">
        <f t="shared" si="3"/>
        <v>0</v>
      </c>
    </row>
    <row r="128" spans="1:7" ht="14.25" x14ac:dyDescent="0.2">
      <c r="A128" s="6"/>
      <c r="B128" s="17" t="s">
        <v>98</v>
      </c>
      <c r="C128" s="12" t="s">
        <v>36</v>
      </c>
      <c r="D128" s="34">
        <f>7.07*1.05</f>
        <v>7.4235000000000007</v>
      </c>
      <c r="E128" s="31">
        <v>0</v>
      </c>
      <c r="F128" s="26">
        <f t="shared" si="3"/>
        <v>0</v>
      </c>
    </row>
    <row r="129" spans="1:6" ht="14.25" x14ac:dyDescent="0.2">
      <c r="A129" s="6"/>
      <c r="B129" s="17" t="s">
        <v>96</v>
      </c>
      <c r="C129" s="12" t="s">
        <v>36</v>
      </c>
      <c r="D129" s="34">
        <v>3</v>
      </c>
      <c r="E129" s="31">
        <v>0</v>
      </c>
      <c r="F129" s="26">
        <f t="shared" si="3"/>
        <v>0</v>
      </c>
    </row>
    <row r="130" spans="1:6" ht="14.25" x14ac:dyDescent="0.2">
      <c r="A130" s="6"/>
      <c r="B130" s="17" t="s">
        <v>116</v>
      </c>
      <c r="C130" s="12" t="s">
        <v>12</v>
      </c>
      <c r="D130" s="34">
        <v>6</v>
      </c>
      <c r="E130" s="31">
        <v>0</v>
      </c>
      <c r="F130" s="26">
        <f t="shared" si="3"/>
        <v>0</v>
      </c>
    </row>
    <row r="131" spans="1:6" ht="14.25" x14ac:dyDescent="0.2">
      <c r="A131" s="6"/>
      <c r="B131" s="17" t="s">
        <v>117</v>
      </c>
      <c r="C131" s="12" t="s">
        <v>12</v>
      </c>
      <c r="D131" s="34">
        <v>1</v>
      </c>
      <c r="E131" s="31">
        <v>0</v>
      </c>
      <c r="F131" s="26">
        <f t="shared" si="3"/>
        <v>0</v>
      </c>
    </row>
    <row r="132" spans="1:6" ht="14.25" x14ac:dyDescent="0.2">
      <c r="A132" s="6"/>
      <c r="B132" s="17" t="s">
        <v>118</v>
      </c>
      <c r="C132" s="12" t="s">
        <v>1</v>
      </c>
      <c r="D132" s="34">
        <f>D124*1.12</f>
        <v>9.7439999999999998</v>
      </c>
      <c r="E132" s="31">
        <v>0</v>
      </c>
      <c r="F132" s="26">
        <f t="shared" si="3"/>
        <v>0</v>
      </c>
    </row>
    <row r="133" spans="1:6" ht="14.25" x14ac:dyDescent="0.2">
      <c r="A133" s="6"/>
      <c r="B133" s="17" t="s">
        <v>119</v>
      </c>
      <c r="C133" s="12" t="s">
        <v>20</v>
      </c>
      <c r="D133" s="34">
        <v>3</v>
      </c>
      <c r="E133" s="31">
        <v>0</v>
      </c>
      <c r="F133" s="26">
        <f t="shared" si="3"/>
        <v>0</v>
      </c>
    </row>
    <row r="134" spans="1:6" ht="28.5" x14ac:dyDescent="0.2">
      <c r="A134" s="6"/>
      <c r="B134" s="17" t="s">
        <v>120</v>
      </c>
      <c r="C134" s="12" t="s">
        <v>12</v>
      </c>
      <c r="D134" s="34">
        <v>3</v>
      </c>
      <c r="E134" s="31">
        <v>0</v>
      </c>
      <c r="F134" s="26">
        <f t="shared" si="3"/>
        <v>0</v>
      </c>
    </row>
    <row r="135" spans="1:6" ht="28.5" x14ac:dyDescent="0.2">
      <c r="A135" s="6"/>
      <c r="B135" s="17" t="s">
        <v>121</v>
      </c>
      <c r="C135" s="12" t="s">
        <v>12</v>
      </c>
      <c r="D135" s="34">
        <v>52</v>
      </c>
      <c r="E135" s="31">
        <v>0</v>
      </c>
      <c r="F135" s="26">
        <f t="shared" ref="F135:F166" si="4">D135*E135</f>
        <v>0</v>
      </c>
    </row>
    <row r="136" spans="1:6" ht="14.25" x14ac:dyDescent="0.2">
      <c r="A136" s="6"/>
      <c r="B136" s="17" t="s">
        <v>140</v>
      </c>
      <c r="C136" s="12" t="s">
        <v>12</v>
      </c>
      <c r="D136" s="34">
        <v>3</v>
      </c>
      <c r="E136" s="31">
        <v>0</v>
      </c>
      <c r="F136" s="26">
        <f t="shared" si="4"/>
        <v>0</v>
      </c>
    </row>
    <row r="137" spans="1:6" ht="14.25" x14ac:dyDescent="0.2">
      <c r="A137" s="6"/>
      <c r="B137" s="17" t="s">
        <v>141</v>
      </c>
      <c r="C137" s="12" t="s">
        <v>142</v>
      </c>
      <c r="D137" s="34">
        <v>1</v>
      </c>
      <c r="E137" s="31">
        <v>0</v>
      </c>
      <c r="F137" s="26">
        <f t="shared" si="4"/>
        <v>0</v>
      </c>
    </row>
    <row r="138" spans="1:6" ht="14.25" x14ac:dyDescent="0.2">
      <c r="A138" s="6">
        <v>23</v>
      </c>
      <c r="B138" s="16" t="s">
        <v>114</v>
      </c>
      <c r="C138" s="12" t="s">
        <v>1</v>
      </c>
      <c r="D138" s="42">
        <f>0.06*4*7+(0.08*2+0.06*2)*4.11+(0.08*2+0.04*2)*16.62+0.24*0.75</f>
        <v>6.9995999999999992</v>
      </c>
      <c r="E138" s="31">
        <v>150</v>
      </c>
      <c r="F138" s="26">
        <f t="shared" si="4"/>
        <v>1049.9399999999998</v>
      </c>
    </row>
    <row r="139" spans="1:6" ht="14.25" x14ac:dyDescent="0.2">
      <c r="A139" s="6"/>
      <c r="B139" s="17" t="s">
        <v>112</v>
      </c>
      <c r="C139" s="12" t="s">
        <v>50</v>
      </c>
      <c r="D139" s="34">
        <f>D138*0.2</f>
        <v>1.3999199999999998</v>
      </c>
      <c r="E139" s="31">
        <v>0</v>
      </c>
      <c r="F139" s="26">
        <f t="shared" si="4"/>
        <v>0</v>
      </c>
    </row>
    <row r="140" spans="1:6" ht="14.25" x14ac:dyDescent="0.2">
      <c r="A140" s="6"/>
      <c r="B140" s="17" t="s">
        <v>113</v>
      </c>
      <c r="C140" s="12" t="s">
        <v>50</v>
      </c>
      <c r="D140" s="34">
        <f>D138*0.3</f>
        <v>2.0998799999999997</v>
      </c>
      <c r="E140" s="31">
        <v>0</v>
      </c>
      <c r="F140" s="26">
        <f t="shared" si="4"/>
        <v>0</v>
      </c>
    </row>
    <row r="141" spans="1:6" ht="14.25" x14ac:dyDescent="0.2">
      <c r="A141" s="6"/>
      <c r="B141" s="17" t="s">
        <v>72</v>
      </c>
      <c r="C141" s="12" t="s">
        <v>20</v>
      </c>
      <c r="D141" s="42">
        <v>2</v>
      </c>
      <c r="E141" s="31">
        <v>0</v>
      </c>
      <c r="F141" s="26">
        <f t="shared" si="4"/>
        <v>0</v>
      </c>
    </row>
    <row r="142" spans="1:6" ht="14.25" x14ac:dyDescent="0.2">
      <c r="A142" s="6"/>
      <c r="B142" s="17" t="s">
        <v>115</v>
      </c>
      <c r="C142" s="12" t="s">
        <v>12</v>
      </c>
      <c r="D142" s="42">
        <v>2</v>
      </c>
      <c r="E142" s="31">
        <v>0</v>
      </c>
      <c r="F142" s="26">
        <f t="shared" si="4"/>
        <v>0</v>
      </c>
    </row>
    <row r="143" spans="1:6" ht="14.25" x14ac:dyDescent="0.2">
      <c r="A143" s="6">
        <v>24</v>
      </c>
      <c r="B143" s="16" t="s">
        <v>122</v>
      </c>
      <c r="C143" s="12" t="s">
        <v>20</v>
      </c>
      <c r="D143" s="42">
        <v>8</v>
      </c>
      <c r="E143" s="31">
        <v>120</v>
      </c>
      <c r="F143" s="26">
        <f t="shared" si="4"/>
        <v>960</v>
      </c>
    </row>
    <row r="144" spans="1:6" ht="14.25" x14ac:dyDescent="0.2">
      <c r="A144" s="6"/>
      <c r="B144" s="17" t="s">
        <v>123</v>
      </c>
      <c r="C144" s="12" t="s">
        <v>12</v>
      </c>
      <c r="D144" s="42">
        <v>1</v>
      </c>
      <c r="E144" s="31">
        <v>0</v>
      </c>
      <c r="F144" s="26">
        <f t="shared" si="4"/>
        <v>0</v>
      </c>
    </row>
    <row r="145" spans="1:6" ht="14.25" x14ac:dyDescent="0.2">
      <c r="A145" s="6"/>
      <c r="B145" s="17" t="s">
        <v>124</v>
      </c>
      <c r="C145" s="12" t="s">
        <v>12</v>
      </c>
      <c r="D145" s="42">
        <v>1</v>
      </c>
      <c r="E145" s="31">
        <v>0</v>
      </c>
      <c r="F145" s="26">
        <f t="shared" si="4"/>
        <v>0</v>
      </c>
    </row>
    <row r="146" spans="1:6" ht="28.5" x14ac:dyDescent="0.2">
      <c r="A146" s="6"/>
      <c r="B146" s="17" t="s">
        <v>125</v>
      </c>
      <c r="C146" s="12" t="s">
        <v>12</v>
      </c>
      <c r="D146" s="42">
        <v>2</v>
      </c>
      <c r="E146" s="31">
        <v>0</v>
      </c>
      <c r="F146" s="26">
        <f t="shared" si="4"/>
        <v>0</v>
      </c>
    </row>
    <row r="147" spans="1:6" ht="14.25" x14ac:dyDescent="0.2">
      <c r="A147" s="6"/>
      <c r="B147" s="17" t="s">
        <v>126</v>
      </c>
      <c r="C147" s="12" t="s">
        <v>12</v>
      </c>
      <c r="D147" s="42">
        <v>2</v>
      </c>
      <c r="E147" s="31">
        <v>0</v>
      </c>
      <c r="F147" s="26">
        <f t="shared" si="4"/>
        <v>0</v>
      </c>
    </row>
    <row r="148" spans="1:6" s="14" customFormat="1" ht="28.5" x14ac:dyDescent="0.25">
      <c r="A148" s="13">
        <v>25</v>
      </c>
      <c r="B148" s="17" t="s">
        <v>127</v>
      </c>
      <c r="C148" s="12" t="s">
        <v>12</v>
      </c>
      <c r="D148" s="42">
        <v>1</v>
      </c>
      <c r="E148" s="26">
        <v>120</v>
      </c>
      <c r="F148" s="26">
        <f t="shared" si="4"/>
        <v>120</v>
      </c>
    </row>
    <row r="149" spans="1:6" ht="14.25" x14ac:dyDescent="0.2">
      <c r="A149" s="6"/>
      <c r="B149" s="17" t="s">
        <v>128</v>
      </c>
      <c r="C149" s="12" t="s">
        <v>12</v>
      </c>
      <c r="D149" s="42">
        <v>2</v>
      </c>
      <c r="E149" s="31">
        <v>0</v>
      </c>
      <c r="F149" s="26">
        <f t="shared" si="4"/>
        <v>0</v>
      </c>
    </row>
    <row r="150" spans="1:6" ht="14.25" x14ac:dyDescent="0.2">
      <c r="A150" s="6"/>
      <c r="B150" s="17" t="s">
        <v>129</v>
      </c>
      <c r="C150" s="12" t="s">
        <v>12</v>
      </c>
      <c r="D150" s="42">
        <v>2</v>
      </c>
      <c r="E150" s="31">
        <v>0</v>
      </c>
      <c r="F150" s="26">
        <f t="shared" si="4"/>
        <v>0</v>
      </c>
    </row>
    <row r="151" spans="1:6" ht="14.25" x14ac:dyDescent="0.2">
      <c r="A151" s="6"/>
      <c r="B151" s="17" t="s">
        <v>130</v>
      </c>
      <c r="C151" s="12" t="s">
        <v>12</v>
      </c>
      <c r="D151" s="42">
        <v>6</v>
      </c>
      <c r="E151" s="31">
        <v>0</v>
      </c>
      <c r="F151" s="26">
        <f t="shared" si="4"/>
        <v>0</v>
      </c>
    </row>
    <row r="152" spans="1:6" ht="14.25" x14ac:dyDescent="0.2">
      <c r="A152" s="6"/>
      <c r="B152" s="17" t="s">
        <v>131</v>
      </c>
      <c r="C152" s="12" t="s">
        <v>12</v>
      </c>
      <c r="D152" s="42">
        <v>3</v>
      </c>
      <c r="E152" s="31">
        <v>0</v>
      </c>
      <c r="F152" s="26">
        <f t="shared" si="4"/>
        <v>0</v>
      </c>
    </row>
    <row r="153" spans="1:6" ht="14.25" x14ac:dyDescent="0.2">
      <c r="A153" s="6"/>
      <c r="B153" s="48" t="s">
        <v>85</v>
      </c>
      <c r="C153" s="12"/>
      <c r="D153" s="34"/>
      <c r="E153" s="31">
        <v>0</v>
      </c>
      <c r="F153" s="26">
        <f t="shared" si="4"/>
        <v>0</v>
      </c>
    </row>
    <row r="154" spans="1:6" s="72" customFormat="1" ht="28.5" x14ac:dyDescent="0.25">
      <c r="A154" s="13">
        <v>1</v>
      </c>
      <c r="B154" s="15" t="s">
        <v>139</v>
      </c>
      <c r="C154" s="12" t="s">
        <v>1</v>
      </c>
      <c r="D154" s="34">
        <f>4+0.34</f>
        <v>4.34</v>
      </c>
      <c r="E154" s="26">
        <v>120</v>
      </c>
      <c r="F154" s="26">
        <f t="shared" si="4"/>
        <v>520.79999999999995</v>
      </c>
    </row>
    <row r="155" spans="1:6" s="72" customFormat="1" ht="14.25" x14ac:dyDescent="0.25">
      <c r="A155" s="13"/>
      <c r="B155" s="11" t="s">
        <v>87</v>
      </c>
      <c r="C155" s="12" t="s">
        <v>36</v>
      </c>
      <c r="D155" s="34">
        <f>D154*0.2</f>
        <v>0.86799999999999999</v>
      </c>
      <c r="E155" s="26">
        <v>0</v>
      </c>
      <c r="F155" s="26">
        <f t="shared" si="4"/>
        <v>0</v>
      </c>
    </row>
    <row r="156" spans="1:6" s="72" customFormat="1" ht="23.25" customHeight="1" x14ac:dyDescent="0.25">
      <c r="A156" s="13">
        <v>2</v>
      </c>
      <c r="B156" s="16" t="s">
        <v>135</v>
      </c>
      <c r="C156" s="12" t="s">
        <v>12</v>
      </c>
      <c r="D156" s="34">
        <v>973</v>
      </c>
      <c r="E156" s="26">
        <v>20</v>
      </c>
      <c r="F156" s="26">
        <f t="shared" si="4"/>
        <v>19460</v>
      </c>
    </row>
    <row r="157" spans="1:6" s="72" customFormat="1" ht="26.25" customHeight="1" x14ac:dyDescent="0.25">
      <c r="A157" s="13"/>
      <c r="B157" s="17" t="s">
        <v>136</v>
      </c>
      <c r="C157" s="12" t="s">
        <v>12</v>
      </c>
      <c r="D157" s="34">
        <f>D156</f>
        <v>973</v>
      </c>
      <c r="E157" s="26">
        <v>0</v>
      </c>
      <c r="F157" s="26">
        <f t="shared" si="4"/>
        <v>0</v>
      </c>
    </row>
    <row r="158" spans="1:6" s="72" customFormat="1" ht="32.25" customHeight="1" x14ac:dyDescent="0.25">
      <c r="A158" s="13">
        <v>3</v>
      </c>
      <c r="B158" s="15" t="s">
        <v>88</v>
      </c>
      <c r="C158" s="12" t="s">
        <v>12</v>
      </c>
      <c r="D158" s="34">
        <v>1</v>
      </c>
      <c r="E158" s="26">
        <v>200</v>
      </c>
      <c r="F158" s="26">
        <f t="shared" si="4"/>
        <v>200</v>
      </c>
    </row>
    <row r="159" spans="1:6" s="72" customFormat="1" ht="32.25" customHeight="1" x14ac:dyDescent="0.25">
      <c r="A159" s="13"/>
      <c r="B159" s="11" t="s">
        <v>89</v>
      </c>
      <c r="C159" s="12" t="s">
        <v>12</v>
      </c>
      <c r="D159" s="34">
        <v>1</v>
      </c>
      <c r="E159" s="26">
        <v>0</v>
      </c>
      <c r="F159" s="26">
        <f t="shared" si="4"/>
        <v>0</v>
      </c>
    </row>
    <row r="160" spans="1:6" s="72" customFormat="1" ht="26.25" customHeight="1" x14ac:dyDescent="0.25">
      <c r="A160" s="13">
        <v>4</v>
      </c>
      <c r="B160" s="16" t="s">
        <v>143</v>
      </c>
      <c r="C160" s="12" t="s">
        <v>1</v>
      </c>
      <c r="D160" s="34">
        <f>0.9*0.3*4</f>
        <v>1.08</v>
      </c>
      <c r="E160" s="26">
        <v>100</v>
      </c>
      <c r="F160" s="26">
        <f t="shared" si="4"/>
        <v>108</v>
      </c>
    </row>
    <row r="161" spans="1:7" s="72" customFormat="1" ht="19.5" customHeight="1" x14ac:dyDescent="0.25">
      <c r="A161" s="13"/>
      <c r="B161" s="17" t="s">
        <v>132</v>
      </c>
      <c r="C161" s="12" t="s">
        <v>1</v>
      </c>
      <c r="D161" s="34">
        <f>0.9*0.3*4</f>
        <v>1.08</v>
      </c>
      <c r="E161" s="26">
        <v>0</v>
      </c>
      <c r="F161" s="26">
        <f t="shared" si="4"/>
        <v>0</v>
      </c>
    </row>
    <row r="162" spans="1:7" s="72" customFormat="1" ht="32.25" customHeight="1" x14ac:dyDescent="0.25">
      <c r="A162" s="13">
        <v>5</v>
      </c>
      <c r="B162" s="16" t="s">
        <v>133</v>
      </c>
      <c r="C162" s="12" t="s">
        <v>12</v>
      </c>
      <c r="D162" s="34">
        <v>13</v>
      </c>
      <c r="E162" s="26">
        <v>80</v>
      </c>
      <c r="F162" s="26">
        <f t="shared" si="4"/>
        <v>1040</v>
      </c>
    </row>
    <row r="163" spans="1:7" s="72" customFormat="1" ht="32.25" customHeight="1" x14ac:dyDescent="0.25">
      <c r="A163" s="13"/>
      <c r="B163" s="17" t="s">
        <v>134</v>
      </c>
      <c r="C163" s="12" t="s">
        <v>12</v>
      </c>
      <c r="D163" s="34">
        <f>D162</f>
        <v>13</v>
      </c>
      <c r="E163" s="26">
        <v>0</v>
      </c>
      <c r="F163" s="26">
        <f t="shared" si="4"/>
        <v>0</v>
      </c>
    </row>
    <row r="164" spans="1:7" s="72" customFormat="1" ht="14.25" x14ac:dyDescent="0.25">
      <c r="A164" s="13"/>
      <c r="B164" s="17" t="s">
        <v>38</v>
      </c>
      <c r="C164" s="12" t="s">
        <v>36</v>
      </c>
      <c r="D164" s="34">
        <f>D162*2.8</f>
        <v>36.4</v>
      </c>
      <c r="E164" s="26">
        <v>0</v>
      </c>
      <c r="F164" s="26">
        <f t="shared" si="4"/>
        <v>0</v>
      </c>
    </row>
    <row r="165" spans="1:7" s="72" customFormat="1" ht="14.25" x14ac:dyDescent="0.25">
      <c r="A165" s="13"/>
      <c r="B165" s="17" t="s">
        <v>34</v>
      </c>
      <c r="C165" s="12" t="s">
        <v>36</v>
      </c>
      <c r="D165" s="34">
        <f>D162*13.9</f>
        <v>180.70000000000002</v>
      </c>
      <c r="E165" s="26">
        <v>0</v>
      </c>
      <c r="F165" s="26">
        <f t="shared" si="4"/>
        <v>0</v>
      </c>
    </row>
    <row r="166" spans="1:7" s="72" customFormat="1" ht="16.5" customHeight="1" x14ac:dyDescent="0.25">
      <c r="A166" s="13">
        <v>6</v>
      </c>
      <c r="B166" s="16" t="s">
        <v>137</v>
      </c>
      <c r="C166" s="12" t="s">
        <v>20</v>
      </c>
      <c r="D166" s="34">
        <v>7.7</v>
      </c>
      <c r="E166" s="26">
        <v>130</v>
      </c>
      <c r="F166" s="26">
        <f t="shared" si="4"/>
        <v>1001</v>
      </c>
    </row>
    <row r="167" spans="1:7" s="72" customFormat="1" ht="26.25" customHeight="1" x14ac:dyDescent="0.25">
      <c r="A167" s="13"/>
      <c r="B167" s="17" t="s">
        <v>138</v>
      </c>
      <c r="C167" s="12" t="s">
        <v>20</v>
      </c>
      <c r="D167" s="34">
        <v>3</v>
      </c>
      <c r="E167" s="26">
        <v>0</v>
      </c>
      <c r="F167" s="26">
        <f t="shared" ref="F167:F198" si="5">D167*E167</f>
        <v>0</v>
      </c>
    </row>
    <row r="168" spans="1:7" s="72" customFormat="1" ht="14.25" x14ac:dyDescent="0.25">
      <c r="A168" s="13"/>
      <c r="B168" s="48" t="s">
        <v>86</v>
      </c>
      <c r="C168" s="12"/>
      <c r="D168" s="34"/>
      <c r="E168" s="26">
        <v>0</v>
      </c>
      <c r="F168" s="26">
        <f t="shared" si="5"/>
        <v>0</v>
      </c>
    </row>
    <row r="169" spans="1:7" s="72" customFormat="1" ht="18" customHeight="1" x14ac:dyDescent="0.25">
      <c r="A169" s="13">
        <v>1</v>
      </c>
      <c r="B169" s="12" t="s">
        <v>144</v>
      </c>
      <c r="C169" s="12" t="s">
        <v>15</v>
      </c>
      <c r="D169" s="35">
        <v>1</v>
      </c>
      <c r="E169" s="26">
        <v>3500</v>
      </c>
      <c r="F169" s="26">
        <f t="shared" si="5"/>
        <v>3500</v>
      </c>
    </row>
    <row r="170" spans="1:7" s="72" customFormat="1" ht="14.25" x14ac:dyDescent="0.25">
      <c r="A170" s="13"/>
      <c r="B170" s="11" t="s">
        <v>52</v>
      </c>
      <c r="C170" s="12" t="s">
        <v>1</v>
      </c>
      <c r="D170" s="35">
        <v>5</v>
      </c>
      <c r="E170" s="26">
        <v>0</v>
      </c>
      <c r="F170" s="26">
        <f t="shared" si="5"/>
        <v>0</v>
      </c>
    </row>
    <row r="171" spans="1:7" s="72" customFormat="1" ht="14.25" x14ac:dyDescent="0.25">
      <c r="A171" s="13"/>
      <c r="B171" s="17" t="s">
        <v>84</v>
      </c>
      <c r="C171" s="12" t="s">
        <v>12</v>
      </c>
      <c r="D171" s="34">
        <v>100</v>
      </c>
      <c r="E171" s="26">
        <v>0</v>
      </c>
      <c r="F171" s="26">
        <f t="shared" si="5"/>
        <v>0</v>
      </c>
    </row>
    <row r="172" spans="1:7" s="72" customFormat="1" ht="14.25" x14ac:dyDescent="0.25">
      <c r="A172" s="13">
        <v>2</v>
      </c>
      <c r="B172" s="15" t="s">
        <v>145</v>
      </c>
      <c r="C172" s="12" t="s">
        <v>15</v>
      </c>
      <c r="D172" s="35">
        <v>1</v>
      </c>
      <c r="E172" s="26">
        <v>3500</v>
      </c>
      <c r="F172" s="26">
        <f t="shared" si="5"/>
        <v>3500</v>
      </c>
    </row>
    <row r="173" spans="1:7" s="70" customFormat="1" ht="19.5" customHeight="1" thickBot="1" x14ac:dyDescent="0.3">
      <c r="A173" s="66"/>
      <c r="B173" s="67" t="s">
        <v>11</v>
      </c>
      <c r="C173" s="68"/>
      <c r="D173" s="36"/>
      <c r="E173" s="37"/>
      <c r="F173" s="69">
        <v>100000</v>
      </c>
      <c r="G173" s="8"/>
    </row>
    <row r="174" spans="1:7" s="38" customFormat="1" ht="15" customHeight="1" x14ac:dyDescent="0.25">
      <c r="A174" s="52"/>
      <c r="B174" s="71" t="s">
        <v>147</v>
      </c>
      <c r="E174" s="39"/>
      <c r="F174" s="40"/>
    </row>
    <row r="176" spans="1:7" ht="15" customHeight="1" x14ac:dyDescent="0.25">
      <c r="E176" s="41"/>
    </row>
    <row r="177" spans="6:6" ht="15" customHeight="1" x14ac:dyDescent="0.2">
      <c r="F177" s="51"/>
    </row>
  </sheetData>
  <autoFilter ref="A5:WUV175"/>
  <mergeCells count="1">
    <mergeCell ref="D1:E1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2025-06-05T10:41:36Z</dcterms:modified>
</cp:coreProperties>
</file>