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bgvgm-my.sharepoint.com/personal/v_khomenko_bgv-dev_com_ua/Documents/Робочий стіл/"/>
    </mc:Choice>
  </mc:AlternateContent>
  <xr:revisionPtr revIDLastSave="172" documentId="13_ncr:1_{9F35FB46-3056-4FE2-ABBE-507C43257A1B}" xr6:coauthVersionLast="47" xr6:coauthVersionMax="47" xr10:uidLastSave="{3CC83445-ED05-4919-BC89-9FFDF99E0258}"/>
  <bookViews>
    <workbookView xWindow="-93" yWindow="-93" windowWidth="19386" windowHeight="10266" xr2:uid="{00000000-000D-0000-FFFF-FFFF00000000}"/>
  </bookViews>
  <sheets>
    <sheet name="Кошторис ТЗ" sheetId="7" r:id="rId1"/>
  </sheets>
  <definedNames>
    <definedName name="_xlnm._FilterDatabase" localSheetId="0" hidden="1">'Кошторис ТЗ'!$A$10:$F$316</definedName>
    <definedName name="_xlnm.Print_Titles" localSheetId="0">'Кошторис ТЗ'!#REF!</definedName>
    <definedName name="_xlnm.Print_Area" localSheetId="0">'Кошторис ТЗ'!$A$1:$F$328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6" i="7" l="1"/>
  <c r="F316" i="7" s="1"/>
  <c r="F315" i="7"/>
  <c r="D314" i="7"/>
  <c r="F314" i="7" s="1"/>
  <c r="F313" i="7"/>
  <c r="D312" i="7"/>
  <c r="F312" i="7" s="1"/>
  <c r="D311" i="7"/>
  <c r="F311" i="7" s="1"/>
  <c r="D310" i="7"/>
  <c r="F310" i="7" s="1"/>
  <c r="D309" i="7"/>
  <c r="F309" i="7" s="1"/>
  <c r="F308" i="7"/>
  <c r="F307" i="7"/>
  <c r="D305" i="7"/>
  <c r="F305" i="7" s="1"/>
  <c r="F304" i="7"/>
  <c r="D303" i="7"/>
  <c r="F303" i="7" s="1"/>
  <c r="F302" i="7"/>
  <c r="D301" i="7"/>
  <c r="F301" i="7" s="1"/>
  <c r="D300" i="7"/>
  <c r="F300" i="7" s="1"/>
  <c r="D299" i="7"/>
  <c r="F299" i="7" s="1"/>
  <c r="D298" i="7"/>
  <c r="F298" i="7" s="1"/>
  <c r="F297" i="7"/>
  <c r="F296" i="7"/>
  <c r="D294" i="7"/>
  <c r="F294" i="7" s="1"/>
  <c r="D293" i="7"/>
  <c r="F293" i="7" s="1"/>
  <c r="D292" i="7"/>
  <c r="F292" i="7" s="1"/>
  <c r="F291" i="7"/>
  <c r="D290" i="7"/>
  <c r="F290" i="7" s="1"/>
  <c r="D289" i="7"/>
  <c r="F289" i="7" s="1"/>
  <c r="D288" i="7"/>
  <c r="F288" i="7" s="1"/>
  <c r="D287" i="7"/>
  <c r="F287" i="7" s="1"/>
  <c r="F286" i="7"/>
  <c r="F285" i="7"/>
  <c r="D282" i="7"/>
  <c r="F282" i="7" s="1"/>
  <c r="F281" i="7"/>
  <c r="D280" i="7"/>
  <c r="F280" i="7" s="1"/>
  <c r="F279" i="7"/>
  <c r="D278" i="7"/>
  <c r="F278" i="7" s="1"/>
  <c r="D277" i="7"/>
  <c r="F277" i="7" s="1"/>
  <c r="D276" i="7"/>
  <c r="F276" i="7" s="1"/>
  <c r="D275" i="7"/>
  <c r="F275" i="7" s="1"/>
  <c r="F274" i="7"/>
  <c r="F273" i="7"/>
  <c r="D271" i="7"/>
  <c r="F271" i="7" s="1"/>
  <c r="F270" i="7"/>
  <c r="D269" i="7"/>
  <c r="F269" i="7" s="1"/>
  <c r="F268" i="7"/>
  <c r="D267" i="7"/>
  <c r="F267" i="7" s="1"/>
  <c r="D266" i="7"/>
  <c r="F266" i="7" s="1"/>
  <c r="D265" i="7"/>
  <c r="F265" i="7" s="1"/>
  <c r="D264" i="7"/>
  <c r="F264" i="7" s="1"/>
  <c r="F263" i="7"/>
  <c r="F262" i="7"/>
  <c r="D260" i="7"/>
  <c r="F260" i="7" s="1"/>
  <c r="D259" i="7"/>
  <c r="D258" i="7"/>
  <c r="F258" i="7" s="1"/>
  <c r="F257" i="7"/>
  <c r="D256" i="7"/>
  <c r="F256" i="7" s="1"/>
  <c r="D255" i="7"/>
  <c r="F255" i="7" s="1"/>
  <c r="D254" i="7"/>
  <c r="F254" i="7" s="1"/>
  <c r="D253" i="7"/>
  <c r="F253" i="7" s="1"/>
  <c r="F252" i="7"/>
  <c r="F251" i="7"/>
  <c r="D248" i="7"/>
  <c r="F248" i="7" s="1"/>
  <c r="F247" i="7"/>
  <c r="D246" i="7"/>
  <c r="F246" i="7" s="1"/>
  <c r="F245" i="7"/>
  <c r="D244" i="7"/>
  <c r="F244" i="7" s="1"/>
  <c r="D243" i="7"/>
  <c r="F243" i="7" s="1"/>
  <c r="D242" i="7"/>
  <c r="F242" i="7" s="1"/>
  <c r="D241" i="7"/>
  <c r="F241" i="7" s="1"/>
  <c r="F240" i="7"/>
  <c r="F239" i="7"/>
  <c r="D237" i="7"/>
  <c r="F237" i="7" s="1"/>
  <c r="F236" i="7"/>
  <c r="D235" i="7"/>
  <c r="F235" i="7" s="1"/>
  <c r="F234" i="7"/>
  <c r="D233" i="7"/>
  <c r="F233" i="7" s="1"/>
  <c r="D232" i="7"/>
  <c r="F232" i="7" s="1"/>
  <c r="D231" i="7"/>
  <c r="F231" i="7" s="1"/>
  <c r="D230" i="7"/>
  <c r="F230" i="7" s="1"/>
  <c r="F229" i="7"/>
  <c r="F228" i="7"/>
  <c r="D226" i="7"/>
  <c r="F226" i="7" s="1"/>
  <c r="D225" i="7"/>
  <c r="F225" i="7" s="1"/>
  <c r="D224" i="7"/>
  <c r="F224" i="7" s="1"/>
  <c r="F223" i="7"/>
  <c r="D222" i="7"/>
  <c r="F222" i="7" s="1"/>
  <c r="D221" i="7"/>
  <c r="F221" i="7" s="1"/>
  <c r="D220" i="7"/>
  <c r="F220" i="7" s="1"/>
  <c r="D219" i="7"/>
  <c r="F219" i="7" s="1"/>
  <c r="F218" i="7"/>
  <c r="F217" i="7"/>
  <c r="D214" i="7"/>
  <c r="F214" i="7" s="1"/>
  <c r="F213" i="7"/>
  <c r="D212" i="7"/>
  <c r="F212" i="7" s="1"/>
  <c r="F211" i="7"/>
  <c r="D210" i="7"/>
  <c r="F210" i="7" s="1"/>
  <c r="D209" i="7"/>
  <c r="F209" i="7" s="1"/>
  <c r="D208" i="7"/>
  <c r="F208" i="7" s="1"/>
  <c r="D207" i="7"/>
  <c r="F207" i="7" s="1"/>
  <c r="F206" i="7"/>
  <c r="F205" i="7"/>
  <c r="D203" i="7"/>
  <c r="F203" i="7" s="1"/>
  <c r="F202" i="7"/>
  <c r="D201" i="7"/>
  <c r="F201" i="7" s="1"/>
  <c r="F200" i="7"/>
  <c r="D199" i="7"/>
  <c r="F199" i="7" s="1"/>
  <c r="D198" i="7"/>
  <c r="F198" i="7" s="1"/>
  <c r="D197" i="7"/>
  <c r="F197" i="7" s="1"/>
  <c r="D196" i="7"/>
  <c r="F196" i="7" s="1"/>
  <c r="F195" i="7"/>
  <c r="F194" i="7"/>
  <c r="D192" i="7"/>
  <c r="F192" i="7" s="1"/>
  <c r="D191" i="7"/>
  <c r="F191" i="7" s="1"/>
  <c r="D190" i="7"/>
  <c r="F190" i="7" s="1"/>
  <c r="F189" i="7"/>
  <c r="D188" i="7"/>
  <c r="F188" i="7" s="1"/>
  <c r="D187" i="7"/>
  <c r="F187" i="7" s="1"/>
  <c r="D186" i="7"/>
  <c r="F186" i="7" s="1"/>
  <c r="D185" i="7"/>
  <c r="F185" i="7" s="1"/>
  <c r="F184" i="7"/>
  <c r="F183" i="7"/>
  <c r="D180" i="7"/>
  <c r="F180" i="7" s="1"/>
  <c r="F179" i="7"/>
  <c r="D178" i="7"/>
  <c r="F178" i="7" s="1"/>
  <c r="F177" i="7"/>
  <c r="D176" i="7"/>
  <c r="F176" i="7" s="1"/>
  <c r="D175" i="7"/>
  <c r="F175" i="7" s="1"/>
  <c r="D174" i="7"/>
  <c r="F174" i="7" s="1"/>
  <c r="D173" i="7"/>
  <c r="F173" i="7" s="1"/>
  <c r="F172" i="7"/>
  <c r="F171" i="7"/>
  <c r="D169" i="7"/>
  <c r="F169" i="7" s="1"/>
  <c r="F168" i="7"/>
  <c r="D167" i="7"/>
  <c r="F167" i="7" s="1"/>
  <c r="F166" i="7"/>
  <c r="D165" i="7"/>
  <c r="F165" i="7" s="1"/>
  <c r="D164" i="7"/>
  <c r="F164" i="7" s="1"/>
  <c r="D163" i="7"/>
  <c r="F163" i="7" s="1"/>
  <c r="F162" i="7"/>
  <c r="F161" i="7"/>
  <c r="F160" i="7"/>
  <c r="D158" i="7"/>
  <c r="F158" i="7" s="1"/>
  <c r="D157" i="7"/>
  <c r="F157" i="7" s="1"/>
  <c r="D156" i="7"/>
  <c r="F156" i="7" s="1"/>
  <c r="F155" i="7"/>
  <c r="D154" i="7"/>
  <c r="F154" i="7" s="1"/>
  <c r="D153" i="7"/>
  <c r="F153" i="7" s="1"/>
  <c r="D152" i="7"/>
  <c r="F152" i="7" s="1"/>
  <c r="D151" i="7"/>
  <c r="F151" i="7" s="1"/>
  <c r="F150" i="7"/>
  <c r="F149" i="7"/>
  <c r="D145" i="7"/>
  <c r="F145" i="7" s="1"/>
  <c r="D144" i="7"/>
  <c r="F144" i="7" s="1"/>
  <c r="D143" i="7"/>
  <c r="F143" i="7" s="1"/>
  <c r="F142" i="7"/>
  <c r="D141" i="7"/>
  <c r="F141" i="7" s="1"/>
  <c r="D140" i="7"/>
  <c r="F140" i="7" s="1"/>
  <c r="D139" i="7"/>
  <c r="F139" i="7" s="1"/>
  <c r="D138" i="7"/>
  <c r="F138" i="7" s="1"/>
  <c r="F137" i="7"/>
  <c r="F136" i="7"/>
  <c r="D134" i="7"/>
  <c r="F134" i="7" s="1"/>
  <c r="F133" i="7"/>
  <c r="D132" i="7"/>
  <c r="F132" i="7" s="1"/>
  <c r="F131" i="7"/>
  <c r="D130" i="7"/>
  <c r="F130" i="7" s="1"/>
  <c r="D129" i="7"/>
  <c r="F129" i="7" s="1"/>
  <c r="D128" i="7"/>
  <c r="F128" i="7" s="1"/>
  <c r="F127" i="7"/>
  <c r="D127" i="7"/>
  <c r="F126" i="7"/>
  <c r="F125" i="7"/>
  <c r="D123" i="7"/>
  <c r="F123" i="7" s="1"/>
  <c r="F122" i="7"/>
  <c r="D121" i="7"/>
  <c r="F121" i="7" s="1"/>
  <c r="F120" i="7"/>
  <c r="D119" i="7"/>
  <c r="F119" i="7" s="1"/>
  <c r="D118" i="7"/>
  <c r="F118" i="7" s="1"/>
  <c r="D117" i="7"/>
  <c r="F117" i="7" s="1"/>
  <c r="D116" i="7"/>
  <c r="F116" i="7" s="1"/>
  <c r="F115" i="7"/>
  <c r="F114" i="7"/>
  <c r="D112" i="7"/>
  <c r="F112" i="7" s="1"/>
  <c r="D111" i="7"/>
  <c r="D110" i="7"/>
  <c r="F110" i="7" s="1"/>
  <c r="F109" i="7"/>
  <c r="D108" i="7"/>
  <c r="F108" i="7" s="1"/>
  <c r="D107" i="7"/>
  <c r="F107" i="7" s="1"/>
  <c r="D106" i="7"/>
  <c r="F106" i="7" s="1"/>
  <c r="D105" i="7"/>
  <c r="F105" i="7" s="1"/>
  <c r="F104" i="7"/>
  <c r="F103" i="7"/>
  <c r="D100" i="7"/>
  <c r="F100" i="7" s="1"/>
  <c r="F99" i="7"/>
  <c r="D98" i="7"/>
  <c r="F98" i="7" s="1"/>
  <c r="F97" i="7"/>
  <c r="D96" i="7"/>
  <c r="F96" i="7" s="1"/>
  <c r="D95" i="7"/>
  <c r="F95" i="7" s="1"/>
  <c r="D94" i="7"/>
  <c r="F94" i="7" s="1"/>
  <c r="D93" i="7"/>
  <c r="F93" i="7" s="1"/>
  <c r="F92" i="7"/>
  <c r="F91" i="7"/>
  <c r="D89" i="7"/>
  <c r="F89" i="7" s="1"/>
  <c r="F88" i="7"/>
  <c r="D87" i="7"/>
  <c r="F87" i="7" s="1"/>
  <c r="F86" i="7"/>
  <c r="D85" i="7"/>
  <c r="F85" i="7" s="1"/>
  <c r="F84" i="7"/>
  <c r="D84" i="7"/>
  <c r="D83" i="7"/>
  <c r="F83" i="7" s="1"/>
  <c r="D82" i="7"/>
  <c r="F82" i="7" s="1"/>
  <c r="F81" i="7"/>
  <c r="F80" i="7"/>
  <c r="D78" i="7"/>
  <c r="F78" i="7" s="1"/>
  <c r="F77" i="7"/>
  <c r="D76" i="7"/>
  <c r="F76" i="7" s="1"/>
  <c r="F75" i="7"/>
  <c r="D74" i="7"/>
  <c r="F74" i="7" s="1"/>
  <c r="D73" i="7"/>
  <c r="F73" i="7" s="1"/>
  <c r="D72" i="7"/>
  <c r="F72" i="7" s="1"/>
  <c r="D71" i="7"/>
  <c r="F71" i="7" s="1"/>
  <c r="F70" i="7"/>
  <c r="F69" i="7"/>
  <c r="D67" i="7"/>
  <c r="F67" i="7" s="1"/>
  <c r="D66" i="7"/>
  <c r="F66" i="7" s="1"/>
  <c r="D65" i="7"/>
  <c r="F65" i="7" s="1"/>
  <c r="F64" i="7"/>
  <c r="D63" i="7"/>
  <c r="F63" i="7" s="1"/>
  <c r="D62" i="7"/>
  <c r="F62" i="7" s="1"/>
  <c r="D61" i="7"/>
  <c r="F61" i="7" s="1"/>
  <c r="D60" i="7"/>
  <c r="F60" i="7" s="1"/>
  <c r="F59" i="7"/>
  <c r="F58" i="7"/>
  <c r="D55" i="7"/>
  <c r="F55" i="7" s="1"/>
  <c r="F54" i="7"/>
  <c r="D53" i="7"/>
  <c r="F53" i="7" s="1"/>
  <c r="F52" i="7"/>
  <c r="F51" i="7"/>
  <c r="D50" i="7"/>
  <c r="F50" i="7" s="1"/>
  <c r="D49" i="7"/>
  <c r="F49" i="7" s="1"/>
  <c r="D48" i="7"/>
  <c r="F48" i="7" s="1"/>
  <c r="F47" i="7"/>
  <c r="F46" i="7"/>
  <c r="D44" i="7"/>
  <c r="F44" i="7" s="1"/>
  <c r="F43" i="7"/>
  <c r="D42" i="7"/>
  <c r="F42" i="7" s="1"/>
  <c r="F41" i="7"/>
  <c r="F40" i="7"/>
  <c r="D39" i="7"/>
  <c r="F39" i="7" s="1"/>
  <c r="D38" i="7"/>
  <c r="F38" i="7" s="1"/>
  <c r="D37" i="7"/>
  <c r="F37" i="7" s="1"/>
  <c r="F36" i="7"/>
  <c r="F35" i="7"/>
  <c r="D33" i="7"/>
  <c r="F33" i="7" s="1"/>
  <c r="F32" i="7"/>
  <c r="D31" i="7"/>
  <c r="F31" i="7" s="1"/>
  <c r="F30" i="7"/>
  <c r="D29" i="7"/>
  <c r="F29" i="7" s="1"/>
  <c r="D28" i="7"/>
  <c r="F28" i="7" s="1"/>
  <c r="D27" i="7"/>
  <c r="F27" i="7" s="1"/>
  <c r="D26" i="7"/>
  <c r="F26" i="7" s="1"/>
  <c r="F25" i="7"/>
  <c r="F24" i="7"/>
  <c r="D22" i="7"/>
  <c r="F22" i="7" s="1"/>
  <c r="D21" i="7"/>
  <c r="D20" i="7"/>
  <c r="F20" i="7" s="1"/>
  <c r="F19" i="7"/>
  <c r="D18" i="7"/>
  <c r="F18" i="7" s="1"/>
  <c r="D17" i="7"/>
  <c r="F17" i="7" s="1"/>
  <c r="D16" i="7"/>
  <c r="F16" i="7" s="1"/>
  <c r="D15" i="7"/>
  <c r="F15" i="7" s="1"/>
  <c r="F14" i="7"/>
  <c r="F13" i="7"/>
  <c r="F318" i="7" l="1"/>
  <c r="F21" i="7"/>
  <c r="F317" i="7" s="1"/>
  <c r="F111" i="7"/>
  <c r="F259" i="7"/>
  <c r="F319" i="7" l="1"/>
  <c r="F320" i="7" s="1"/>
  <c r="F321" i="7" s="1"/>
</calcChain>
</file>

<file path=xl/sharedStrings.xml><?xml version="1.0" encoding="utf-8"?>
<sst xmlns="http://schemas.openxmlformats.org/spreadsheetml/2006/main" count="870" uniqueCount="105">
  <si>
    <t>м2</t>
  </si>
  <si>
    <t>м3</t>
  </si>
  <si>
    <t>Всього вартість робіт без ПДВ, грн.</t>
  </si>
  <si>
    <t>Всього вартість матеріалів та обладнання без ПДВ, грн.</t>
  </si>
  <si>
    <t>ПДВ -20%, грн.</t>
  </si>
  <si>
    <t>Всього за кошторисом з ПДВ, грн.</t>
  </si>
  <si>
    <t>2.1</t>
  </si>
  <si>
    <t>2.2</t>
  </si>
  <si>
    <t>2.3</t>
  </si>
  <si>
    <t>3.1</t>
  </si>
  <si>
    <t>6.1</t>
  </si>
  <si>
    <t>8.1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</si>
  <si>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</si>
  <si>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</si>
  <si>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</si>
  <si>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</si>
  <si>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</si>
  <si>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</si>
  <si>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</si>
  <si>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</si>
  <si>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</si>
  <si>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</si>
  <si>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</si>
  <si>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11.1</t>
  </si>
  <si>
    <t>12</t>
  </si>
  <si>
    <t>12.1</t>
  </si>
  <si>
    <t>№ п/п</t>
  </si>
  <si>
    <t>Найменування робiт</t>
  </si>
  <si>
    <t>Од. вим.</t>
  </si>
  <si>
    <t xml:space="preserve">Обсяг </t>
  </si>
  <si>
    <t>Вартість робіт та матеріалів, грн без ПДВ</t>
  </si>
  <si>
    <t>за одиницю виміру</t>
  </si>
  <si>
    <t>ВСЬОГО</t>
  </si>
  <si>
    <t>Замовник</t>
  </si>
  <si>
    <t>Підрядник</t>
  </si>
  <si>
    <t>мп</t>
  </si>
  <si>
    <t>м</t>
  </si>
  <si>
    <t>тн</t>
  </si>
  <si>
    <t>Всього за кошторисом без ПДВ, грн.</t>
  </si>
  <si>
    <t>Сітка оцинкована 50*50мм, Ø 4мм</t>
  </si>
  <si>
    <t>Спіраль для ув'язування коробів</t>
  </si>
  <si>
    <t>Щебінь фракції 70*120мм</t>
  </si>
  <si>
    <t>4.1</t>
  </si>
  <si>
    <t>Виготовлення коробів Тип 1 (2м*0,3м) з оцинкованої сітки 50*50мм, Ø 4мм по розміру</t>
  </si>
  <si>
    <t>Виготовлення коробів Тип 2 (1,5м*0,5м) з оцинкованої сітки 50*50мм, Ø 4мм по розміру</t>
  </si>
  <si>
    <t>Встановлення коробів Тип 1 (2*0,3м)</t>
  </si>
  <si>
    <t>Встановлення коробів Тип 2 (1,5*0,5м)</t>
  </si>
  <si>
    <t>Заповнення коробів Тип 2 щебнем 70мм*120мм(1,5*0,5м)</t>
  </si>
  <si>
    <t>Заповнення коробів Тип 1 щебнем 70мм*120мм(2*0,3м)</t>
  </si>
  <si>
    <t>6.2</t>
  </si>
  <si>
    <t>6.3</t>
  </si>
  <si>
    <t>7.1</t>
  </si>
  <si>
    <t>Виготовлення коробів Тип 3 (1,0м*1,0м) з оцинкованої сітки 50*50мм, Ø 4мм по розміру</t>
  </si>
  <si>
    <t>Встановлення коробів Тип 3 (1,0*1,0м)</t>
  </si>
  <si>
    <t>Заповнення коробів щебнем 70мм*120мм(1,0*1,0м)</t>
  </si>
  <si>
    <t>10.1</t>
  </si>
  <si>
    <t>10.2</t>
  </si>
  <si>
    <t>10.3</t>
  </si>
  <si>
    <t>Укладання геотекстилю</t>
  </si>
  <si>
    <t>Скоба</t>
  </si>
  <si>
    <t>2.4</t>
  </si>
  <si>
    <t>шт</t>
  </si>
  <si>
    <t>Гачок L 2м</t>
  </si>
  <si>
    <t>Геотекстиль (рулон 2м*100, корисної площі 1,8 м *200) (щільність 300 г/м2)</t>
  </si>
  <si>
    <t>6.4</t>
  </si>
  <si>
    <t>Гачок L 1,5м</t>
  </si>
  <si>
    <t>10.4</t>
  </si>
  <si>
    <t>Гачок L 1,0м</t>
  </si>
  <si>
    <t>Виготовлення коробів Тип 4 (1,0м*1,0м) з оцинкованої сітки 50*50мм, Ø 4мм по розміру</t>
  </si>
  <si>
    <t>Встановлення коробів Тип 4 (1,0*1,0м)</t>
  </si>
  <si>
    <t>Виготовлення коробів Тип 3 (0,6м*1,0м) з оцинкованої сітки 50*50мм, Ø 4мм по розміру</t>
  </si>
  <si>
    <t>Встановлення коробів Тип 3 (0.6*1,0м)</t>
  </si>
  <si>
    <t>Виготовлення коробів Тип 2 (1м*1м) з оцинкованої сітки 50*50мм, Ø 4мм по розміру</t>
  </si>
  <si>
    <t>Встановлення коробів Тип 2 (1м*1м)</t>
  </si>
  <si>
    <t>Гачок L 1м</t>
  </si>
  <si>
    <t>Заповнення коробів Тип 2 щебнем 70мм*120мм(1*1м)</t>
  </si>
  <si>
    <t>Встановлення коробів Тип 2 (1*1м)</t>
  </si>
  <si>
    <t>Виготовлення коробів Тип 3 (0,6м*1м) з оцинкованої сітки 50*50мм, Ø 4мм по розміру</t>
  </si>
  <si>
    <t>Встановлення коробів Тип 3 (0,6*1,0м)</t>
  </si>
  <si>
    <t>Заповнення коробів щебнем 70мм*120мм(0,6*1,0м)</t>
  </si>
  <si>
    <t>Виготовлення коробів Тип 3 (0,5м*0,3м) з оцинкованої сітки 50*50мм, Ø 4мм по розміру</t>
  </si>
  <si>
    <t>Встановлення коробів Тип 3 (0,5*0,3м)</t>
  </si>
  <si>
    <t>Гачок L 0,5м</t>
  </si>
  <si>
    <t>Заповнення коробів щебнем 70мм*120мм(0,5*0,3м)</t>
  </si>
  <si>
    <t>Влаштування підпірних стін з габіонів,  ДІЛЯНКА I  L 44,78 м Тип1 (по проекту)</t>
  </si>
  <si>
    <t>Влаштування підпірних стін з габіонів, ДІЛЯНКА IІ/І L 25,2 м Тип 2 (по проекту)</t>
  </si>
  <si>
    <t>Влаштування підпірних стін з габіонів, ДІЛЯНКА IІ/ІІ L 28 м Тип 2 (по проекту)</t>
  </si>
  <si>
    <t>Влаштування підпірних стін з габіонів, ДІЛЯНКА IІІ/І L 19,6 м Тип 3 (по проекту)</t>
  </si>
  <si>
    <t>Влаштування підпірних стін з габіонів, ДІЛЯНКА IІІ/ІІ L 30,8 м Тип 3 (по проекту)</t>
  </si>
  <si>
    <t>Влаштування підпірних стін з габіонів, ДІЛЯНКА IV/І L 7,0 м Тип 4 (по проекту)</t>
  </si>
  <si>
    <t>Влаштування підпірних стін з габіонів, ДІЛЯНКА IV/ІІ L 22,4 м Тип 4 (по проекту)</t>
  </si>
  <si>
    <t>Влаштування підпірних стін з габіонів, ДІЛЯНКА V/І L 22,4 м Тип 5 (по проекту)</t>
  </si>
  <si>
    <t>КОМІРКА 1</t>
  </si>
  <si>
    <t>КОМІРКА 2</t>
  </si>
  <si>
    <t>КОМІРКА 3</t>
  </si>
  <si>
    <t>КОМІРКА 4</t>
  </si>
  <si>
    <t xml:space="preserve">Сума прописом: </t>
  </si>
  <si>
    <t xml:space="preserve">Замовник: </t>
  </si>
  <si>
    <t>Підрядник:</t>
  </si>
  <si>
    <t xml:space="preserve">Директор </t>
  </si>
  <si>
    <t xml:space="preserve">    _________________ </t>
  </si>
  <si>
    <t>Директор</t>
  </si>
  <si>
    <t xml:space="preserve">    ________________ </t>
  </si>
  <si>
    <r>
      <t>Кошторис ______________</t>
    </r>
    <r>
      <rPr>
        <b/>
        <sz val="10"/>
        <color rgb="FF0070C0"/>
        <rFont val="Times New Roman"/>
        <family val="1"/>
        <charset val="204"/>
      </rPr>
      <t>___________________</t>
    </r>
  </si>
  <si>
    <r>
      <t xml:space="preserve">Виконання робіт з улаштування </t>
    </r>
    <r>
      <rPr>
        <b/>
        <sz val="10"/>
        <color rgb="FF0070C0"/>
        <rFont val="Times New Roman"/>
        <family val="1"/>
        <charset val="204"/>
      </rPr>
      <t>підпірних стін з габіонів</t>
    </r>
    <r>
      <rPr>
        <b/>
        <sz val="10"/>
        <rFont val="Times New Roman"/>
        <family val="1"/>
        <charset val="204"/>
      </rPr>
      <t xml:space="preserve"> на об’єкті Замовника, розташованому за адресою: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</si>
</sst>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₴_-;\-* #,##0.00\ _₴_-;_-* &quot;-&quot;??\ _₴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rgb="FF0070C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49" fontId="8" fillId="0" borderId="0" xfId="0" applyNumberFormat="1" applyFont="1" applyAlignment="1">
      <alignment horizontal="center" vertical="center"/>
    </xf>
    <xf numFmtId="43" fontId="9" fillId="0" borderId="0" xfId="1" applyFont="1" applyFill="1" applyBorder="1" applyAlignment="1" applyProtection="1">
      <alignment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15" fillId="3" borderId="16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4" borderId="17" xfId="0" applyFont="1" applyFill="1" applyBorder="1" applyAlignment="1">
      <alignment vertical="center"/>
    </xf>
    <xf numFmtId="0" fontId="9" fillId="4" borderId="10" xfId="0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49" fontId="18" fillId="5" borderId="1" xfId="0" applyNumberFormat="1" applyFont="1" applyFill="1" applyBorder="1" applyAlignment="1">
      <alignment horizontal="left" vertical="center" wrapText="1"/>
    </xf>
    <xf numFmtId="49" fontId="9" fillId="5" borderId="2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left" vertical="center" wrapText="1"/>
    </xf>
    <xf numFmtId="164" fontId="9" fillId="5" borderId="1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164" fontId="18" fillId="5" borderId="1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right" vertical="center"/>
    </xf>
    <xf numFmtId="164" fontId="9" fillId="2" borderId="9" xfId="0" applyNumberFormat="1" applyFont="1" applyFill="1" applyBorder="1" applyAlignment="1">
      <alignment horizontal="right" vertical="center"/>
    </xf>
    <xf numFmtId="164" fontId="9" fillId="2" borderId="8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1" fontId="8" fillId="2" borderId="0" xfId="8" applyNumberFormat="1" applyFont="1" applyFill="1" applyAlignment="1">
      <alignment vertical="center"/>
    </xf>
    <xf numFmtId="0" fontId="12" fillId="2" borderId="0" xfId="8" applyFont="1" applyFill="1" applyAlignment="1">
      <alignment vertical="center"/>
    </xf>
    <xf numFmtId="4" fontId="12" fillId="2" borderId="0" xfId="8" applyNumberFormat="1" applyFont="1" applyFill="1" applyAlignment="1">
      <alignment vertical="center"/>
    </xf>
    <xf numFmtId="4" fontId="12" fillId="2" borderId="0" xfId="8" applyNumberFormat="1" applyFont="1" applyFill="1" applyAlignment="1">
      <alignment horizontal="center" vertical="center"/>
    </xf>
    <xf numFmtId="4" fontId="8" fillId="0" borderId="0" xfId="9" applyNumberFormat="1" applyFont="1" applyAlignment="1">
      <alignment horizontal="center" vertical="center"/>
    </xf>
    <xf numFmtId="4" fontId="9" fillId="0" borderId="0" xfId="9" applyNumberFormat="1" applyFont="1" applyAlignment="1">
      <alignment horizontal="right" vertical="center"/>
    </xf>
    <xf numFmtId="4" fontId="6" fillId="2" borderId="7" xfId="10" applyNumberFormat="1" applyFont="1" applyFill="1" applyBorder="1" applyAlignment="1">
      <alignment horizontal="center" vertical="center" wrapText="1"/>
    </xf>
    <xf numFmtId="4" fontId="6" fillId="2" borderId="8" xfId="1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9" applyFont="1" applyBorder="1" applyAlignment="1">
      <alignment horizontal="center" vertical="center" wrapText="1"/>
    </xf>
    <xf numFmtId="2" fontId="9" fillId="0" borderId="1" xfId="9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9" fillId="0" borderId="9" xfId="9" applyNumberFormat="1" applyFont="1" applyBorder="1" applyAlignment="1">
      <alignment horizontal="center" vertical="center" wrapText="1"/>
    </xf>
    <xf numFmtId="0" fontId="9" fillId="3" borderId="1" xfId="9" applyFont="1" applyFill="1" applyBorder="1" applyAlignment="1">
      <alignment horizontal="center" vertical="center" wrapText="1"/>
    </xf>
    <xf numFmtId="2" fontId="9" fillId="3" borderId="1" xfId="9" applyNumberFormat="1" applyFont="1" applyFill="1" applyBorder="1" applyAlignment="1">
      <alignment horizontal="center" vertical="center" wrapText="1"/>
    </xf>
    <xf numFmtId="164" fontId="9" fillId="3" borderId="9" xfId="9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9" applyFont="1" applyBorder="1" applyAlignment="1">
      <alignment horizontal="center" vertical="center" wrapText="1"/>
    </xf>
    <xf numFmtId="2" fontId="10" fillId="0" borderId="1" xfId="9" applyNumberFormat="1" applyFont="1" applyBorder="1" applyAlignment="1">
      <alignment horizontal="center" vertical="center" wrapText="1"/>
    </xf>
    <xf numFmtId="164" fontId="10" fillId="0" borderId="9" xfId="9" applyNumberFormat="1" applyFont="1" applyBorder="1" applyAlignment="1">
      <alignment horizontal="center" vertical="center" wrapText="1"/>
    </xf>
    <xf numFmtId="0" fontId="10" fillId="2" borderId="1" xfId="9" applyFont="1" applyFill="1" applyBorder="1" applyAlignment="1">
      <alignment horizontal="center" vertical="center" wrapText="1"/>
    </xf>
    <xf numFmtId="2" fontId="10" fillId="2" borderId="1" xfId="9" applyNumberFormat="1" applyFont="1" applyFill="1" applyBorder="1" applyAlignment="1">
      <alignment horizontal="center" vertical="center" wrapText="1"/>
    </xf>
    <xf numFmtId="164" fontId="10" fillId="2" borderId="9" xfId="9" applyNumberFormat="1" applyFont="1" applyFill="1" applyBorder="1" applyAlignment="1">
      <alignment horizontal="center" vertical="center" wrapText="1"/>
    </xf>
    <xf numFmtId="0" fontId="18" fillId="5" borderId="1" xfId="9" applyFont="1" applyFill="1" applyBorder="1" applyAlignment="1">
      <alignment horizontal="center" vertical="center" wrapText="1"/>
    </xf>
    <xf numFmtId="2" fontId="18" fillId="5" borderId="1" xfId="9" applyNumberFormat="1" applyFont="1" applyFill="1" applyBorder="1" applyAlignment="1">
      <alignment horizontal="center" vertical="center" wrapText="1"/>
    </xf>
    <xf numFmtId="164" fontId="6" fillId="5" borderId="9" xfId="9" applyNumberFormat="1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9" fillId="5" borderId="1" xfId="9" applyFont="1" applyFill="1" applyBorder="1" applyAlignment="1">
      <alignment horizontal="center" vertical="center" wrapText="1"/>
    </xf>
    <xf numFmtId="2" fontId="9" fillId="5" borderId="1" xfId="9" applyNumberFormat="1" applyFont="1" applyFill="1" applyBorder="1" applyAlignment="1">
      <alignment horizontal="center" vertical="center" wrapText="1"/>
    </xf>
    <xf numFmtId="164" fontId="9" fillId="5" borderId="9" xfId="9" applyNumberFormat="1" applyFont="1" applyFill="1" applyBorder="1" applyAlignment="1">
      <alignment horizontal="center" vertical="center" wrapText="1"/>
    </xf>
    <xf numFmtId="164" fontId="9" fillId="2" borderId="9" xfId="9" applyNumberFormat="1" applyFont="1" applyFill="1" applyBorder="1" applyAlignment="1">
      <alignment horizontal="center" vertical="center" wrapText="1"/>
    </xf>
    <xf numFmtId="0" fontId="11" fillId="2" borderId="1" xfId="9" applyFont="1" applyFill="1" applyBorder="1" applyAlignment="1">
      <alignment horizontal="center" vertical="center" wrapText="1"/>
    </xf>
    <xf numFmtId="2" fontId="11" fillId="2" borderId="1" xfId="9" applyNumberFormat="1" applyFont="1" applyFill="1" applyBorder="1" applyAlignment="1">
      <alignment horizontal="center" vertical="center" wrapText="1"/>
    </xf>
    <xf numFmtId="164" fontId="11" fillId="2" borderId="9" xfId="9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0" fontId="8" fillId="2" borderId="0" xfId="9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left" vertical="center" wrapText="1"/>
    </xf>
    <xf numFmtId="0" fontId="8" fillId="2" borderId="0" xfId="8" applyFont="1" applyFill="1" applyAlignment="1">
      <alignment vertical="center"/>
    </xf>
    <xf numFmtId="0" fontId="14" fillId="2" borderId="0" xfId="8" applyFont="1" applyFill="1" applyAlignment="1">
      <alignment vertical="center"/>
    </xf>
    <xf numFmtId="4" fontId="14" fillId="2" borderId="0" xfId="8" applyNumberFormat="1" applyFont="1" applyFill="1" applyAlignment="1">
      <alignment vertical="center"/>
    </xf>
    <xf numFmtId="0" fontId="13" fillId="2" borderId="0" xfId="8" applyFont="1" applyFill="1" applyAlignment="1">
      <alignment vertical="center"/>
    </xf>
    <xf numFmtId="49" fontId="8" fillId="0" borderId="0" xfId="9" applyNumberFormat="1" applyFont="1" applyAlignment="1">
      <alignment vertical="center"/>
    </xf>
    <xf numFmtId="0" fontId="8" fillId="0" borderId="0" xfId="3" applyFont="1" applyAlignment="1">
      <alignment horizontal="center" vertical="center"/>
    </xf>
    <xf numFmtId="49" fontId="10" fillId="2" borderId="18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left" vertical="center" wrapText="1"/>
    </xf>
    <xf numFmtId="0" fontId="10" fillId="2" borderId="19" xfId="9" applyFont="1" applyFill="1" applyBorder="1" applyAlignment="1">
      <alignment horizontal="center" vertical="center" wrapText="1"/>
    </xf>
    <xf numFmtId="2" fontId="10" fillId="2" borderId="19" xfId="9" applyNumberFormat="1" applyFont="1" applyFill="1" applyBorder="1" applyAlignment="1">
      <alignment horizontal="center" vertical="center" wrapText="1"/>
    </xf>
    <xf numFmtId="164" fontId="10" fillId="2" borderId="19" xfId="0" applyNumberFormat="1" applyFont="1" applyFill="1" applyBorder="1" applyAlignment="1">
      <alignment horizontal="center" vertical="center"/>
    </xf>
    <xf numFmtId="164" fontId="10" fillId="2" borderId="20" xfId="9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43" fontId="16" fillId="4" borderId="22" xfId="1" applyFont="1" applyFill="1" applyBorder="1" applyAlignment="1">
      <alignment horizontal="center" vertical="center" wrapText="1"/>
    </xf>
    <xf numFmtId="43" fontId="16" fillId="4" borderId="23" xfId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49" fontId="9" fillId="2" borderId="6" xfId="0" applyNumberFormat="1" applyFont="1" applyFill="1" applyBorder="1" applyAlignment="1">
      <alignment horizontal="left" vertical="center"/>
    </xf>
    <xf numFmtId="49" fontId="9" fillId="2" borderId="7" xfId="0" applyNumberFormat="1" applyFont="1" applyFill="1" applyBorder="1" applyAlignment="1">
      <alignment horizontal="left" vertical="center"/>
    </xf>
    <xf numFmtId="2" fontId="12" fillId="2" borderId="0" xfId="8" applyNumberFormat="1" applyFont="1" applyFill="1" applyAlignment="1">
      <alignment horizontal="left" vertical="center" wrapText="1"/>
    </xf>
    <xf numFmtId="2" fontId="12" fillId="2" borderId="0" xfId="8" applyNumberFormat="1" applyFont="1" applyFill="1" applyAlignment="1">
      <alignment horizontal="center" vertical="center" wrapText="1"/>
    </xf>
    <xf numFmtId="4" fontId="12" fillId="2" borderId="0" xfId="8" applyNumberFormat="1" applyFont="1" applyFill="1" applyAlignment="1">
      <alignment horizontal="left" vertical="center" wrapText="1"/>
    </xf>
    <xf numFmtId="0" fontId="9" fillId="0" borderId="0" xfId="8" applyFont="1" applyAlignment="1">
      <alignment horizontal="center" vertical="center"/>
    </xf>
    <xf numFmtId="4" fontId="9" fillId="0" borderId="0" xfId="8" applyNumberFormat="1" applyFont="1" applyAlignment="1">
      <alignment horizontal="center" vertical="center"/>
    </xf>
    <xf numFmtId="0" fontId="9" fillId="2" borderId="0" xfId="8" applyFont="1" applyFill="1" applyAlignment="1">
      <alignment horizontal="center" vertical="center" wrapText="1"/>
    </xf>
    <xf numFmtId="1" fontId="6" fillId="2" borderId="3" xfId="10" applyNumberFormat="1" applyFont="1" applyFill="1" applyBorder="1" applyAlignment="1">
      <alignment horizontal="center" vertical="center" wrapText="1"/>
    </xf>
    <xf numFmtId="1" fontId="6" fillId="2" borderId="6" xfId="10" applyNumberFormat="1" applyFont="1" applyFill="1" applyBorder="1" applyAlignment="1">
      <alignment horizontal="center" vertical="center" wrapText="1"/>
    </xf>
    <xf numFmtId="0" fontId="6" fillId="2" borderId="4" xfId="10" applyFont="1" applyFill="1" applyBorder="1" applyAlignment="1">
      <alignment horizontal="center" vertical="center"/>
    </xf>
    <xf numFmtId="0" fontId="6" fillId="2" borderId="7" xfId="10" applyFont="1" applyFill="1" applyBorder="1" applyAlignment="1">
      <alignment horizontal="center" vertical="center"/>
    </xf>
    <xf numFmtId="0" fontId="6" fillId="2" borderId="4" xfId="10" applyFont="1" applyFill="1" applyBorder="1" applyAlignment="1">
      <alignment horizontal="center" vertical="center" wrapText="1"/>
    </xf>
    <xf numFmtId="0" fontId="6" fillId="2" borderId="7" xfId="10" applyFont="1" applyFill="1" applyBorder="1" applyAlignment="1">
      <alignment horizontal="center" vertical="center" wrapText="1"/>
    </xf>
    <xf numFmtId="4" fontId="7" fillId="2" borderId="4" xfId="8" applyNumberFormat="1" applyFont="1" applyFill="1" applyBorder="1" applyAlignment="1">
      <alignment horizontal="center" vertical="center" wrapText="1"/>
    </xf>
    <xf numFmtId="4" fontId="7" fillId="2" borderId="5" xfId="8" applyNumberFormat="1" applyFont="1" applyFill="1" applyBorder="1" applyAlignment="1">
      <alignment horizontal="center" vertical="center" wrapText="1"/>
    </xf>
  </cellXfs>
  <cellStyles count="11">
    <cellStyle name="Звичайний" xfId="0" builtinId="0"/>
    <cellStyle name="Звичайний 2" xfId="4" xr:uid="{00000000-0005-0000-0000-000000000000}"/>
    <cellStyle name="Обычный 12" xfId="7" xr:uid="{D345458C-B3DE-4A50-A7C9-92B33022068C}"/>
    <cellStyle name="Обычный 2" xfId="5" xr:uid="{772F4287-2910-4F4F-8AD6-96D4C4755778}"/>
    <cellStyle name="Обычный 2 2" xfId="10" xr:uid="{0E915330-0E67-473D-B8EF-A4F5FC1F3D07}"/>
    <cellStyle name="Обычный 2 6" xfId="3" xr:uid="{00000000-0005-0000-0000-000002000000}"/>
    <cellStyle name="Обычный 3" xfId="2" xr:uid="{00000000-0005-0000-0000-000003000000}"/>
    <cellStyle name="Обычный 3 2" xfId="9" xr:uid="{17C355A6-38CB-4C79-8CE0-8237BE8776A0}"/>
    <cellStyle name="Обычный 4" xfId="6" xr:uid="{67C81274-AD3B-4954-A893-51B2E9B4E267}"/>
    <cellStyle name="Обычный 4 2" xfId="8" xr:uid="{07FDD455-FC56-44E3-817B-21A6847C135D}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15E1-6A48-4B20-847C-FD8B46FBE40A}">
  <sheetPr>
    <pageSetUpPr fitToPage="1"/>
  </sheetPr>
  <dimension ref="A1:F329"/>
  <sheetViews>
    <sheetView tabSelected="1" topLeftCell="A302" zoomScale="70" zoomScaleNormal="70" zoomScaleSheetLayoutView="145" workbookViewId="0">
      <selection activeCell="A6" sqref="A6:F6"/>
    </sheetView>
  </sheetViews>
  <sheetFormatPr defaultColWidth="9.1171875" defaultRowHeight="12.7" x14ac:dyDescent="0.5"/>
  <cols>
    <col min="1" max="1" width="5.87890625" style="14" customWidth="1"/>
    <col min="2" max="2" width="64.46875" style="14" customWidth="1"/>
    <col min="3" max="3" width="8.64453125" style="14" customWidth="1"/>
    <col min="4" max="4" width="11.1171875" style="14" customWidth="1"/>
    <col min="5" max="5" width="12.87890625" style="14" customWidth="1"/>
    <col min="6" max="6" width="14.3515625" style="14" customWidth="1"/>
    <col min="7" max="16384" width="9.1171875" style="14"/>
  </cols>
  <sheetData>
    <row r="1" spans="1:6" s="13" customFormat="1" x14ac:dyDescent="0.5">
      <c r="A1" s="31"/>
      <c r="B1" s="32"/>
      <c r="C1" s="33"/>
      <c r="D1" s="34"/>
      <c r="E1" s="33"/>
      <c r="F1" s="33"/>
    </row>
    <row r="2" spans="1:6" s="13" customFormat="1" x14ac:dyDescent="0.5">
      <c r="A2" s="31" t="s">
        <v>97</v>
      </c>
      <c r="B2" s="32"/>
      <c r="C2" s="33"/>
      <c r="D2" s="34"/>
      <c r="E2" s="33"/>
      <c r="F2" s="33"/>
    </row>
    <row r="3" spans="1:6" s="13" customFormat="1" x14ac:dyDescent="0.5">
      <c r="A3" s="31" t="s">
        <v>98</v>
      </c>
      <c r="B3" s="32"/>
      <c r="C3" s="33"/>
      <c r="D3" s="34"/>
      <c r="E3" s="33"/>
      <c r="F3" s="33"/>
    </row>
    <row r="4" spans="1:6" s="13" customFormat="1" x14ac:dyDescent="0.5">
      <c r="A4" s="99"/>
      <c r="B4" s="99"/>
      <c r="C4" s="99"/>
      <c r="D4" s="100"/>
      <c r="E4" s="99"/>
      <c r="F4" s="101"/>
    </row>
    <row r="5" spans="1:6" s="13" customFormat="1" x14ac:dyDescent="0.5">
      <c r="A5" s="102" t="s">
        <v>103</v>
      </c>
      <c r="B5" s="102"/>
      <c r="C5" s="102"/>
      <c r="D5" s="102"/>
      <c r="E5" s="102"/>
      <c r="F5" s="103"/>
    </row>
    <row r="6" spans="1:6" s="13" customFormat="1" ht="30.75" customHeight="1" x14ac:dyDescent="0.5">
      <c r="A6" s="104" t="s">
        <v>104</v>
      </c>
      <c r="B6" s="104"/>
      <c r="C6" s="104"/>
      <c r="D6" s="104"/>
      <c r="E6" s="104"/>
      <c r="F6" s="104"/>
    </row>
    <row r="7" spans="1:6" ht="13" thickBot="1" x14ac:dyDescent="0.55000000000000004">
      <c r="A7" s="1"/>
      <c r="B7" s="2"/>
      <c r="C7" s="2"/>
      <c r="D7" s="2"/>
      <c r="E7" s="35"/>
      <c r="F7" s="36"/>
    </row>
    <row r="8" spans="1:6" s="13" customFormat="1" x14ac:dyDescent="0.5">
      <c r="A8" s="105" t="s">
        <v>26</v>
      </c>
      <c r="B8" s="107" t="s">
        <v>27</v>
      </c>
      <c r="C8" s="109" t="s">
        <v>28</v>
      </c>
      <c r="D8" s="109" t="s">
        <v>29</v>
      </c>
      <c r="E8" s="111" t="s">
        <v>30</v>
      </c>
      <c r="F8" s="112"/>
    </row>
    <row r="9" spans="1:6" s="13" customFormat="1" ht="25" thickBot="1" x14ac:dyDescent="0.55000000000000004">
      <c r="A9" s="106"/>
      <c r="B9" s="108"/>
      <c r="C9" s="110"/>
      <c r="D9" s="110"/>
      <c r="E9" s="37" t="s">
        <v>31</v>
      </c>
      <c r="F9" s="38" t="s">
        <v>32</v>
      </c>
    </row>
    <row r="10" spans="1:6" ht="13" thickBot="1" x14ac:dyDescent="0.55000000000000004">
      <c r="A10" s="39">
        <v>1</v>
      </c>
      <c r="B10" s="40">
        <v>2</v>
      </c>
      <c r="C10" s="40">
        <v>3</v>
      </c>
      <c r="D10" s="40">
        <v>4</v>
      </c>
      <c r="E10" s="40">
        <v>5</v>
      </c>
      <c r="F10" s="41">
        <v>6</v>
      </c>
    </row>
    <row r="11" spans="1:6" ht="14.35" x14ac:dyDescent="0.5">
      <c r="A11" s="18"/>
      <c r="B11" s="18" t="s">
        <v>84</v>
      </c>
      <c r="C11" s="19"/>
      <c r="D11" s="19"/>
      <c r="E11" s="19"/>
      <c r="F11" s="20"/>
    </row>
    <row r="12" spans="1:6" x14ac:dyDescent="0.5">
      <c r="A12" s="42"/>
      <c r="B12" s="43" t="s">
        <v>92</v>
      </c>
      <c r="C12" s="44"/>
      <c r="D12" s="45"/>
      <c r="E12" s="46"/>
      <c r="F12" s="47"/>
    </row>
    <row r="13" spans="1:6" s="15" customFormat="1" ht="25.35" x14ac:dyDescent="0.5">
      <c r="A13" s="3" t="s">
        <v>12</v>
      </c>
      <c r="B13" s="4" t="s">
        <v>43</v>
      </c>
      <c r="C13" s="48" t="s">
        <v>36</v>
      </c>
      <c r="D13" s="49">
        <v>44.78</v>
      </c>
      <c r="E13" s="5"/>
      <c r="F13" s="50">
        <f t="shared" ref="F13:F22" si="0">D13*E13</f>
        <v>0</v>
      </c>
    </row>
    <row r="14" spans="1:6" s="15" customFormat="1" x14ac:dyDescent="0.5">
      <c r="A14" s="3" t="s">
        <v>13</v>
      </c>
      <c r="B14" s="6" t="s">
        <v>45</v>
      </c>
      <c r="C14" s="48" t="s">
        <v>36</v>
      </c>
      <c r="D14" s="49">
        <v>44.78</v>
      </c>
      <c r="E14" s="5"/>
      <c r="F14" s="50">
        <f t="shared" si="0"/>
        <v>0</v>
      </c>
    </row>
    <row r="15" spans="1:6" x14ac:dyDescent="0.5">
      <c r="A15" s="51" t="s">
        <v>6</v>
      </c>
      <c r="B15" s="52" t="s">
        <v>39</v>
      </c>
      <c r="C15" s="53" t="s">
        <v>0</v>
      </c>
      <c r="D15" s="54">
        <f>4.6*44.78+0.6*46</f>
        <v>233.59</v>
      </c>
      <c r="E15" s="9"/>
      <c r="F15" s="55">
        <f t="shared" si="0"/>
        <v>0</v>
      </c>
    </row>
    <row r="16" spans="1:6" x14ac:dyDescent="0.5">
      <c r="A16" s="51" t="s">
        <v>7</v>
      </c>
      <c r="B16" s="52" t="s">
        <v>40</v>
      </c>
      <c r="C16" s="53" t="s">
        <v>36</v>
      </c>
      <c r="D16" s="54">
        <f>44.78*4+4.6*46</f>
        <v>390.72</v>
      </c>
      <c r="E16" s="9"/>
      <c r="F16" s="55">
        <f t="shared" si="0"/>
        <v>0</v>
      </c>
    </row>
    <row r="17" spans="1:6" x14ac:dyDescent="0.5">
      <c r="A17" s="51" t="s">
        <v>8</v>
      </c>
      <c r="B17" s="52" t="s">
        <v>59</v>
      </c>
      <c r="C17" s="53" t="s">
        <v>61</v>
      </c>
      <c r="D17" s="54">
        <f>10*50</f>
        <v>500</v>
      </c>
      <c r="E17" s="9"/>
      <c r="F17" s="55">
        <f t="shared" si="0"/>
        <v>0</v>
      </c>
    </row>
    <row r="18" spans="1:6" x14ac:dyDescent="0.5">
      <c r="A18" s="51" t="s">
        <v>60</v>
      </c>
      <c r="B18" s="52" t="s">
        <v>62</v>
      </c>
      <c r="C18" s="53" t="s">
        <v>61</v>
      </c>
      <c r="D18" s="54">
        <f>46*2</f>
        <v>92</v>
      </c>
      <c r="E18" s="9"/>
      <c r="F18" s="55">
        <f t="shared" si="0"/>
        <v>0</v>
      </c>
    </row>
    <row r="19" spans="1:6" s="15" customFormat="1" x14ac:dyDescent="0.5">
      <c r="A19" s="3" t="s">
        <v>14</v>
      </c>
      <c r="B19" s="6" t="s">
        <v>48</v>
      </c>
      <c r="C19" s="48" t="s">
        <v>1</v>
      </c>
      <c r="D19" s="49">
        <v>26.9</v>
      </c>
      <c r="E19" s="5"/>
      <c r="F19" s="50">
        <f t="shared" si="0"/>
        <v>0</v>
      </c>
    </row>
    <row r="20" spans="1:6" s="16" customFormat="1" x14ac:dyDescent="0.5">
      <c r="A20" s="7" t="s">
        <v>9</v>
      </c>
      <c r="B20" s="8" t="s">
        <v>41</v>
      </c>
      <c r="C20" s="56" t="s">
        <v>37</v>
      </c>
      <c r="D20" s="57">
        <f>26.9*1.35*1.05</f>
        <v>38.130000000000003</v>
      </c>
      <c r="E20" s="9"/>
      <c r="F20" s="58">
        <f t="shared" si="0"/>
        <v>0</v>
      </c>
    </row>
    <row r="21" spans="1:6" s="16" customFormat="1" x14ac:dyDescent="0.5">
      <c r="A21" s="25" t="s">
        <v>15</v>
      </c>
      <c r="B21" s="21" t="s">
        <v>58</v>
      </c>
      <c r="C21" s="59" t="s">
        <v>0</v>
      </c>
      <c r="D21" s="60">
        <f>3.3*44.78</f>
        <v>147.77000000000001</v>
      </c>
      <c r="E21" s="26"/>
      <c r="F21" s="61">
        <f t="shared" si="0"/>
        <v>0</v>
      </c>
    </row>
    <row r="22" spans="1:6" s="16" customFormat="1" x14ac:dyDescent="0.5">
      <c r="A22" s="7" t="s">
        <v>42</v>
      </c>
      <c r="B22" s="8" t="s">
        <v>63</v>
      </c>
      <c r="C22" s="56" t="s">
        <v>0</v>
      </c>
      <c r="D22" s="57">
        <f>25*2*3.3</f>
        <v>165</v>
      </c>
      <c r="E22" s="9"/>
      <c r="F22" s="58">
        <f t="shared" si="0"/>
        <v>0</v>
      </c>
    </row>
    <row r="23" spans="1:6" s="16" customFormat="1" x14ac:dyDescent="0.5">
      <c r="A23" s="7"/>
      <c r="B23" s="43" t="s">
        <v>93</v>
      </c>
      <c r="C23" s="56"/>
      <c r="D23" s="57"/>
      <c r="E23" s="9"/>
      <c r="F23" s="58"/>
    </row>
    <row r="24" spans="1:6" s="16" customFormat="1" ht="25.35" x14ac:dyDescent="0.5">
      <c r="A24" s="3" t="s">
        <v>16</v>
      </c>
      <c r="B24" s="12" t="s">
        <v>44</v>
      </c>
      <c r="C24" s="48" t="s">
        <v>36</v>
      </c>
      <c r="D24" s="49">
        <v>44.78</v>
      </c>
      <c r="E24" s="5"/>
      <c r="F24" s="50">
        <f t="shared" ref="F24:F33" si="1">D24*E24</f>
        <v>0</v>
      </c>
    </row>
    <row r="25" spans="1:6" s="16" customFormat="1" x14ac:dyDescent="0.5">
      <c r="A25" s="3" t="s">
        <v>17</v>
      </c>
      <c r="B25" s="12" t="s">
        <v>46</v>
      </c>
      <c r="C25" s="48" t="s">
        <v>36</v>
      </c>
      <c r="D25" s="49">
        <v>44.78</v>
      </c>
      <c r="E25" s="5"/>
      <c r="F25" s="50">
        <f t="shared" si="1"/>
        <v>0</v>
      </c>
    </row>
    <row r="26" spans="1:6" s="16" customFormat="1" x14ac:dyDescent="0.5">
      <c r="A26" s="7" t="s">
        <v>10</v>
      </c>
      <c r="B26" s="8" t="s">
        <v>39</v>
      </c>
      <c r="C26" s="56" t="s">
        <v>0</v>
      </c>
      <c r="D26" s="57">
        <f>2.5*44.78+0.75*46</f>
        <v>146.44999999999999</v>
      </c>
      <c r="E26" s="9"/>
      <c r="F26" s="58">
        <f t="shared" si="1"/>
        <v>0</v>
      </c>
    </row>
    <row r="27" spans="1:6" s="16" customFormat="1" x14ac:dyDescent="0.5">
      <c r="A27" s="7" t="s">
        <v>49</v>
      </c>
      <c r="B27" s="62" t="s">
        <v>40</v>
      </c>
      <c r="C27" s="56" t="s">
        <v>36</v>
      </c>
      <c r="D27" s="57">
        <f>44.78*4+46*4</f>
        <v>363.12</v>
      </c>
      <c r="E27" s="9"/>
      <c r="F27" s="58">
        <f t="shared" si="1"/>
        <v>0</v>
      </c>
    </row>
    <row r="28" spans="1:6" s="16" customFormat="1" x14ac:dyDescent="0.5">
      <c r="A28" s="7" t="s">
        <v>50</v>
      </c>
      <c r="B28" s="8" t="s">
        <v>59</v>
      </c>
      <c r="C28" s="56" t="s">
        <v>61</v>
      </c>
      <c r="D28" s="57">
        <f>5*50</f>
        <v>250</v>
      </c>
      <c r="E28" s="9"/>
      <c r="F28" s="58">
        <f t="shared" si="1"/>
        <v>0</v>
      </c>
    </row>
    <row r="29" spans="1:6" s="16" customFormat="1" x14ac:dyDescent="0.5">
      <c r="A29" s="7" t="s">
        <v>64</v>
      </c>
      <c r="B29" s="8" t="s">
        <v>65</v>
      </c>
      <c r="C29" s="56" t="s">
        <v>61</v>
      </c>
      <c r="D29" s="57">
        <f>46*2</f>
        <v>92</v>
      </c>
      <c r="E29" s="9"/>
      <c r="F29" s="58">
        <f t="shared" si="1"/>
        <v>0</v>
      </c>
    </row>
    <row r="30" spans="1:6" s="16" customFormat="1" x14ac:dyDescent="0.5">
      <c r="A30" s="3" t="s">
        <v>18</v>
      </c>
      <c r="B30" s="6" t="s">
        <v>47</v>
      </c>
      <c r="C30" s="48" t="s">
        <v>1</v>
      </c>
      <c r="D30" s="49">
        <v>33.6</v>
      </c>
      <c r="E30" s="5"/>
      <c r="F30" s="50">
        <f t="shared" si="1"/>
        <v>0</v>
      </c>
    </row>
    <row r="31" spans="1:6" s="15" customFormat="1" x14ac:dyDescent="0.5">
      <c r="A31" s="7" t="s">
        <v>51</v>
      </c>
      <c r="B31" s="8" t="s">
        <v>41</v>
      </c>
      <c r="C31" s="56" t="s">
        <v>37</v>
      </c>
      <c r="D31" s="57">
        <f>33.6*1.35*1.05</f>
        <v>47.63</v>
      </c>
      <c r="E31" s="9"/>
      <c r="F31" s="58">
        <f t="shared" si="1"/>
        <v>0</v>
      </c>
    </row>
    <row r="32" spans="1:6" s="15" customFormat="1" x14ac:dyDescent="0.5">
      <c r="A32" s="22" t="s">
        <v>19</v>
      </c>
      <c r="B32" s="23" t="s">
        <v>58</v>
      </c>
      <c r="C32" s="63" t="s">
        <v>0</v>
      </c>
      <c r="D32" s="64">
        <v>44.78</v>
      </c>
      <c r="E32" s="24"/>
      <c r="F32" s="65">
        <f t="shared" si="1"/>
        <v>0</v>
      </c>
    </row>
    <row r="33" spans="1:6" s="15" customFormat="1" x14ac:dyDescent="0.5">
      <c r="A33" s="7" t="s">
        <v>11</v>
      </c>
      <c r="B33" s="8" t="s">
        <v>63</v>
      </c>
      <c r="C33" s="56" t="s">
        <v>0</v>
      </c>
      <c r="D33" s="57">
        <f>25*2*1</f>
        <v>50</v>
      </c>
      <c r="E33" s="9"/>
      <c r="F33" s="66">
        <f t="shared" si="1"/>
        <v>0</v>
      </c>
    </row>
    <row r="34" spans="1:6" x14ac:dyDescent="0.5">
      <c r="A34" s="7"/>
      <c r="B34" s="43" t="s">
        <v>94</v>
      </c>
      <c r="C34" s="67"/>
      <c r="D34" s="68"/>
      <c r="E34" s="10"/>
      <c r="F34" s="69"/>
    </row>
    <row r="35" spans="1:6" s="15" customFormat="1" ht="25.35" x14ac:dyDescent="0.5">
      <c r="A35" s="3" t="s">
        <v>20</v>
      </c>
      <c r="B35" s="12" t="s">
        <v>52</v>
      </c>
      <c r="C35" s="48" t="s">
        <v>36</v>
      </c>
      <c r="D35" s="49">
        <v>44.78</v>
      </c>
      <c r="E35" s="5"/>
      <c r="F35" s="50">
        <f t="shared" ref="F35:F44" si="2">D35*E35</f>
        <v>0</v>
      </c>
    </row>
    <row r="36" spans="1:6" x14ac:dyDescent="0.5">
      <c r="A36" s="3" t="s">
        <v>21</v>
      </c>
      <c r="B36" s="12" t="s">
        <v>53</v>
      </c>
      <c r="C36" s="48" t="s">
        <v>36</v>
      </c>
      <c r="D36" s="49">
        <v>44.78</v>
      </c>
      <c r="E36" s="5"/>
      <c r="F36" s="50">
        <f t="shared" si="2"/>
        <v>0</v>
      </c>
    </row>
    <row r="37" spans="1:6" s="15" customFormat="1" x14ac:dyDescent="0.5">
      <c r="A37" s="7" t="s">
        <v>55</v>
      </c>
      <c r="B37" s="8" t="s">
        <v>39</v>
      </c>
      <c r="C37" s="56" t="s">
        <v>0</v>
      </c>
      <c r="D37" s="57">
        <f>3*44.78+1*46</f>
        <v>180.34</v>
      </c>
      <c r="E37" s="9"/>
      <c r="F37" s="58">
        <f t="shared" si="2"/>
        <v>0</v>
      </c>
    </row>
    <row r="38" spans="1:6" x14ac:dyDescent="0.5">
      <c r="A38" s="7" t="s">
        <v>56</v>
      </c>
      <c r="B38" s="62" t="s">
        <v>40</v>
      </c>
      <c r="C38" s="56" t="s">
        <v>36</v>
      </c>
      <c r="D38" s="57">
        <f>44.78*4+46*4</f>
        <v>363.12</v>
      </c>
      <c r="E38" s="9"/>
      <c r="F38" s="58">
        <f t="shared" si="2"/>
        <v>0</v>
      </c>
    </row>
    <row r="39" spans="1:6" x14ac:dyDescent="0.5">
      <c r="A39" s="7" t="s">
        <v>57</v>
      </c>
      <c r="B39" s="8" t="s">
        <v>59</v>
      </c>
      <c r="C39" s="56" t="s">
        <v>61</v>
      </c>
      <c r="D39" s="57">
        <f>50*5</f>
        <v>250</v>
      </c>
      <c r="E39" s="9"/>
      <c r="F39" s="58">
        <f t="shared" si="2"/>
        <v>0</v>
      </c>
    </row>
    <row r="40" spans="1:6" x14ac:dyDescent="0.5">
      <c r="A40" s="7" t="s">
        <v>66</v>
      </c>
      <c r="B40" s="8" t="s">
        <v>67</v>
      </c>
      <c r="C40" s="56" t="s">
        <v>61</v>
      </c>
      <c r="D40" s="57">
        <v>92</v>
      </c>
      <c r="E40" s="9"/>
      <c r="F40" s="58">
        <f t="shared" si="2"/>
        <v>0</v>
      </c>
    </row>
    <row r="41" spans="1:6" x14ac:dyDescent="0.5">
      <c r="A41" s="3" t="s">
        <v>22</v>
      </c>
      <c r="B41" s="6" t="s">
        <v>54</v>
      </c>
      <c r="C41" s="48" t="s">
        <v>1</v>
      </c>
      <c r="D41" s="49">
        <v>44.78</v>
      </c>
      <c r="E41" s="5"/>
      <c r="F41" s="50">
        <f t="shared" si="2"/>
        <v>0</v>
      </c>
    </row>
    <row r="42" spans="1:6" x14ac:dyDescent="0.5">
      <c r="A42" s="7" t="s">
        <v>23</v>
      </c>
      <c r="B42" s="8" t="s">
        <v>41</v>
      </c>
      <c r="C42" s="56" t="s">
        <v>37</v>
      </c>
      <c r="D42" s="57">
        <f>1*44.78*1.35*1.05</f>
        <v>63.48</v>
      </c>
      <c r="E42" s="9"/>
      <c r="F42" s="58">
        <f t="shared" si="2"/>
        <v>0</v>
      </c>
    </row>
    <row r="43" spans="1:6" x14ac:dyDescent="0.5">
      <c r="A43" s="22" t="s">
        <v>24</v>
      </c>
      <c r="B43" s="23" t="s">
        <v>58</v>
      </c>
      <c r="C43" s="63" t="s">
        <v>0</v>
      </c>
      <c r="D43" s="64">
        <v>44.78</v>
      </c>
      <c r="E43" s="24"/>
      <c r="F43" s="61">
        <f t="shared" si="2"/>
        <v>0</v>
      </c>
    </row>
    <row r="44" spans="1:6" x14ac:dyDescent="0.5">
      <c r="A44" s="7" t="s">
        <v>25</v>
      </c>
      <c r="B44" s="8" t="s">
        <v>63</v>
      </c>
      <c r="C44" s="56" t="s">
        <v>0</v>
      </c>
      <c r="D44" s="57">
        <f>25*2*1</f>
        <v>50</v>
      </c>
      <c r="E44" s="9"/>
      <c r="F44" s="58">
        <f t="shared" si="2"/>
        <v>0</v>
      </c>
    </row>
    <row r="45" spans="1:6" x14ac:dyDescent="0.5">
      <c r="A45" s="7"/>
      <c r="B45" s="43" t="s">
        <v>95</v>
      </c>
      <c r="C45" s="67"/>
      <c r="D45" s="68"/>
      <c r="E45" s="10"/>
      <c r="F45" s="69"/>
    </row>
    <row r="46" spans="1:6" ht="25.35" x14ac:dyDescent="0.5">
      <c r="A46" s="3" t="s">
        <v>20</v>
      </c>
      <c r="B46" s="12" t="s">
        <v>68</v>
      </c>
      <c r="C46" s="48" t="s">
        <v>36</v>
      </c>
      <c r="D46" s="49">
        <v>44.78</v>
      </c>
      <c r="E46" s="5"/>
      <c r="F46" s="50">
        <f t="shared" ref="F46:F55" si="3">D46*E46</f>
        <v>0</v>
      </c>
    </row>
    <row r="47" spans="1:6" x14ac:dyDescent="0.5">
      <c r="A47" s="3" t="s">
        <v>21</v>
      </c>
      <c r="B47" s="12" t="s">
        <v>69</v>
      </c>
      <c r="C47" s="48" t="s">
        <v>36</v>
      </c>
      <c r="D47" s="49">
        <v>44.78</v>
      </c>
      <c r="E47" s="5"/>
      <c r="F47" s="50">
        <f t="shared" si="3"/>
        <v>0</v>
      </c>
    </row>
    <row r="48" spans="1:6" x14ac:dyDescent="0.5">
      <c r="A48" s="7" t="s">
        <v>55</v>
      </c>
      <c r="B48" s="8" t="s">
        <v>39</v>
      </c>
      <c r="C48" s="56" t="s">
        <v>0</v>
      </c>
      <c r="D48" s="57">
        <f>3*44.78+1*46</f>
        <v>180.34</v>
      </c>
      <c r="E48" s="9"/>
      <c r="F48" s="58">
        <f t="shared" si="3"/>
        <v>0</v>
      </c>
    </row>
    <row r="49" spans="1:6" s="15" customFormat="1" x14ac:dyDescent="0.5">
      <c r="A49" s="7" t="s">
        <v>56</v>
      </c>
      <c r="B49" s="62" t="s">
        <v>40</v>
      </c>
      <c r="C49" s="56" t="s">
        <v>36</v>
      </c>
      <c r="D49" s="57">
        <f>44.78*4+46*4</f>
        <v>363.12</v>
      </c>
      <c r="E49" s="9"/>
      <c r="F49" s="58">
        <f t="shared" si="3"/>
        <v>0</v>
      </c>
    </row>
    <row r="50" spans="1:6" s="15" customFormat="1" x14ac:dyDescent="0.5">
      <c r="A50" s="7" t="s">
        <v>57</v>
      </c>
      <c r="B50" s="8" t="s">
        <v>59</v>
      </c>
      <c r="C50" s="56" t="s">
        <v>61</v>
      </c>
      <c r="D50" s="57">
        <f>50*5</f>
        <v>250</v>
      </c>
      <c r="E50" s="9"/>
      <c r="F50" s="58">
        <f t="shared" si="3"/>
        <v>0</v>
      </c>
    </row>
    <row r="51" spans="1:6" s="15" customFormat="1" x14ac:dyDescent="0.5">
      <c r="A51" s="7" t="s">
        <v>66</v>
      </c>
      <c r="B51" s="8" t="s">
        <v>67</v>
      </c>
      <c r="C51" s="56" t="s">
        <v>61</v>
      </c>
      <c r="D51" s="57">
        <v>92</v>
      </c>
      <c r="E51" s="9"/>
      <c r="F51" s="58">
        <f t="shared" si="3"/>
        <v>0</v>
      </c>
    </row>
    <row r="52" spans="1:6" x14ac:dyDescent="0.5">
      <c r="A52" s="3" t="s">
        <v>22</v>
      </c>
      <c r="B52" s="6" t="s">
        <v>54</v>
      </c>
      <c r="C52" s="48" t="s">
        <v>1</v>
      </c>
      <c r="D52" s="49">
        <v>44.78</v>
      </c>
      <c r="E52" s="5"/>
      <c r="F52" s="50">
        <f t="shared" si="3"/>
        <v>0</v>
      </c>
    </row>
    <row r="53" spans="1:6" s="15" customFormat="1" x14ac:dyDescent="0.5">
      <c r="A53" s="7" t="s">
        <v>23</v>
      </c>
      <c r="B53" s="8" t="s">
        <v>41</v>
      </c>
      <c r="C53" s="56" t="s">
        <v>37</v>
      </c>
      <c r="D53" s="57">
        <f>1*44.78*1.35*1.05</f>
        <v>63.48</v>
      </c>
      <c r="E53" s="9"/>
      <c r="F53" s="58">
        <f t="shared" si="3"/>
        <v>0</v>
      </c>
    </row>
    <row r="54" spans="1:6" s="15" customFormat="1" x14ac:dyDescent="0.5">
      <c r="A54" s="22" t="s">
        <v>24</v>
      </c>
      <c r="B54" s="23" t="s">
        <v>58</v>
      </c>
      <c r="C54" s="63" t="s">
        <v>0</v>
      </c>
      <c r="D54" s="64">
        <v>44.78</v>
      </c>
      <c r="E54" s="24"/>
      <c r="F54" s="61">
        <f t="shared" si="3"/>
        <v>0</v>
      </c>
    </row>
    <row r="55" spans="1:6" s="15" customFormat="1" x14ac:dyDescent="0.5">
      <c r="A55" s="7" t="s">
        <v>25</v>
      </c>
      <c r="B55" s="8" t="s">
        <v>63</v>
      </c>
      <c r="C55" s="56" t="s">
        <v>0</v>
      </c>
      <c r="D55" s="57">
        <f>25*2*1</f>
        <v>50</v>
      </c>
      <c r="E55" s="9"/>
      <c r="F55" s="58">
        <f t="shared" si="3"/>
        <v>0</v>
      </c>
    </row>
    <row r="56" spans="1:6" ht="14.35" x14ac:dyDescent="0.5">
      <c r="A56" s="17"/>
      <c r="B56" s="17" t="s">
        <v>85</v>
      </c>
      <c r="C56" s="89"/>
      <c r="D56" s="89"/>
      <c r="E56" s="89"/>
      <c r="F56" s="90"/>
    </row>
    <row r="57" spans="1:6" x14ac:dyDescent="0.5">
      <c r="A57" s="42"/>
      <c r="B57" s="43" t="s">
        <v>92</v>
      </c>
      <c r="C57" s="44"/>
      <c r="D57" s="45"/>
      <c r="E57" s="46"/>
      <c r="F57" s="47"/>
    </row>
    <row r="58" spans="1:6" ht="25.35" x14ac:dyDescent="0.5">
      <c r="A58" s="3" t="s">
        <v>12</v>
      </c>
      <c r="B58" s="4" t="s">
        <v>43</v>
      </c>
      <c r="C58" s="48" t="s">
        <v>36</v>
      </c>
      <c r="D58" s="49">
        <v>25.2</v>
      </c>
      <c r="E58" s="5"/>
      <c r="F58" s="50">
        <f t="shared" ref="F58:F67" si="4">D58*E58</f>
        <v>0</v>
      </c>
    </row>
    <row r="59" spans="1:6" s="15" customFormat="1" x14ac:dyDescent="0.5">
      <c r="A59" s="3" t="s">
        <v>13</v>
      </c>
      <c r="B59" s="6" t="s">
        <v>45</v>
      </c>
      <c r="C59" s="48" t="s">
        <v>36</v>
      </c>
      <c r="D59" s="49">
        <v>25.2</v>
      </c>
      <c r="E59" s="5"/>
      <c r="F59" s="50">
        <f t="shared" si="4"/>
        <v>0</v>
      </c>
    </row>
    <row r="60" spans="1:6" s="15" customFormat="1" x14ac:dyDescent="0.5">
      <c r="A60" s="51" t="s">
        <v>6</v>
      </c>
      <c r="B60" s="52" t="s">
        <v>39</v>
      </c>
      <c r="C60" s="53" t="s">
        <v>0</v>
      </c>
      <c r="D60" s="54">
        <f>4.6*25.2+0.6*27</f>
        <v>132.12</v>
      </c>
      <c r="E60" s="70"/>
      <c r="F60" s="55">
        <f t="shared" si="4"/>
        <v>0</v>
      </c>
    </row>
    <row r="61" spans="1:6" s="16" customFormat="1" x14ac:dyDescent="0.5">
      <c r="A61" s="51" t="s">
        <v>7</v>
      </c>
      <c r="B61" s="52" t="s">
        <v>40</v>
      </c>
      <c r="C61" s="53" t="s">
        <v>36</v>
      </c>
      <c r="D61" s="54">
        <f>25.2*4+4.6*27</f>
        <v>225</v>
      </c>
      <c r="E61" s="70"/>
      <c r="F61" s="55">
        <f t="shared" si="4"/>
        <v>0</v>
      </c>
    </row>
    <row r="62" spans="1:6" s="15" customFormat="1" x14ac:dyDescent="0.5">
      <c r="A62" s="51" t="s">
        <v>8</v>
      </c>
      <c r="B62" s="52" t="s">
        <v>59</v>
      </c>
      <c r="C62" s="53" t="s">
        <v>61</v>
      </c>
      <c r="D62" s="54">
        <f>10*28</f>
        <v>280</v>
      </c>
      <c r="E62" s="70"/>
      <c r="F62" s="55">
        <f t="shared" si="4"/>
        <v>0</v>
      </c>
    </row>
    <row r="63" spans="1:6" s="15" customFormat="1" x14ac:dyDescent="0.5">
      <c r="A63" s="51" t="s">
        <v>60</v>
      </c>
      <c r="B63" s="52" t="s">
        <v>62</v>
      </c>
      <c r="C63" s="53" t="s">
        <v>61</v>
      </c>
      <c r="D63" s="54">
        <f>26*2</f>
        <v>52</v>
      </c>
      <c r="E63" s="70"/>
      <c r="F63" s="55">
        <f t="shared" si="4"/>
        <v>0</v>
      </c>
    </row>
    <row r="64" spans="1:6" s="15" customFormat="1" x14ac:dyDescent="0.5">
      <c r="A64" s="3" t="s">
        <v>14</v>
      </c>
      <c r="B64" s="6" t="s">
        <v>48</v>
      </c>
      <c r="C64" s="48" t="s">
        <v>1</v>
      </c>
      <c r="D64" s="49">
        <v>15.12</v>
      </c>
      <c r="E64" s="5"/>
      <c r="F64" s="50">
        <f t="shared" si="4"/>
        <v>0</v>
      </c>
    </row>
    <row r="65" spans="1:6" x14ac:dyDescent="0.5">
      <c r="A65" s="7" t="s">
        <v>9</v>
      </c>
      <c r="B65" s="8" t="s">
        <v>41</v>
      </c>
      <c r="C65" s="56" t="s">
        <v>37</v>
      </c>
      <c r="D65" s="57">
        <f>15.12*1.35*1.05</f>
        <v>21.43</v>
      </c>
      <c r="E65" s="9"/>
      <c r="F65" s="58">
        <f t="shared" si="4"/>
        <v>0</v>
      </c>
    </row>
    <row r="66" spans="1:6" s="15" customFormat="1" x14ac:dyDescent="0.5">
      <c r="A66" s="25" t="s">
        <v>15</v>
      </c>
      <c r="B66" s="21" t="s">
        <v>58</v>
      </c>
      <c r="C66" s="59" t="s">
        <v>0</v>
      </c>
      <c r="D66" s="60">
        <f>3.3*25.2</f>
        <v>83.16</v>
      </c>
      <c r="E66" s="26"/>
      <c r="F66" s="61">
        <f t="shared" si="4"/>
        <v>0</v>
      </c>
    </row>
    <row r="67" spans="1:6" x14ac:dyDescent="0.5">
      <c r="A67" s="7" t="s">
        <v>42</v>
      </c>
      <c r="B67" s="8" t="s">
        <v>63</v>
      </c>
      <c r="C67" s="56" t="s">
        <v>0</v>
      </c>
      <c r="D67" s="57">
        <f>14*2*3.3</f>
        <v>92.4</v>
      </c>
      <c r="E67" s="9"/>
      <c r="F67" s="58">
        <f t="shared" si="4"/>
        <v>0</v>
      </c>
    </row>
    <row r="68" spans="1:6" s="15" customFormat="1" x14ac:dyDescent="0.5">
      <c r="A68" s="7"/>
      <c r="B68" s="43" t="s">
        <v>93</v>
      </c>
      <c r="C68" s="56"/>
      <c r="D68" s="57"/>
      <c r="E68" s="9"/>
      <c r="F68" s="58"/>
    </row>
    <row r="69" spans="1:6" ht="25.35" x14ac:dyDescent="0.5">
      <c r="A69" s="3" t="s">
        <v>16</v>
      </c>
      <c r="B69" s="12" t="s">
        <v>44</v>
      </c>
      <c r="C69" s="48" t="s">
        <v>36</v>
      </c>
      <c r="D69" s="49">
        <v>25.2</v>
      </c>
      <c r="E69" s="5"/>
      <c r="F69" s="50">
        <f t="shared" ref="F69:F78" si="5">D69*E69</f>
        <v>0</v>
      </c>
    </row>
    <row r="70" spans="1:6" x14ac:dyDescent="0.5">
      <c r="A70" s="3" t="s">
        <v>17</v>
      </c>
      <c r="B70" s="12" t="s">
        <v>46</v>
      </c>
      <c r="C70" s="48" t="s">
        <v>36</v>
      </c>
      <c r="D70" s="49">
        <v>25.2</v>
      </c>
      <c r="E70" s="5"/>
      <c r="F70" s="50">
        <f t="shared" si="5"/>
        <v>0</v>
      </c>
    </row>
    <row r="71" spans="1:6" x14ac:dyDescent="0.5">
      <c r="A71" s="7" t="s">
        <v>10</v>
      </c>
      <c r="B71" s="8" t="s">
        <v>39</v>
      </c>
      <c r="C71" s="56" t="s">
        <v>0</v>
      </c>
      <c r="D71" s="57">
        <f>2.5*25.2+0.75*27</f>
        <v>83.25</v>
      </c>
      <c r="E71" s="9"/>
      <c r="F71" s="58">
        <f t="shared" si="5"/>
        <v>0</v>
      </c>
    </row>
    <row r="72" spans="1:6" x14ac:dyDescent="0.5">
      <c r="A72" s="7" t="s">
        <v>49</v>
      </c>
      <c r="B72" s="62" t="s">
        <v>40</v>
      </c>
      <c r="C72" s="56" t="s">
        <v>36</v>
      </c>
      <c r="D72" s="57">
        <f>25.2*4+27*4</f>
        <v>208.8</v>
      </c>
      <c r="E72" s="9"/>
      <c r="F72" s="58">
        <f t="shared" si="5"/>
        <v>0</v>
      </c>
    </row>
    <row r="73" spans="1:6" x14ac:dyDescent="0.5">
      <c r="A73" s="7" t="s">
        <v>50</v>
      </c>
      <c r="B73" s="8" t="s">
        <v>59</v>
      </c>
      <c r="C73" s="56" t="s">
        <v>61</v>
      </c>
      <c r="D73" s="57">
        <f>5*28</f>
        <v>140</v>
      </c>
      <c r="E73" s="9"/>
      <c r="F73" s="58">
        <f t="shared" si="5"/>
        <v>0</v>
      </c>
    </row>
    <row r="74" spans="1:6" x14ac:dyDescent="0.5">
      <c r="A74" s="7" t="s">
        <v>64</v>
      </c>
      <c r="B74" s="8" t="s">
        <v>65</v>
      </c>
      <c r="C74" s="56" t="s">
        <v>61</v>
      </c>
      <c r="D74" s="57">
        <f>26*2</f>
        <v>52</v>
      </c>
      <c r="E74" s="9"/>
      <c r="F74" s="58">
        <f t="shared" si="5"/>
        <v>0</v>
      </c>
    </row>
    <row r="75" spans="1:6" x14ac:dyDescent="0.5">
      <c r="A75" s="3" t="s">
        <v>18</v>
      </c>
      <c r="B75" s="6" t="s">
        <v>47</v>
      </c>
      <c r="C75" s="48" t="s">
        <v>1</v>
      </c>
      <c r="D75" s="49">
        <v>18.899999999999999</v>
      </c>
      <c r="E75" s="5"/>
      <c r="F75" s="50">
        <f t="shared" si="5"/>
        <v>0</v>
      </c>
    </row>
    <row r="76" spans="1:6" s="15" customFormat="1" x14ac:dyDescent="0.5">
      <c r="A76" s="7" t="s">
        <v>51</v>
      </c>
      <c r="B76" s="8" t="s">
        <v>41</v>
      </c>
      <c r="C76" s="56" t="s">
        <v>37</v>
      </c>
      <c r="D76" s="57">
        <f>0.75*25.2*1.35*1.05</f>
        <v>26.79</v>
      </c>
      <c r="E76" s="9"/>
      <c r="F76" s="58">
        <f t="shared" si="5"/>
        <v>0</v>
      </c>
    </row>
    <row r="77" spans="1:6" s="15" customFormat="1" x14ac:dyDescent="0.5">
      <c r="A77" s="22" t="s">
        <v>19</v>
      </c>
      <c r="B77" s="23" t="s">
        <v>58</v>
      </c>
      <c r="C77" s="63" t="s">
        <v>0</v>
      </c>
      <c r="D77" s="64">
        <v>25.2</v>
      </c>
      <c r="E77" s="24"/>
      <c r="F77" s="65">
        <f t="shared" si="5"/>
        <v>0</v>
      </c>
    </row>
    <row r="78" spans="1:6" s="16" customFormat="1" x14ac:dyDescent="0.5">
      <c r="A78" s="7" t="s">
        <v>11</v>
      </c>
      <c r="B78" s="8" t="s">
        <v>63</v>
      </c>
      <c r="C78" s="56" t="s">
        <v>0</v>
      </c>
      <c r="D78" s="57">
        <f>14*2*1</f>
        <v>28</v>
      </c>
      <c r="E78" s="9"/>
      <c r="F78" s="66">
        <f t="shared" si="5"/>
        <v>0</v>
      </c>
    </row>
    <row r="79" spans="1:6" s="15" customFormat="1" x14ac:dyDescent="0.5">
      <c r="A79" s="7"/>
      <c r="B79" s="43" t="s">
        <v>94</v>
      </c>
      <c r="C79" s="67"/>
      <c r="D79" s="68"/>
      <c r="E79" s="10"/>
      <c r="F79" s="69"/>
    </row>
    <row r="80" spans="1:6" ht="25.35" x14ac:dyDescent="0.5">
      <c r="A80" s="3" t="s">
        <v>20</v>
      </c>
      <c r="B80" s="12" t="s">
        <v>52</v>
      </c>
      <c r="C80" s="48" t="s">
        <v>36</v>
      </c>
      <c r="D80" s="49">
        <v>25.2</v>
      </c>
      <c r="E80" s="5"/>
      <c r="F80" s="50">
        <f t="shared" ref="F80:F89" si="6">D80*E80</f>
        <v>0</v>
      </c>
    </row>
    <row r="81" spans="1:6" x14ac:dyDescent="0.5">
      <c r="A81" s="3" t="s">
        <v>21</v>
      </c>
      <c r="B81" s="12" t="s">
        <v>53</v>
      </c>
      <c r="C81" s="48" t="s">
        <v>36</v>
      </c>
      <c r="D81" s="49">
        <v>25.2</v>
      </c>
      <c r="E81" s="5"/>
      <c r="F81" s="50">
        <f t="shared" si="6"/>
        <v>0</v>
      </c>
    </row>
    <row r="82" spans="1:6" s="15" customFormat="1" x14ac:dyDescent="0.5">
      <c r="A82" s="7" t="s">
        <v>55</v>
      </c>
      <c r="B82" s="8" t="s">
        <v>39</v>
      </c>
      <c r="C82" s="56" t="s">
        <v>0</v>
      </c>
      <c r="D82" s="57">
        <f>3*25.2+1*27</f>
        <v>102.6</v>
      </c>
      <c r="E82" s="9"/>
      <c r="F82" s="58">
        <f t="shared" si="6"/>
        <v>0</v>
      </c>
    </row>
    <row r="83" spans="1:6" x14ac:dyDescent="0.5">
      <c r="A83" s="7" t="s">
        <v>56</v>
      </c>
      <c r="B83" s="62" t="s">
        <v>40</v>
      </c>
      <c r="C83" s="56" t="s">
        <v>36</v>
      </c>
      <c r="D83" s="57">
        <f>25.2*4+27*4</f>
        <v>208.8</v>
      </c>
      <c r="E83" s="9"/>
      <c r="F83" s="58">
        <f t="shared" si="6"/>
        <v>0</v>
      </c>
    </row>
    <row r="84" spans="1:6" s="15" customFormat="1" x14ac:dyDescent="0.5">
      <c r="A84" s="7" t="s">
        <v>57</v>
      </c>
      <c r="B84" s="8" t="s">
        <v>59</v>
      </c>
      <c r="C84" s="56" t="s">
        <v>61</v>
      </c>
      <c r="D84" s="57">
        <f>28*5</f>
        <v>140</v>
      </c>
      <c r="E84" s="9"/>
      <c r="F84" s="58">
        <f t="shared" si="6"/>
        <v>0</v>
      </c>
    </row>
    <row r="85" spans="1:6" s="15" customFormat="1" x14ac:dyDescent="0.5">
      <c r="A85" s="7" t="s">
        <v>66</v>
      </c>
      <c r="B85" s="8" t="s">
        <v>67</v>
      </c>
      <c r="C85" s="56" t="s">
        <v>61</v>
      </c>
      <c r="D85" s="57">
        <f>26*2</f>
        <v>52</v>
      </c>
      <c r="E85" s="9"/>
      <c r="F85" s="58">
        <f t="shared" si="6"/>
        <v>0</v>
      </c>
    </row>
    <row r="86" spans="1:6" x14ac:dyDescent="0.5">
      <c r="A86" s="3" t="s">
        <v>22</v>
      </c>
      <c r="B86" s="6" t="s">
        <v>54</v>
      </c>
      <c r="C86" s="48" t="s">
        <v>1</v>
      </c>
      <c r="D86" s="49">
        <v>25.2</v>
      </c>
      <c r="E86" s="5"/>
      <c r="F86" s="50">
        <f t="shared" si="6"/>
        <v>0</v>
      </c>
    </row>
    <row r="87" spans="1:6" x14ac:dyDescent="0.5">
      <c r="A87" s="7" t="s">
        <v>23</v>
      </c>
      <c r="B87" s="8" t="s">
        <v>41</v>
      </c>
      <c r="C87" s="56" t="s">
        <v>37</v>
      </c>
      <c r="D87" s="57">
        <f>1*25.2*1.35*1.05</f>
        <v>35.72</v>
      </c>
      <c r="E87" s="9"/>
      <c r="F87" s="58">
        <f t="shared" si="6"/>
        <v>0</v>
      </c>
    </row>
    <row r="88" spans="1:6" x14ac:dyDescent="0.5">
      <c r="A88" s="22" t="s">
        <v>24</v>
      </c>
      <c r="B88" s="23" t="s">
        <v>58</v>
      </c>
      <c r="C88" s="63" t="s">
        <v>0</v>
      </c>
      <c r="D88" s="64">
        <v>25.2</v>
      </c>
      <c r="E88" s="24"/>
      <c r="F88" s="61">
        <f t="shared" si="6"/>
        <v>0</v>
      </c>
    </row>
    <row r="89" spans="1:6" x14ac:dyDescent="0.5">
      <c r="A89" s="7" t="s">
        <v>25</v>
      </c>
      <c r="B89" s="8" t="s">
        <v>63</v>
      </c>
      <c r="C89" s="56" t="s">
        <v>0</v>
      </c>
      <c r="D89" s="57">
        <f>14*2*1</f>
        <v>28</v>
      </c>
      <c r="E89" s="9"/>
      <c r="F89" s="58">
        <f t="shared" si="6"/>
        <v>0</v>
      </c>
    </row>
    <row r="90" spans="1:6" x14ac:dyDescent="0.5">
      <c r="A90" s="7"/>
      <c r="B90" s="43" t="s">
        <v>95</v>
      </c>
      <c r="C90" s="67"/>
      <c r="D90" s="68"/>
      <c r="E90" s="10"/>
      <c r="F90" s="69"/>
    </row>
    <row r="91" spans="1:6" ht="25.35" x14ac:dyDescent="0.5">
      <c r="A91" s="3" t="s">
        <v>20</v>
      </c>
      <c r="B91" s="12" t="s">
        <v>70</v>
      </c>
      <c r="C91" s="48" t="s">
        <v>36</v>
      </c>
      <c r="D91" s="49">
        <v>25.2</v>
      </c>
      <c r="E91" s="5"/>
      <c r="F91" s="50">
        <f t="shared" ref="F91:F100" si="7">D91*E91</f>
        <v>0</v>
      </c>
    </row>
    <row r="92" spans="1:6" s="15" customFormat="1" x14ac:dyDescent="0.5">
      <c r="A92" s="3" t="s">
        <v>21</v>
      </c>
      <c r="B92" s="12" t="s">
        <v>71</v>
      </c>
      <c r="C92" s="48" t="s">
        <v>36</v>
      </c>
      <c r="D92" s="49">
        <v>25.2</v>
      </c>
      <c r="E92" s="5"/>
      <c r="F92" s="50">
        <f t="shared" si="7"/>
        <v>0</v>
      </c>
    </row>
    <row r="93" spans="1:6" s="15" customFormat="1" x14ac:dyDescent="0.5">
      <c r="A93" s="7" t="s">
        <v>55</v>
      </c>
      <c r="B93" s="8" t="s">
        <v>39</v>
      </c>
      <c r="C93" s="56" t="s">
        <v>0</v>
      </c>
      <c r="D93" s="57">
        <f>2.2*25.2+0.6*27</f>
        <v>71.64</v>
      </c>
      <c r="E93" s="9"/>
      <c r="F93" s="58">
        <f t="shared" si="7"/>
        <v>0</v>
      </c>
    </row>
    <row r="94" spans="1:6" x14ac:dyDescent="0.5">
      <c r="A94" s="7" t="s">
        <v>56</v>
      </c>
      <c r="B94" s="62" t="s">
        <v>40</v>
      </c>
      <c r="C94" s="56" t="s">
        <v>36</v>
      </c>
      <c r="D94" s="57">
        <f>25.2*4+27*3.2</f>
        <v>187.2</v>
      </c>
      <c r="E94" s="9"/>
      <c r="F94" s="58">
        <f t="shared" si="7"/>
        <v>0</v>
      </c>
    </row>
    <row r="95" spans="1:6" s="15" customFormat="1" x14ac:dyDescent="0.5">
      <c r="A95" s="7" t="s">
        <v>57</v>
      </c>
      <c r="B95" s="8" t="s">
        <v>59</v>
      </c>
      <c r="C95" s="56" t="s">
        <v>61</v>
      </c>
      <c r="D95" s="57">
        <f>4*28</f>
        <v>112</v>
      </c>
      <c r="E95" s="9"/>
      <c r="F95" s="58">
        <f t="shared" si="7"/>
        <v>0</v>
      </c>
    </row>
    <row r="96" spans="1:6" s="15" customFormat="1" x14ac:dyDescent="0.5">
      <c r="A96" s="7" t="s">
        <v>66</v>
      </c>
      <c r="B96" s="8" t="s">
        <v>67</v>
      </c>
      <c r="C96" s="56" t="s">
        <v>61</v>
      </c>
      <c r="D96" s="57">
        <f>26*2</f>
        <v>52</v>
      </c>
      <c r="E96" s="9"/>
      <c r="F96" s="58">
        <f t="shared" si="7"/>
        <v>0</v>
      </c>
    </row>
    <row r="97" spans="1:6" x14ac:dyDescent="0.5">
      <c r="A97" s="3" t="s">
        <v>22</v>
      </c>
      <c r="B97" s="6" t="s">
        <v>79</v>
      </c>
      <c r="C97" s="48" t="s">
        <v>1</v>
      </c>
      <c r="D97" s="49">
        <v>15.12</v>
      </c>
      <c r="E97" s="5"/>
      <c r="F97" s="50">
        <f t="shared" si="7"/>
        <v>0</v>
      </c>
    </row>
    <row r="98" spans="1:6" s="15" customFormat="1" x14ac:dyDescent="0.5">
      <c r="A98" s="7" t="s">
        <v>23</v>
      </c>
      <c r="B98" s="8" t="s">
        <v>41</v>
      </c>
      <c r="C98" s="56" t="s">
        <v>37</v>
      </c>
      <c r="D98" s="57">
        <f>0.6*25.2*1.35*1.05</f>
        <v>21.43</v>
      </c>
      <c r="E98" s="9"/>
      <c r="F98" s="58">
        <f t="shared" si="7"/>
        <v>0</v>
      </c>
    </row>
    <row r="99" spans="1:6" s="15" customFormat="1" x14ac:dyDescent="0.5">
      <c r="A99" s="22" t="s">
        <v>24</v>
      </c>
      <c r="B99" s="23" t="s">
        <v>58</v>
      </c>
      <c r="C99" s="63" t="s">
        <v>0</v>
      </c>
      <c r="D99" s="64">
        <v>15.12</v>
      </c>
      <c r="E99" s="24"/>
      <c r="F99" s="61">
        <f t="shared" si="7"/>
        <v>0</v>
      </c>
    </row>
    <row r="100" spans="1:6" x14ac:dyDescent="0.5">
      <c r="A100" s="7" t="s">
        <v>25</v>
      </c>
      <c r="B100" s="8" t="s">
        <v>63</v>
      </c>
      <c r="C100" s="56" t="s">
        <v>0</v>
      </c>
      <c r="D100" s="57">
        <f>14*2*0.6</f>
        <v>16.8</v>
      </c>
      <c r="E100" s="9"/>
      <c r="F100" s="58">
        <f t="shared" si="7"/>
        <v>0</v>
      </c>
    </row>
    <row r="101" spans="1:6" ht="14.35" x14ac:dyDescent="0.5">
      <c r="A101" s="17"/>
      <c r="B101" s="17" t="s">
        <v>86</v>
      </c>
      <c r="C101" s="89"/>
      <c r="D101" s="89"/>
      <c r="E101" s="89"/>
      <c r="F101" s="90"/>
    </row>
    <row r="102" spans="1:6" x14ac:dyDescent="0.5">
      <c r="A102" s="42"/>
      <c r="B102" s="43" t="s">
        <v>92</v>
      </c>
      <c r="C102" s="44"/>
      <c r="D102" s="45"/>
      <c r="E102" s="46"/>
      <c r="F102" s="47"/>
    </row>
    <row r="103" spans="1:6" ht="25.35" x14ac:dyDescent="0.5">
      <c r="A103" s="3" t="s">
        <v>12</v>
      </c>
      <c r="B103" s="4" t="s">
        <v>43</v>
      </c>
      <c r="C103" s="48" t="s">
        <v>36</v>
      </c>
      <c r="D103" s="49">
        <v>28</v>
      </c>
      <c r="E103" s="5"/>
      <c r="F103" s="50">
        <f t="shared" ref="F103:F112" si="8">D103*E103</f>
        <v>0</v>
      </c>
    </row>
    <row r="104" spans="1:6" s="15" customFormat="1" x14ac:dyDescent="0.5">
      <c r="A104" s="3" t="s">
        <v>13</v>
      </c>
      <c r="B104" s="6" t="s">
        <v>45</v>
      </c>
      <c r="C104" s="48" t="s">
        <v>36</v>
      </c>
      <c r="D104" s="49">
        <v>28</v>
      </c>
      <c r="E104" s="5"/>
      <c r="F104" s="50">
        <f t="shared" si="8"/>
        <v>0</v>
      </c>
    </row>
    <row r="105" spans="1:6" s="15" customFormat="1" x14ac:dyDescent="0.5">
      <c r="A105" s="51" t="s">
        <v>6</v>
      </c>
      <c r="B105" s="52" t="s">
        <v>39</v>
      </c>
      <c r="C105" s="53" t="s">
        <v>0</v>
      </c>
      <c r="D105" s="54">
        <f>4.6*28+0.6*29</f>
        <v>146.19999999999999</v>
      </c>
      <c r="E105" s="70"/>
      <c r="F105" s="55">
        <f t="shared" si="8"/>
        <v>0</v>
      </c>
    </row>
    <row r="106" spans="1:6" s="16" customFormat="1" x14ac:dyDescent="0.5">
      <c r="A106" s="51" t="s">
        <v>7</v>
      </c>
      <c r="B106" s="52" t="s">
        <v>40</v>
      </c>
      <c r="C106" s="53" t="s">
        <v>36</v>
      </c>
      <c r="D106" s="54">
        <f>28*4+4.6*29</f>
        <v>245.4</v>
      </c>
      <c r="E106" s="70"/>
      <c r="F106" s="55">
        <f t="shared" si="8"/>
        <v>0</v>
      </c>
    </row>
    <row r="107" spans="1:6" s="15" customFormat="1" x14ac:dyDescent="0.5">
      <c r="A107" s="51" t="s">
        <v>8</v>
      </c>
      <c r="B107" s="52" t="s">
        <v>59</v>
      </c>
      <c r="C107" s="53" t="s">
        <v>61</v>
      </c>
      <c r="D107" s="54">
        <f>10*30</f>
        <v>300</v>
      </c>
      <c r="E107" s="70"/>
      <c r="F107" s="55">
        <f t="shared" si="8"/>
        <v>0</v>
      </c>
    </row>
    <row r="108" spans="1:6" s="15" customFormat="1" x14ac:dyDescent="0.5">
      <c r="A108" s="51" t="s">
        <v>60</v>
      </c>
      <c r="B108" s="52" t="s">
        <v>62</v>
      </c>
      <c r="C108" s="53" t="s">
        <v>61</v>
      </c>
      <c r="D108" s="54">
        <f>28*2</f>
        <v>56</v>
      </c>
      <c r="E108" s="70"/>
      <c r="F108" s="55">
        <f t="shared" si="8"/>
        <v>0</v>
      </c>
    </row>
    <row r="109" spans="1:6" s="15" customFormat="1" x14ac:dyDescent="0.5">
      <c r="A109" s="3" t="s">
        <v>14</v>
      </c>
      <c r="B109" s="6" t="s">
        <v>48</v>
      </c>
      <c r="C109" s="48" t="s">
        <v>1</v>
      </c>
      <c r="D109" s="49">
        <v>16.8</v>
      </c>
      <c r="E109" s="5"/>
      <c r="F109" s="50">
        <f t="shared" si="8"/>
        <v>0</v>
      </c>
    </row>
    <row r="110" spans="1:6" x14ac:dyDescent="0.5">
      <c r="A110" s="7" t="s">
        <v>9</v>
      </c>
      <c r="B110" s="8" t="s">
        <v>41</v>
      </c>
      <c r="C110" s="56" t="s">
        <v>37</v>
      </c>
      <c r="D110" s="57">
        <f>0.6*28*1.35*1.05</f>
        <v>23.81</v>
      </c>
      <c r="E110" s="9"/>
      <c r="F110" s="58">
        <f t="shared" si="8"/>
        <v>0</v>
      </c>
    </row>
    <row r="111" spans="1:6" s="15" customFormat="1" x14ac:dyDescent="0.5">
      <c r="A111" s="25" t="s">
        <v>15</v>
      </c>
      <c r="B111" s="21" t="s">
        <v>58</v>
      </c>
      <c r="C111" s="59" t="s">
        <v>0</v>
      </c>
      <c r="D111" s="60">
        <f>3.3*28</f>
        <v>92.4</v>
      </c>
      <c r="E111" s="26"/>
      <c r="F111" s="61">
        <f t="shared" si="8"/>
        <v>0</v>
      </c>
    </row>
    <row r="112" spans="1:6" x14ac:dyDescent="0.5">
      <c r="A112" s="7" t="s">
        <v>42</v>
      </c>
      <c r="B112" s="8" t="s">
        <v>63</v>
      </c>
      <c r="C112" s="56" t="s">
        <v>0</v>
      </c>
      <c r="D112" s="57">
        <f>15.5*2*3.3</f>
        <v>102.3</v>
      </c>
      <c r="E112" s="9"/>
      <c r="F112" s="58">
        <f t="shared" si="8"/>
        <v>0</v>
      </c>
    </row>
    <row r="113" spans="1:6" s="15" customFormat="1" x14ac:dyDescent="0.5">
      <c r="A113" s="7"/>
      <c r="B113" s="43" t="s">
        <v>93</v>
      </c>
      <c r="C113" s="56"/>
      <c r="D113" s="57"/>
      <c r="E113" s="9"/>
      <c r="F113" s="58"/>
    </row>
    <row r="114" spans="1:6" ht="25.35" x14ac:dyDescent="0.5">
      <c r="A114" s="3" t="s">
        <v>16</v>
      </c>
      <c r="B114" s="12" t="s">
        <v>44</v>
      </c>
      <c r="C114" s="48" t="s">
        <v>36</v>
      </c>
      <c r="D114" s="49">
        <v>28</v>
      </c>
      <c r="E114" s="5"/>
      <c r="F114" s="50">
        <f t="shared" ref="F114:F123" si="9">D114*E114</f>
        <v>0</v>
      </c>
    </row>
    <row r="115" spans="1:6" x14ac:dyDescent="0.5">
      <c r="A115" s="3" t="s">
        <v>17</v>
      </c>
      <c r="B115" s="12" t="s">
        <v>46</v>
      </c>
      <c r="C115" s="48" t="s">
        <v>36</v>
      </c>
      <c r="D115" s="49">
        <v>28</v>
      </c>
      <c r="E115" s="5"/>
      <c r="F115" s="50">
        <f t="shared" si="9"/>
        <v>0</v>
      </c>
    </row>
    <row r="116" spans="1:6" x14ac:dyDescent="0.5">
      <c r="A116" s="7" t="s">
        <v>10</v>
      </c>
      <c r="B116" s="8" t="s">
        <v>39</v>
      </c>
      <c r="C116" s="56" t="s">
        <v>0</v>
      </c>
      <c r="D116" s="57">
        <f>2.5*28+0.75*29</f>
        <v>91.75</v>
      </c>
      <c r="E116" s="9"/>
      <c r="F116" s="58">
        <f t="shared" si="9"/>
        <v>0</v>
      </c>
    </row>
    <row r="117" spans="1:6" x14ac:dyDescent="0.5">
      <c r="A117" s="7" t="s">
        <v>49</v>
      </c>
      <c r="B117" s="62" t="s">
        <v>40</v>
      </c>
      <c r="C117" s="56" t="s">
        <v>36</v>
      </c>
      <c r="D117" s="57">
        <f>28*4+29*4</f>
        <v>228</v>
      </c>
      <c r="E117" s="9"/>
      <c r="F117" s="58">
        <f t="shared" si="9"/>
        <v>0</v>
      </c>
    </row>
    <row r="118" spans="1:6" x14ac:dyDescent="0.5">
      <c r="A118" s="7" t="s">
        <v>50</v>
      </c>
      <c r="B118" s="8" t="s">
        <v>59</v>
      </c>
      <c r="C118" s="56" t="s">
        <v>61</v>
      </c>
      <c r="D118" s="57">
        <f>5*30</f>
        <v>150</v>
      </c>
      <c r="E118" s="9"/>
      <c r="F118" s="58">
        <f t="shared" si="9"/>
        <v>0</v>
      </c>
    </row>
    <row r="119" spans="1:6" x14ac:dyDescent="0.5">
      <c r="A119" s="7" t="s">
        <v>64</v>
      </c>
      <c r="B119" s="8" t="s">
        <v>65</v>
      </c>
      <c r="C119" s="56" t="s">
        <v>61</v>
      </c>
      <c r="D119" s="57">
        <f>28*2</f>
        <v>56</v>
      </c>
      <c r="E119" s="9"/>
      <c r="F119" s="58">
        <f t="shared" si="9"/>
        <v>0</v>
      </c>
    </row>
    <row r="120" spans="1:6" x14ac:dyDescent="0.5">
      <c r="A120" s="3" t="s">
        <v>18</v>
      </c>
      <c r="B120" s="6" t="s">
        <v>47</v>
      </c>
      <c r="C120" s="48" t="s">
        <v>1</v>
      </c>
      <c r="D120" s="49">
        <v>21</v>
      </c>
      <c r="E120" s="5"/>
      <c r="F120" s="50">
        <f t="shared" si="9"/>
        <v>0</v>
      </c>
    </row>
    <row r="121" spans="1:6" s="15" customFormat="1" x14ac:dyDescent="0.5">
      <c r="A121" s="7" t="s">
        <v>51</v>
      </c>
      <c r="B121" s="8" t="s">
        <v>41</v>
      </c>
      <c r="C121" s="56" t="s">
        <v>37</v>
      </c>
      <c r="D121" s="57">
        <f>0.75*28*1.35*1.05</f>
        <v>29.77</v>
      </c>
      <c r="E121" s="9"/>
      <c r="F121" s="58">
        <f t="shared" si="9"/>
        <v>0</v>
      </c>
    </row>
    <row r="122" spans="1:6" s="15" customFormat="1" x14ac:dyDescent="0.5">
      <c r="A122" s="22" t="s">
        <v>19</v>
      </c>
      <c r="B122" s="23" t="s">
        <v>58</v>
      </c>
      <c r="C122" s="63" t="s">
        <v>0</v>
      </c>
      <c r="D122" s="64">
        <v>28</v>
      </c>
      <c r="E122" s="24"/>
      <c r="F122" s="65">
        <f t="shared" si="9"/>
        <v>0</v>
      </c>
    </row>
    <row r="123" spans="1:6" s="16" customFormat="1" x14ac:dyDescent="0.5">
      <c r="A123" s="7" t="s">
        <v>11</v>
      </c>
      <c r="B123" s="8" t="s">
        <v>63</v>
      </c>
      <c r="C123" s="56" t="s">
        <v>0</v>
      </c>
      <c r="D123" s="57">
        <f>15.5*2*1</f>
        <v>31</v>
      </c>
      <c r="E123" s="9"/>
      <c r="F123" s="66">
        <f t="shared" si="9"/>
        <v>0</v>
      </c>
    </row>
    <row r="124" spans="1:6" s="15" customFormat="1" x14ac:dyDescent="0.5">
      <c r="A124" s="7"/>
      <c r="B124" s="43" t="s">
        <v>94</v>
      </c>
      <c r="C124" s="67"/>
      <c r="D124" s="68"/>
      <c r="E124" s="10"/>
      <c r="F124" s="69"/>
    </row>
    <row r="125" spans="1:6" ht="25.35" x14ac:dyDescent="0.5">
      <c r="A125" s="3" t="s">
        <v>20</v>
      </c>
      <c r="B125" s="12" t="s">
        <v>52</v>
      </c>
      <c r="C125" s="48" t="s">
        <v>36</v>
      </c>
      <c r="D125" s="49">
        <v>28</v>
      </c>
      <c r="E125" s="5"/>
      <c r="F125" s="50">
        <f t="shared" ref="F125:F134" si="10">D125*E125</f>
        <v>0</v>
      </c>
    </row>
    <row r="126" spans="1:6" x14ac:dyDescent="0.5">
      <c r="A126" s="3" t="s">
        <v>21</v>
      </c>
      <c r="B126" s="12" t="s">
        <v>53</v>
      </c>
      <c r="C126" s="48" t="s">
        <v>36</v>
      </c>
      <c r="D126" s="49">
        <v>28</v>
      </c>
      <c r="E126" s="5"/>
      <c r="F126" s="50">
        <f t="shared" si="10"/>
        <v>0</v>
      </c>
    </row>
    <row r="127" spans="1:6" s="15" customFormat="1" x14ac:dyDescent="0.5">
      <c r="A127" s="7" t="s">
        <v>55</v>
      </c>
      <c r="B127" s="8" t="s">
        <v>39</v>
      </c>
      <c r="C127" s="56" t="s">
        <v>0</v>
      </c>
      <c r="D127" s="57">
        <f>3*28+1*29</f>
        <v>113</v>
      </c>
      <c r="E127" s="9"/>
      <c r="F127" s="58">
        <f t="shared" si="10"/>
        <v>0</v>
      </c>
    </row>
    <row r="128" spans="1:6" x14ac:dyDescent="0.5">
      <c r="A128" s="7" t="s">
        <v>56</v>
      </c>
      <c r="B128" s="62" t="s">
        <v>40</v>
      </c>
      <c r="C128" s="56" t="s">
        <v>36</v>
      </c>
      <c r="D128" s="57">
        <f>28*4+29*4</f>
        <v>228</v>
      </c>
      <c r="E128" s="9"/>
      <c r="F128" s="58">
        <f t="shared" si="10"/>
        <v>0</v>
      </c>
    </row>
    <row r="129" spans="1:6" s="15" customFormat="1" x14ac:dyDescent="0.5">
      <c r="A129" s="7" t="s">
        <v>57</v>
      </c>
      <c r="B129" s="8" t="s">
        <v>59</v>
      </c>
      <c r="C129" s="56" t="s">
        <v>61</v>
      </c>
      <c r="D129" s="57">
        <f>30*5</f>
        <v>150</v>
      </c>
      <c r="E129" s="9"/>
      <c r="F129" s="58">
        <f t="shared" si="10"/>
        <v>0</v>
      </c>
    </row>
    <row r="130" spans="1:6" s="15" customFormat="1" x14ac:dyDescent="0.5">
      <c r="A130" s="7" t="s">
        <v>66</v>
      </c>
      <c r="B130" s="8" t="s">
        <v>67</v>
      </c>
      <c r="C130" s="56" t="s">
        <v>61</v>
      </c>
      <c r="D130" s="57">
        <f>2*28</f>
        <v>56</v>
      </c>
      <c r="E130" s="9"/>
      <c r="F130" s="58">
        <f t="shared" si="10"/>
        <v>0</v>
      </c>
    </row>
    <row r="131" spans="1:6" x14ac:dyDescent="0.5">
      <c r="A131" s="3" t="s">
        <v>22</v>
      </c>
      <c r="B131" s="6" t="s">
        <v>54</v>
      </c>
      <c r="C131" s="48" t="s">
        <v>1</v>
      </c>
      <c r="D131" s="49">
        <v>28</v>
      </c>
      <c r="E131" s="5"/>
      <c r="F131" s="50">
        <f t="shared" si="10"/>
        <v>0</v>
      </c>
    </row>
    <row r="132" spans="1:6" x14ac:dyDescent="0.5">
      <c r="A132" s="7" t="s">
        <v>23</v>
      </c>
      <c r="B132" s="8" t="s">
        <v>41</v>
      </c>
      <c r="C132" s="56" t="s">
        <v>37</v>
      </c>
      <c r="D132" s="57">
        <f>1*28*1.35*1.05</f>
        <v>39.69</v>
      </c>
      <c r="E132" s="9"/>
      <c r="F132" s="58">
        <f t="shared" si="10"/>
        <v>0</v>
      </c>
    </row>
    <row r="133" spans="1:6" x14ac:dyDescent="0.5">
      <c r="A133" s="22" t="s">
        <v>24</v>
      </c>
      <c r="B133" s="23" t="s">
        <v>58</v>
      </c>
      <c r="C133" s="63" t="s">
        <v>0</v>
      </c>
      <c r="D133" s="64">
        <v>28</v>
      </c>
      <c r="E133" s="24"/>
      <c r="F133" s="61">
        <f t="shared" si="10"/>
        <v>0</v>
      </c>
    </row>
    <row r="134" spans="1:6" x14ac:dyDescent="0.5">
      <c r="A134" s="7" t="s">
        <v>25</v>
      </c>
      <c r="B134" s="8" t="s">
        <v>63</v>
      </c>
      <c r="C134" s="56" t="s">
        <v>0</v>
      </c>
      <c r="D134" s="57">
        <f>15.5*2*1</f>
        <v>31</v>
      </c>
      <c r="E134" s="9"/>
      <c r="F134" s="58">
        <f t="shared" si="10"/>
        <v>0</v>
      </c>
    </row>
    <row r="135" spans="1:6" x14ac:dyDescent="0.5">
      <c r="A135" s="7"/>
      <c r="B135" s="43" t="s">
        <v>95</v>
      </c>
      <c r="C135" s="67"/>
      <c r="D135" s="68"/>
      <c r="E135" s="10"/>
      <c r="F135" s="69"/>
    </row>
    <row r="136" spans="1:6" ht="25.35" x14ac:dyDescent="0.5">
      <c r="A136" s="3" t="s">
        <v>20</v>
      </c>
      <c r="B136" s="12" t="s">
        <v>70</v>
      </c>
      <c r="C136" s="48" t="s">
        <v>36</v>
      </c>
      <c r="D136" s="49">
        <v>28</v>
      </c>
      <c r="E136" s="5"/>
      <c r="F136" s="50">
        <f t="shared" ref="F136:F145" si="11">D136*E136</f>
        <v>0</v>
      </c>
    </row>
    <row r="137" spans="1:6" s="15" customFormat="1" x14ac:dyDescent="0.5">
      <c r="A137" s="3" t="s">
        <v>21</v>
      </c>
      <c r="B137" s="12" t="s">
        <v>71</v>
      </c>
      <c r="C137" s="48" t="s">
        <v>36</v>
      </c>
      <c r="D137" s="49">
        <v>28</v>
      </c>
      <c r="E137" s="5"/>
      <c r="F137" s="50">
        <f t="shared" si="11"/>
        <v>0</v>
      </c>
    </row>
    <row r="138" spans="1:6" s="15" customFormat="1" x14ac:dyDescent="0.5">
      <c r="A138" s="7" t="s">
        <v>55</v>
      </c>
      <c r="B138" s="8" t="s">
        <v>39</v>
      </c>
      <c r="C138" s="56" t="s">
        <v>0</v>
      </c>
      <c r="D138" s="57">
        <f>2.2*28+0.6*29</f>
        <v>79</v>
      </c>
      <c r="E138" s="9"/>
      <c r="F138" s="58">
        <f t="shared" si="11"/>
        <v>0</v>
      </c>
    </row>
    <row r="139" spans="1:6" x14ac:dyDescent="0.5">
      <c r="A139" s="7" t="s">
        <v>56</v>
      </c>
      <c r="B139" s="62" t="s">
        <v>40</v>
      </c>
      <c r="C139" s="56" t="s">
        <v>36</v>
      </c>
      <c r="D139" s="57">
        <f>28*4+28*3.2</f>
        <v>201.6</v>
      </c>
      <c r="E139" s="9"/>
      <c r="F139" s="58">
        <f t="shared" si="11"/>
        <v>0</v>
      </c>
    </row>
    <row r="140" spans="1:6" s="15" customFormat="1" x14ac:dyDescent="0.5">
      <c r="A140" s="7" t="s">
        <v>57</v>
      </c>
      <c r="B140" s="8" t="s">
        <v>59</v>
      </c>
      <c r="C140" s="56" t="s">
        <v>61</v>
      </c>
      <c r="D140" s="57">
        <f>4*30</f>
        <v>120</v>
      </c>
      <c r="E140" s="9"/>
      <c r="F140" s="58">
        <f t="shared" si="11"/>
        <v>0</v>
      </c>
    </row>
    <row r="141" spans="1:6" s="15" customFormat="1" x14ac:dyDescent="0.5">
      <c r="A141" s="7" t="s">
        <v>66</v>
      </c>
      <c r="B141" s="8" t="s">
        <v>67</v>
      </c>
      <c r="C141" s="56" t="s">
        <v>61</v>
      </c>
      <c r="D141" s="57">
        <f>28*2</f>
        <v>56</v>
      </c>
      <c r="E141" s="9"/>
      <c r="F141" s="58">
        <f t="shared" si="11"/>
        <v>0</v>
      </c>
    </row>
    <row r="142" spans="1:6" x14ac:dyDescent="0.5">
      <c r="A142" s="3" t="s">
        <v>22</v>
      </c>
      <c r="B142" s="6" t="s">
        <v>79</v>
      </c>
      <c r="C142" s="48" t="s">
        <v>1</v>
      </c>
      <c r="D142" s="49">
        <v>16.8</v>
      </c>
      <c r="E142" s="5"/>
      <c r="F142" s="50">
        <f t="shared" si="11"/>
        <v>0</v>
      </c>
    </row>
    <row r="143" spans="1:6" s="15" customFormat="1" x14ac:dyDescent="0.5">
      <c r="A143" s="7" t="s">
        <v>23</v>
      </c>
      <c r="B143" s="8" t="s">
        <v>41</v>
      </c>
      <c r="C143" s="56" t="s">
        <v>37</v>
      </c>
      <c r="D143" s="57">
        <f>1*16.8*1.35*1.05</f>
        <v>23.81</v>
      </c>
      <c r="E143" s="9"/>
      <c r="F143" s="58">
        <f t="shared" si="11"/>
        <v>0</v>
      </c>
    </row>
    <row r="144" spans="1:6" s="15" customFormat="1" x14ac:dyDescent="0.5">
      <c r="A144" s="22" t="s">
        <v>24</v>
      </c>
      <c r="B144" s="23" t="s">
        <v>58</v>
      </c>
      <c r="C144" s="63" t="s">
        <v>0</v>
      </c>
      <c r="D144" s="64">
        <f>0.6*28</f>
        <v>16.8</v>
      </c>
      <c r="E144" s="24"/>
      <c r="F144" s="61">
        <f t="shared" si="11"/>
        <v>0</v>
      </c>
    </row>
    <row r="145" spans="1:6" x14ac:dyDescent="0.5">
      <c r="A145" s="7" t="s">
        <v>25</v>
      </c>
      <c r="B145" s="8" t="s">
        <v>63</v>
      </c>
      <c r="C145" s="56" t="s">
        <v>0</v>
      </c>
      <c r="D145" s="57">
        <f>15.5*2*0.6</f>
        <v>18.600000000000001</v>
      </c>
      <c r="E145" s="9"/>
      <c r="F145" s="58">
        <f t="shared" si="11"/>
        <v>0</v>
      </c>
    </row>
    <row r="146" spans="1:6" x14ac:dyDescent="0.5">
      <c r="A146" s="7"/>
      <c r="B146" s="8"/>
      <c r="C146" s="56"/>
      <c r="D146" s="57"/>
      <c r="E146" s="9"/>
      <c r="F146" s="58"/>
    </row>
    <row r="147" spans="1:6" s="16" customFormat="1" ht="14.35" x14ac:dyDescent="0.5">
      <c r="A147" s="17"/>
      <c r="B147" s="17" t="s">
        <v>87</v>
      </c>
      <c r="C147" s="89"/>
      <c r="D147" s="89"/>
      <c r="E147" s="89"/>
      <c r="F147" s="91"/>
    </row>
    <row r="148" spans="1:6" x14ac:dyDescent="0.5">
      <c r="A148" s="42"/>
      <c r="B148" s="43" t="s">
        <v>92</v>
      </c>
      <c r="C148" s="44"/>
      <c r="D148" s="45"/>
      <c r="E148" s="46"/>
      <c r="F148" s="47"/>
    </row>
    <row r="149" spans="1:6" ht="25.35" x14ac:dyDescent="0.5">
      <c r="A149" s="3" t="s">
        <v>12</v>
      </c>
      <c r="B149" s="4" t="s">
        <v>43</v>
      </c>
      <c r="C149" s="48" t="s">
        <v>36</v>
      </c>
      <c r="D149" s="49">
        <v>19.600000000000001</v>
      </c>
      <c r="E149" s="5"/>
      <c r="F149" s="50">
        <f t="shared" ref="F149:F158" si="12">D149*E149</f>
        <v>0</v>
      </c>
    </row>
    <row r="150" spans="1:6" x14ac:dyDescent="0.5">
      <c r="A150" s="3" t="s">
        <v>13</v>
      </c>
      <c r="B150" s="6" t="s">
        <v>45</v>
      </c>
      <c r="C150" s="48" t="s">
        <v>36</v>
      </c>
      <c r="D150" s="49">
        <v>19.600000000000001</v>
      </c>
      <c r="E150" s="5"/>
      <c r="F150" s="50">
        <f t="shared" si="12"/>
        <v>0</v>
      </c>
    </row>
    <row r="151" spans="1:6" s="16" customFormat="1" x14ac:dyDescent="0.5">
      <c r="A151" s="51" t="s">
        <v>6</v>
      </c>
      <c r="B151" s="52" t="s">
        <v>39</v>
      </c>
      <c r="C151" s="53" t="s">
        <v>0</v>
      </c>
      <c r="D151" s="54">
        <f>4.6*19.6+0.6*21</f>
        <v>102.76</v>
      </c>
      <c r="E151" s="70"/>
      <c r="F151" s="55">
        <f t="shared" si="12"/>
        <v>0</v>
      </c>
    </row>
    <row r="152" spans="1:6" s="16" customFormat="1" x14ac:dyDescent="0.5">
      <c r="A152" s="51" t="s">
        <v>7</v>
      </c>
      <c r="B152" s="52" t="s">
        <v>40</v>
      </c>
      <c r="C152" s="53" t="s">
        <v>36</v>
      </c>
      <c r="D152" s="54">
        <f>19.6*4+4.6*21</f>
        <v>175</v>
      </c>
      <c r="E152" s="70"/>
      <c r="F152" s="55">
        <f t="shared" si="12"/>
        <v>0</v>
      </c>
    </row>
    <row r="153" spans="1:6" s="16" customFormat="1" x14ac:dyDescent="0.5">
      <c r="A153" s="51" t="s">
        <v>8</v>
      </c>
      <c r="B153" s="52" t="s">
        <v>59</v>
      </c>
      <c r="C153" s="53" t="s">
        <v>61</v>
      </c>
      <c r="D153" s="54">
        <f>10*22</f>
        <v>220</v>
      </c>
      <c r="E153" s="70"/>
      <c r="F153" s="55">
        <f t="shared" si="12"/>
        <v>0</v>
      </c>
    </row>
    <row r="154" spans="1:6" s="16" customFormat="1" x14ac:dyDescent="0.5">
      <c r="A154" s="51" t="s">
        <v>60</v>
      </c>
      <c r="B154" s="52" t="s">
        <v>62</v>
      </c>
      <c r="C154" s="53" t="s">
        <v>61</v>
      </c>
      <c r="D154" s="54">
        <f>20*2</f>
        <v>40</v>
      </c>
      <c r="E154" s="70"/>
      <c r="F154" s="55">
        <f t="shared" si="12"/>
        <v>0</v>
      </c>
    </row>
    <row r="155" spans="1:6" x14ac:dyDescent="0.5">
      <c r="A155" s="3" t="s">
        <v>14</v>
      </c>
      <c r="B155" s="6" t="s">
        <v>48</v>
      </c>
      <c r="C155" s="48" t="s">
        <v>1</v>
      </c>
      <c r="D155" s="49">
        <v>11.76</v>
      </c>
      <c r="E155" s="5"/>
      <c r="F155" s="50">
        <f t="shared" si="12"/>
        <v>0</v>
      </c>
    </row>
    <row r="156" spans="1:6" s="16" customFormat="1" x14ac:dyDescent="0.5">
      <c r="A156" s="7" t="s">
        <v>9</v>
      </c>
      <c r="B156" s="8" t="s">
        <v>41</v>
      </c>
      <c r="C156" s="56" t="s">
        <v>37</v>
      </c>
      <c r="D156" s="57">
        <f>0.6*19.6*1.35*1.05</f>
        <v>16.670000000000002</v>
      </c>
      <c r="E156" s="9"/>
      <c r="F156" s="58">
        <f t="shared" si="12"/>
        <v>0</v>
      </c>
    </row>
    <row r="157" spans="1:6" x14ac:dyDescent="0.5">
      <c r="A157" s="25" t="s">
        <v>15</v>
      </c>
      <c r="B157" s="21" t="s">
        <v>58</v>
      </c>
      <c r="C157" s="59" t="s">
        <v>0</v>
      </c>
      <c r="D157" s="60">
        <f>3.8*19.6</f>
        <v>74.48</v>
      </c>
      <c r="E157" s="26"/>
      <c r="F157" s="61">
        <f t="shared" si="12"/>
        <v>0</v>
      </c>
    </row>
    <row r="158" spans="1:6" x14ac:dyDescent="0.5">
      <c r="A158" s="7" t="s">
        <v>42</v>
      </c>
      <c r="B158" s="8" t="s">
        <v>63</v>
      </c>
      <c r="C158" s="56" t="s">
        <v>0</v>
      </c>
      <c r="D158" s="57">
        <f>10.9*2*3.8</f>
        <v>82.84</v>
      </c>
      <c r="E158" s="9"/>
      <c r="F158" s="58">
        <f t="shared" si="12"/>
        <v>0</v>
      </c>
    </row>
    <row r="159" spans="1:6" x14ac:dyDescent="0.5">
      <c r="A159" s="7"/>
      <c r="B159" s="43" t="s">
        <v>93</v>
      </c>
      <c r="C159" s="56"/>
      <c r="D159" s="57"/>
      <c r="E159" s="9"/>
      <c r="F159" s="58"/>
    </row>
    <row r="160" spans="1:6" s="16" customFormat="1" ht="25.35" x14ac:dyDescent="0.5">
      <c r="A160" s="3" t="s">
        <v>16</v>
      </c>
      <c r="B160" s="12" t="s">
        <v>72</v>
      </c>
      <c r="C160" s="48" t="s">
        <v>36</v>
      </c>
      <c r="D160" s="49">
        <v>19.600000000000001</v>
      </c>
      <c r="E160" s="5"/>
      <c r="F160" s="50">
        <f t="shared" ref="F160:F169" si="13">D160*E160</f>
        <v>0</v>
      </c>
    </row>
    <row r="161" spans="1:6" s="16" customFormat="1" x14ac:dyDescent="0.5">
      <c r="A161" s="3" t="s">
        <v>17</v>
      </c>
      <c r="B161" s="12" t="s">
        <v>73</v>
      </c>
      <c r="C161" s="48" t="s">
        <v>36</v>
      </c>
      <c r="D161" s="49">
        <v>19.600000000000001</v>
      </c>
      <c r="E161" s="5"/>
      <c r="F161" s="50">
        <f t="shared" si="13"/>
        <v>0</v>
      </c>
    </row>
    <row r="162" spans="1:6" s="16" customFormat="1" x14ac:dyDescent="0.5">
      <c r="A162" s="7" t="s">
        <v>10</v>
      </c>
      <c r="B162" s="8" t="s">
        <v>39</v>
      </c>
      <c r="C162" s="56" t="s">
        <v>0</v>
      </c>
      <c r="D162" s="57">
        <v>79.8</v>
      </c>
      <c r="E162" s="9"/>
      <c r="F162" s="58">
        <f t="shared" si="13"/>
        <v>0</v>
      </c>
    </row>
    <row r="163" spans="1:6" x14ac:dyDescent="0.5">
      <c r="A163" s="7" t="s">
        <v>49</v>
      </c>
      <c r="B163" s="62" t="s">
        <v>40</v>
      </c>
      <c r="C163" s="56" t="s">
        <v>36</v>
      </c>
      <c r="D163" s="57">
        <f>19.6*4+21*4</f>
        <v>162.4</v>
      </c>
      <c r="E163" s="9"/>
      <c r="F163" s="58">
        <f t="shared" si="13"/>
        <v>0</v>
      </c>
    </row>
    <row r="164" spans="1:6" x14ac:dyDescent="0.5">
      <c r="A164" s="7" t="s">
        <v>50</v>
      </c>
      <c r="B164" s="8" t="s">
        <v>59</v>
      </c>
      <c r="C164" s="56" t="s">
        <v>61</v>
      </c>
      <c r="D164" s="57">
        <f>22*5</f>
        <v>110</v>
      </c>
      <c r="E164" s="9"/>
      <c r="F164" s="58">
        <f t="shared" si="13"/>
        <v>0</v>
      </c>
    </row>
    <row r="165" spans="1:6" s="16" customFormat="1" x14ac:dyDescent="0.5">
      <c r="A165" s="7" t="s">
        <v>64</v>
      </c>
      <c r="B165" s="8" t="s">
        <v>74</v>
      </c>
      <c r="C165" s="56" t="s">
        <v>61</v>
      </c>
      <c r="D165" s="57">
        <f>20*2</f>
        <v>40</v>
      </c>
      <c r="E165" s="9"/>
      <c r="F165" s="58">
        <f t="shared" si="13"/>
        <v>0</v>
      </c>
    </row>
    <row r="166" spans="1:6" x14ac:dyDescent="0.5">
      <c r="A166" s="3" t="s">
        <v>18</v>
      </c>
      <c r="B166" s="6" t="s">
        <v>75</v>
      </c>
      <c r="C166" s="48" t="s">
        <v>1</v>
      </c>
      <c r="D166" s="49">
        <v>19.600000000000001</v>
      </c>
      <c r="E166" s="5"/>
      <c r="F166" s="50">
        <f t="shared" si="13"/>
        <v>0</v>
      </c>
    </row>
    <row r="167" spans="1:6" x14ac:dyDescent="0.5">
      <c r="A167" s="7" t="s">
        <v>51</v>
      </c>
      <c r="B167" s="8" t="s">
        <v>41</v>
      </c>
      <c r="C167" s="56" t="s">
        <v>37</v>
      </c>
      <c r="D167" s="57">
        <f>1*19.6*1.35*1.05</f>
        <v>27.78</v>
      </c>
      <c r="E167" s="9"/>
      <c r="F167" s="58">
        <f t="shared" si="13"/>
        <v>0</v>
      </c>
    </row>
    <row r="168" spans="1:6" x14ac:dyDescent="0.5">
      <c r="A168" s="22" t="s">
        <v>19</v>
      </c>
      <c r="B168" s="23" t="s">
        <v>58</v>
      </c>
      <c r="C168" s="63" t="s">
        <v>0</v>
      </c>
      <c r="D168" s="64">
        <v>19.600000000000001</v>
      </c>
      <c r="E168" s="24"/>
      <c r="F168" s="65">
        <f t="shared" si="13"/>
        <v>0</v>
      </c>
    </row>
    <row r="169" spans="1:6" x14ac:dyDescent="0.5">
      <c r="A169" s="7" t="s">
        <v>11</v>
      </c>
      <c r="B169" s="8" t="s">
        <v>63</v>
      </c>
      <c r="C169" s="56" t="s">
        <v>0</v>
      </c>
      <c r="D169" s="57">
        <f>10.9*2*1</f>
        <v>21.8</v>
      </c>
      <c r="E169" s="9"/>
      <c r="F169" s="66">
        <f t="shared" si="13"/>
        <v>0</v>
      </c>
    </row>
    <row r="170" spans="1:6" s="16" customFormat="1" x14ac:dyDescent="0.5">
      <c r="A170" s="7"/>
      <c r="B170" s="43" t="s">
        <v>94</v>
      </c>
      <c r="C170" s="67"/>
      <c r="D170" s="68"/>
      <c r="E170" s="10"/>
      <c r="F170" s="69"/>
    </row>
    <row r="171" spans="1:6" s="16" customFormat="1" ht="25.35" x14ac:dyDescent="0.5">
      <c r="A171" s="3" t="s">
        <v>20</v>
      </c>
      <c r="B171" s="12" t="s">
        <v>52</v>
      </c>
      <c r="C171" s="48" t="s">
        <v>36</v>
      </c>
      <c r="D171" s="49">
        <v>19.600000000000001</v>
      </c>
      <c r="E171" s="5"/>
      <c r="F171" s="50">
        <f t="shared" ref="F171:F180" si="14">D171*E171</f>
        <v>0</v>
      </c>
    </row>
    <row r="172" spans="1:6" s="16" customFormat="1" x14ac:dyDescent="0.5">
      <c r="A172" s="3" t="s">
        <v>21</v>
      </c>
      <c r="B172" s="12" t="s">
        <v>53</v>
      </c>
      <c r="C172" s="48" t="s">
        <v>36</v>
      </c>
      <c r="D172" s="49">
        <v>19.600000000000001</v>
      </c>
      <c r="E172" s="5"/>
      <c r="F172" s="50">
        <f t="shared" si="14"/>
        <v>0</v>
      </c>
    </row>
    <row r="173" spans="1:6" x14ac:dyDescent="0.5">
      <c r="A173" s="7" t="s">
        <v>55</v>
      </c>
      <c r="B173" s="8" t="s">
        <v>39</v>
      </c>
      <c r="C173" s="56" t="s">
        <v>0</v>
      </c>
      <c r="D173" s="57">
        <f>3*19.6+1*21</f>
        <v>79.8</v>
      </c>
      <c r="E173" s="9"/>
      <c r="F173" s="58">
        <f t="shared" si="14"/>
        <v>0</v>
      </c>
    </row>
    <row r="174" spans="1:6" x14ac:dyDescent="0.5">
      <c r="A174" s="7" t="s">
        <v>56</v>
      </c>
      <c r="B174" s="62" t="s">
        <v>40</v>
      </c>
      <c r="C174" s="56" t="s">
        <v>36</v>
      </c>
      <c r="D174" s="57">
        <f>19.6*4+21*4</f>
        <v>162.4</v>
      </c>
      <c r="E174" s="9"/>
      <c r="F174" s="58">
        <f t="shared" si="14"/>
        <v>0</v>
      </c>
    </row>
    <row r="175" spans="1:6" s="16" customFormat="1" x14ac:dyDescent="0.5">
      <c r="A175" s="7" t="s">
        <v>57</v>
      </c>
      <c r="B175" s="8" t="s">
        <v>59</v>
      </c>
      <c r="C175" s="56" t="s">
        <v>61</v>
      </c>
      <c r="D175" s="57">
        <f>5*22</f>
        <v>110</v>
      </c>
      <c r="E175" s="9"/>
      <c r="F175" s="58">
        <f t="shared" si="14"/>
        <v>0</v>
      </c>
    </row>
    <row r="176" spans="1:6" x14ac:dyDescent="0.5">
      <c r="A176" s="7" t="s">
        <v>66</v>
      </c>
      <c r="B176" s="8" t="s">
        <v>67</v>
      </c>
      <c r="C176" s="56" t="s">
        <v>61</v>
      </c>
      <c r="D176" s="57">
        <f>20*2</f>
        <v>40</v>
      </c>
      <c r="E176" s="9"/>
      <c r="F176" s="58">
        <f t="shared" si="14"/>
        <v>0</v>
      </c>
    </row>
    <row r="177" spans="1:6" x14ac:dyDescent="0.5">
      <c r="A177" s="3" t="s">
        <v>22</v>
      </c>
      <c r="B177" s="6" t="s">
        <v>54</v>
      </c>
      <c r="C177" s="48" t="s">
        <v>1</v>
      </c>
      <c r="D177" s="49">
        <v>19.600000000000001</v>
      </c>
      <c r="E177" s="5"/>
      <c r="F177" s="50">
        <f t="shared" si="14"/>
        <v>0</v>
      </c>
    </row>
    <row r="178" spans="1:6" x14ac:dyDescent="0.5">
      <c r="A178" s="7" t="s">
        <v>23</v>
      </c>
      <c r="B178" s="8" t="s">
        <v>41</v>
      </c>
      <c r="C178" s="56" t="s">
        <v>37</v>
      </c>
      <c r="D178" s="57">
        <f>1*19.6*1.35*1.05</f>
        <v>27.78</v>
      </c>
      <c r="E178" s="9"/>
      <c r="F178" s="58">
        <f t="shared" si="14"/>
        <v>0</v>
      </c>
    </row>
    <row r="179" spans="1:6" s="16" customFormat="1" x14ac:dyDescent="0.5">
      <c r="A179" s="22" t="s">
        <v>24</v>
      </c>
      <c r="B179" s="23" t="s">
        <v>58</v>
      </c>
      <c r="C179" s="63" t="s">
        <v>0</v>
      </c>
      <c r="D179" s="64">
        <v>19.600000000000001</v>
      </c>
      <c r="E179" s="24"/>
      <c r="F179" s="61">
        <f t="shared" si="14"/>
        <v>0</v>
      </c>
    </row>
    <row r="180" spans="1:6" s="16" customFormat="1" x14ac:dyDescent="0.5">
      <c r="A180" s="7" t="s">
        <v>25</v>
      </c>
      <c r="B180" s="8" t="s">
        <v>63</v>
      </c>
      <c r="C180" s="56" t="s">
        <v>0</v>
      </c>
      <c r="D180" s="57">
        <f>10.9*2*1</f>
        <v>21.8</v>
      </c>
      <c r="E180" s="9"/>
      <c r="F180" s="58">
        <f t="shared" si="14"/>
        <v>0</v>
      </c>
    </row>
    <row r="181" spans="1:6" s="16" customFormat="1" ht="14.35" x14ac:dyDescent="0.5">
      <c r="A181" s="17"/>
      <c r="B181" s="17" t="s">
        <v>88</v>
      </c>
      <c r="C181" s="89"/>
      <c r="D181" s="89"/>
      <c r="E181" s="89"/>
      <c r="F181" s="91"/>
    </row>
    <row r="182" spans="1:6" x14ac:dyDescent="0.5">
      <c r="A182" s="42"/>
      <c r="B182" s="43" t="s">
        <v>92</v>
      </c>
      <c r="C182" s="44"/>
      <c r="D182" s="45"/>
      <c r="E182" s="46"/>
      <c r="F182" s="47"/>
    </row>
    <row r="183" spans="1:6" ht="25.35" x14ac:dyDescent="0.5">
      <c r="A183" s="3" t="s">
        <v>12</v>
      </c>
      <c r="B183" s="4" t="s">
        <v>43</v>
      </c>
      <c r="C183" s="48" t="s">
        <v>36</v>
      </c>
      <c r="D183" s="49">
        <v>30.8</v>
      </c>
      <c r="E183" s="5"/>
      <c r="F183" s="50">
        <f t="shared" ref="F183:F192" si="15">D183*E183</f>
        <v>0</v>
      </c>
    </row>
    <row r="184" spans="1:6" x14ac:dyDescent="0.5">
      <c r="A184" s="3" t="s">
        <v>13</v>
      </c>
      <c r="B184" s="6" t="s">
        <v>45</v>
      </c>
      <c r="C184" s="48" t="s">
        <v>36</v>
      </c>
      <c r="D184" s="49">
        <v>30.8</v>
      </c>
      <c r="E184" s="5"/>
      <c r="F184" s="50">
        <f t="shared" si="15"/>
        <v>0</v>
      </c>
    </row>
    <row r="185" spans="1:6" s="16" customFormat="1" x14ac:dyDescent="0.5">
      <c r="A185" s="51" t="s">
        <v>6</v>
      </c>
      <c r="B185" s="52" t="s">
        <v>39</v>
      </c>
      <c r="C185" s="53" t="s">
        <v>0</v>
      </c>
      <c r="D185" s="54">
        <f>4.6*30.8+0.6*32</f>
        <v>160.88</v>
      </c>
      <c r="E185" s="70"/>
      <c r="F185" s="55">
        <f t="shared" si="15"/>
        <v>0</v>
      </c>
    </row>
    <row r="186" spans="1:6" s="16" customFormat="1" x14ac:dyDescent="0.5">
      <c r="A186" s="51" t="s">
        <v>7</v>
      </c>
      <c r="B186" s="52" t="s">
        <v>40</v>
      </c>
      <c r="C186" s="53" t="s">
        <v>36</v>
      </c>
      <c r="D186" s="54">
        <f>30.8*4+4.6*32</f>
        <v>270.39999999999998</v>
      </c>
      <c r="E186" s="70"/>
      <c r="F186" s="55">
        <f t="shared" si="15"/>
        <v>0</v>
      </c>
    </row>
    <row r="187" spans="1:6" s="16" customFormat="1" x14ac:dyDescent="0.5">
      <c r="A187" s="51" t="s">
        <v>8</v>
      </c>
      <c r="B187" s="52" t="s">
        <v>59</v>
      </c>
      <c r="C187" s="53" t="s">
        <v>61</v>
      </c>
      <c r="D187" s="54">
        <f>10*35</f>
        <v>350</v>
      </c>
      <c r="E187" s="70"/>
      <c r="F187" s="55">
        <f t="shared" si="15"/>
        <v>0</v>
      </c>
    </row>
    <row r="188" spans="1:6" s="16" customFormat="1" x14ac:dyDescent="0.5">
      <c r="A188" s="51" t="s">
        <v>60</v>
      </c>
      <c r="B188" s="52" t="s">
        <v>62</v>
      </c>
      <c r="C188" s="53" t="s">
        <v>61</v>
      </c>
      <c r="D188" s="54">
        <f>31*2</f>
        <v>62</v>
      </c>
      <c r="E188" s="70"/>
      <c r="F188" s="55">
        <f t="shared" si="15"/>
        <v>0</v>
      </c>
    </row>
    <row r="189" spans="1:6" x14ac:dyDescent="0.5">
      <c r="A189" s="3" t="s">
        <v>14</v>
      </c>
      <c r="B189" s="6" t="s">
        <v>48</v>
      </c>
      <c r="C189" s="48" t="s">
        <v>1</v>
      </c>
      <c r="D189" s="49">
        <v>18.48</v>
      </c>
      <c r="E189" s="5"/>
      <c r="F189" s="50">
        <f t="shared" si="15"/>
        <v>0</v>
      </c>
    </row>
    <row r="190" spans="1:6" s="16" customFormat="1" x14ac:dyDescent="0.5">
      <c r="A190" s="7" t="s">
        <v>9</v>
      </c>
      <c r="B190" s="8" t="s">
        <v>41</v>
      </c>
      <c r="C190" s="56" t="s">
        <v>37</v>
      </c>
      <c r="D190" s="57">
        <f>0.6*30.8*1.35*1.05</f>
        <v>26.2</v>
      </c>
      <c r="E190" s="9"/>
      <c r="F190" s="58">
        <f t="shared" si="15"/>
        <v>0</v>
      </c>
    </row>
    <row r="191" spans="1:6" x14ac:dyDescent="0.5">
      <c r="A191" s="25" t="s">
        <v>15</v>
      </c>
      <c r="B191" s="21" t="s">
        <v>58</v>
      </c>
      <c r="C191" s="59" t="s">
        <v>0</v>
      </c>
      <c r="D191" s="60">
        <f>3.8*30.8</f>
        <v>117.04</v>
      </c>
      <c r="E191" s="26"/>
      <c r="F191" s="61">
        <f t="shared" si="15"/>
        <v>0</v>
      </c>
    </row>
    <row r="192" spans="1:6" x14ac:dyDescent="0.5">
      <c r="A192" s="7" t="s">
        <v>42</v>
      </c>
      <c r="B192" s="8" t="s">
        <v>63</v>
      </c>
      <c r="C192" s="56" t="s">
        <v>0</v>
      </c>
      <c r="D192" s="57">
        <f>17.1*2*3.8</f>
        <v>129.96</v>
      </c>
      <c r="E192" s="9"/>
      <c r="F192" s="58">
        <f t="shared" si="15"/>
        <v>0</v>
      </c>
    </row>
    <row r="193" spans="1:6" x14ac:dyDescent="0.5">
      <c r="A193" s="7"/>
      <c r="B193" s="43" t="s">
        <v>93</v>
      </c>
      <c r="C193" s="56"/>
      <c r="D193" s="57"/>
      <c r="E193" s="9"/>
      <c r="F193" s="58"/>
    </row>
    <row r="194" spans="1:6" s="16" customFormat="1" ht="25.35" x14ac:dyDescent="0.5">
      <c r="A194" s="3" t="s">
        <v>16</v>
      </c>
      <c r="B194" s="12" t="s">
        <v>72</v>
      </c>
      <c r="C194" s="48" t="s">
        <v>36</v>
      </c>
      <c r="D194" s="49">
        <v>30.8</v>
      </c>
      <c r="E194" s="5"/>
      <c r="F194" s="50">
        <f t="shared" ref="F194:F203" si="16">D194*E194</f>
        <v>0</v>
      </c>
    </row>
    <row r="195" spans="1:6" s="16" customFormat="1" x14ac:dyDescent="0.5">
      <c r="A195" s="3" t="s">
        <v>17</v>
      </c>
      <c r="B195" s="12" t="s">
        <v>73</v>
      </c>
      <c r="C195" s="48" t="s">
        <v>36</v>
      </c>
      <c r="D195" s="49">
        <v>30.8</v>
      </c>
      <c r="E195" s="5"/>
      <c r="F195" s="50">
        <f t="shared" si="16"/>
        <v>0</v>
      </c>
    </row>
    <row r="196" spans="1:6" s="16" customFormat="1" x14ac:dyDescent="0.5">
      <c r="A196" s="7" t="s">
        <v>10</v>
      </c>
      <c r="B196" s="8" t="s">
        <v>39</v>
      </c>
      <c r="C196" s="56" t="s">
        <v>0</v>
      </c>
      <c r="D196" s="57">
        <f>3*30.8+32*1</f>
        <v>124.4</v>
      </c>
      <c r="E196" s="9"/>
      <c r="F196" s="58">
        <f t="shared" si="16"/>
        <v>0</v>
      </c>
    </row>
    <row r="197" spans="1:6" x14ac:dyDescent="0.5">
      <c r="A197" s="7" t="s">
        <v>49</v>
      </c>
      <c r="B197" s="62" t="s">
        <v>40</v>
      </c>
      <c r="C197" s="56" t="s">
        <v>36</v>
      </c>
      <c r="D197" s="57">
        <f>30.8*4+32*4</f>
        <v>251.2</v>
      </c>
      <c r="E197" s="9"/>
      <c r="F197" s="58">
        <f t="shared" si="16"/>
        <v>0</v>
      </c>
    </row>
    <row r="198" spans="1:6" x14ac:dyDescent="0.5">
      <c r="A198" s="7" t="s">
        <v>50</v>
      </c>
      <c r="B198" s="8" t="s">
        <v>59</v>
      </c>
      <c r="C198" s="56" t="s">
        <v>61</v>
      </c>
      <c r="D198" s="57">
        <f>35*5</f>
        <v>175</v>
      </c>
      <c r="E198" s="9"/>
      <c r="F198" s="58">
        <f t="shared" si="16"/>
        <v>0</v>
      </c>
    </row>
    <row r="199" spans="1:6" s="16" customFormat="1" x14ac:dyDescent="0.5">
      <c r="A199" s="7" t="s">
        <v>64</v>
      </c>
      <c r="B199" s="8" t="s">
        <v>74</v>
      </c>
      <c r="C199" s="56" t="s">
        <v>61</v>
      </c>
      <c r="D199" s="57">
        <f>31*2</f>
        <v>62</v>
      </c>
      <c r="E199" s="9"/>
      <c r="F199" s="58">
        <f t="shared" si="16"/>
        <v>0</v>
      </c>
    </row>
    <row r="200" spans="1:6" x14ac:dyDescent="0.5">
      <c r="A200" s="3" t="s">
        <v>18</v>
      </c>
      <c r="B200" s="6" t="s">
        <v>75</v>
      </c>
      <c r="C200" s="48" t="s">
        <v>1</v>
      </c>
      <c r="D200" s="49">
        <v>30.8</v>
      </c>
      <c r="E200" s="5"/>
      <c r="F200" s="50">
        <f t="shared" si="16"/>
        <v>0</v>
      </c>
    </row>
    <row r="201" spans="1:6" x14ac:dyDescent="0.5">
      <c r="A201" s="7" t="s">
        <v>51</v>
      </c>
      <c r="B201" s="8" t="s">
        <v>41</v>
      </c>
      <c r="C201" s="56" t="s">
        <v>37</v>
      </c>
      <c r="D201" s="57">
        <f>1*30.8*1.35*1.05</f>
        <v>43.66</v>
      </c>
      <c r="E201" s="9"/>
      <c r="F201" s="58">
        <f t="shared" si="16"/>
        <v>0</v>
      </c>
    </row>
    <row r="202" spans="1:6" x14ac:dyDescent="0.5">
      <c r="A202" s="22" t="s">
        <v>19</v>
      </c>
      <c r="B202" s="23" t="s">
        <v>58</v>
      </c>
      <c r="C202" s="63" t="s">
        <v>0</v>
      </c>
      <c r="D202" s="64">
        <v>30.8</v>
      </c>
      <c r="E202" s="24"/>
      <c r="F202" s="65">
        <f t="shared" si="16"/>
        <v>0</v>
      </c>
    </row>
    <row r="203" spans="1:6" x14ac:dyDescent="0.5">
      <c r="A203" s="7" t="s">
        <v>11</v>
      </c>
      <c r="B203" s="8" t="s">
        <v>63</v>
      </c>
      <c r="C203" s="56" t="s">
        <v>0</v>
      </c>
      <c r="D203" s="57">
        <f>17.1*2*1</f>
        <v>34.200000000000003</v>
      </c>
      <c r="E203" s="9"/>
      <c r="F203" s="66">
        <f t="shared" si="16"/>
        <v>0</v>
      </c>
    </row>
    <row r="204" spans="1:6" s="16" customFormat="1" x14ac:dyDescent="0.5">
      <c r="A204" s="7"/>
      <c r="B204" s="43" t="s">
        <v>94</v>
      </c>
      <c r="C204" s="67"/>
      <c r="D204" s="68"/>
      <c r="E204" s="10"/>
      <c r="F204" s="69"/>
    </row>
    <row r="205" spans="1:6" s="16" customFormat="1" ht="25.35" x14ac:dyDescent="0.5">
      <c r="A205" s="3" t="s">
        <v>20</v>
      </c>
      <c r="B205" s="12" t="s">
        <v>52</v>
      </c>
      <c r="C205" s="48" t="s">
        <v>36</v>
      </c>
      <c r="D205" s="49">
        <v>30.8</v>
      </c>
      <c r="E205" s="5"/>
      <c r="F205" s="50">
        <f t="shared" ref="F205:F214" si="17">D205*E205</f>
        <v>0</v>
      </c>
    </row>
    <row r="206" spans="1:6" s="16" customFormat="1" x14ac:dyDescent="0.5">
      <c r="A206" s="3" t="s">
        <v>21</v>
      </c>
      <c r="B206" s="12" t="s">
        <v>53</v>
      </c>
      <c r="C206" s="48" t="s">
        <v>36</v>
      </c>
      <c r="D206" s="49">
        <v>30.8</v>
      </c>
      <c r="E206" s="5"/>
      <c r="F206" s="50">
        <f t="shared" si="17"/>
        <v>0</v>
      </c>
    </row>
    <row r="207" spans="1:6" x14ac:dyDescent="0.5">
      <c r="A207" s="7" t="s">
        <v>55</v>
      </c>
      <c r="B207" s="8" t="s">
        <v>39</v>
      </c>
      <c r="C207" s="56" t="s">
        <v>0</v>
      </c>
      <c r="D207" s="57">
        <f>3*30.8+1*32</f>
        <v>124.4</v>
      </c>
      <c r="E207" s="9"/>
      <c r="F207" s="58">
        <f t="shared" si="17"/>
        <v>0</v>
      </c>
    </row>
    <row r="208" spans="1:6" x14ac:dyDescent="0.5">
      <c r="A208" s="7" t="s">
        <v>56</v>
      </c>
      <c r="B208" s="62" t="s">
        <v>40</v>
      </c>
      <c r="C208" s="56" t="s">
        <v>36</v>
      </c>
      <c r="D208" s="57">
        <f>30.8*4+32*4</f>
        <v>251.2</v>
      </c>
      <c r="E208" s="9"/>
      <c r="F208" s="58">
        <f t="shared" si="17"/>
        <v>0</v>
      </c>
    </row>
    <row r="209" spans="1:6" s="16" customFormat="1" x14ac:dyDescent="0.5">
      <c r="A209" s="7" t="s">
        <v>57</v>
      </c>
      <c r="B209" s="8" t="s">
        <v>59</v>
      </c>
      <c r="C209" s="56" t="s">
        <v>61</v>
      </c>
      <c r="D209" s="57">
        <f>5*35</f>
        <v>175</v>
      </c>
      <c r="E209" s="9"/>
      <c r="F209" s="58">
        <f t="shared" si="17"/>
        <v>0</v>
      </c>
    </row>
    <row r="210" spans="1:6" x14ac:dyDescent="0.5">
      <c r="A210" s="7" t="s">
        <v>66</v>
      </c>
      <c r="B210" s="8" t="s">
        <v>67</v>
      </c>
      <c r="C210" s="56" t="s">
        <v>61</v>
      </c>
      <c r="D210" s="57">
        <f>62</f>
        <v>62</v>
      </c>
      <c r="E210" s="9"/>
      <c r="F210" s="58">
        <f t="shared" si="17"/>
        <v>0</v>
      </c>
    </row>
    <row r="211" spans="1:6" x14ac:dyDescent="0.5">
      <c r="A211" s="3" t="s">
        <v>22</v>
      </c>
      <c r="B211" s="6" t="s">
        <v>54</v>
      </c>
      <c r="C211" s="48" t="s">
        <v>1</v>
      </c>
      <c r="D211" s="49">
        <v>30.8</v>
      </c>
      <c r="E211" s="5"/>
      <c r="F211" s="50">
        <f t="shared" si="17"/>
        <v>0</v>
      </c>
    </row>
    <row r="212" spans="1:6" x14ac:dyDescent="0.5">
      <c r="A212" s="7" t="s">
        <v>23</v>
      </c>
      <c r="B212" s="8" t="s">
        <v>41</v>
      </c>
      <c r="C212" s="56" t="s">
        <v>37</v>
      </c>
      <c r="D212" s="57">
        <f>1*30.8*1.35*1.05</f>
        <v>43.66</v>
      </c>
      <c r="E212" s="9"/>
      <c r="F212" s="58">
        <f t="shared" si="17"/>
        <v>0</v>
      </c>
    </row>
    <row r="213" spans="1:6" s="16" customFormat="1" x14ac:dyDescent="0.5">
      <c r="A213" s="22" t="s">
        <v>24</v>
      </c>
      <c r="B213" s="23" t="s">
        <v>58</v>
      </c>
      <c r="C213" s="63" t="s">
        <v>0</v>
      </c>
      <c r="D213" s="64">
        <v>30.8</v>
      </c>
      <c r="E213" s="24"/>
      <c r="F213" s="61">
        <f t="shared" si="17"/>
        <v>0</v>
      </c>
    </row>
    <row r="214" spans="1:6" s="16" customFormat="1" x14ac:dyDescent="0.5">
      <c r="A214" s="7" t="s">
        <v>25</v>
      </c>
      <c r="B214" s="8" t="s">
        <v>63</v>
      </c>
      <c r="C214" s="56" t="s">
        <v>0</v>
      </c>
      <c r="D214" s="57">
        <f>17.1*2*1</f>
        <v>34.200000000000003</v>
      </c>
      <c r="E214" s="9"/>
      <c r="F214" s="58">
        <f t="shared" si="17"/>
        <v>0</v>
      </c>
    </row>
    <row r="215" spans="1:6" s="16" customFormat="1" ht="14.35" x14ac:dyDescent="0.5">
      <c r="A215" s="17"/>
      <c r="B215" s="17" t="s">
        <v>89</v>
      </c>
      <c r="C215" s="89"/>
      <c r="D215" s="89"/>
      <c r="E215" s="89"/>
      <c r="F215" s="92"/>
    </row>
    <row r="216" spans="1:6" x14ac:dyDescent="0.5">
      <c r="A216" s="42"/>
      <c r="B216" s="43" t="s">
        <v>92</v>
      </c>
      <c r="C216" s="44"/>
      <c r="D216" s="45"/>
      <c r="E216" s="46"/>
      <c r="F216" s="47"/>
    </row>
    <row r="217" spans="1:6" ht="25.35" x14ac:dyDescent="0.5">
      <c r="A217" s="3" t="s">
        <v>12</v>
      </c>
      <c r="B217" s="4" t="s">
        <v>43</v>
      </c>
      <c r="C217" s="48" t="s">
        <v>36</v>
      </c>
      <c r="D217" s="49">
        <v>7</v>
      </c>
      <c r="E217" s="5"/>
      <c r="F217" s="50">
        <f t="shared" ref="F217:F226" si="18">D217*E217</f>
        <v>0</v>
      </c>
    </row>
    <row r="218" spans="1:6" x14ac:dyDescent="0.5">
      <c r="A218" s="3" t="s">
        <v>13</v>
      </c>
      <c r="B218" s="6" t="s">
        <v>45</v>
      </c>
      <c r="C218" s="48" t="s">
        <v>36</v>
      </c>
      <c r="D218" s="49">
        <v>7</v>
      </c>
      <c r="E218" s="5"/>
      <c r="F218" s="50">
        <f t="shared" si="18"/>
        <v>0</v>
      </c>
    </row>
    <row r="219" spans="1:6" s="16" customFormat="1" x14ac:dyDescent="0.5">
      <c r="A219" s="51" t="s">
        <v>6</v>
      </c>
      <c r="B219" s="52" t="s">
        <v>39</v>
      </c>
      <c r="C219" s="53" t="s">
        <v>0</v>
      </c>
      <c r="D219" s="54">
        <f>4.6*7+0.6*8</f>
        <v>37</v>
      </c>
      <c r="E219" s="70"/>
      <c r="F219" s="55">
        <f t="shared" si="18"/>
        <v>0</v>
      </c>
    </row>
    <row r="220" spans="1:6" s="16" customFormat="1" x14ac:dyDescent="0.5">
      <c r="A220" s="51" t="s">
        <v>7</v>
      </c>
      <c r="B220" s="52" t="s">
        <v>40</v>
      </c>
      <c r="C220" s="53" t="s">
        <v>36</v>
      </c>
      <c r="D220" s="54">
        <f>7*4+4.6*8</f>
        <v>64.8</v>
      </c>
      <c r="E220" s="70"/>
      <c r="F220" s="55">
        <f t="shared" si="18"/>
        <v>0</v>
      </c>
    </row>
    <row r="221" spans="1:6" s="16" customFormat="1" x14ac:dyDescent="0.5">
      <c r="A221" s="51" t="s">
        <v>8</v>
      </c>
      <c r="B221" s="52" t="s">
        <v>59</v>
      </c>
      <c r="C221" s="53" t="s">
        <v>61</v>
      </c>
      <c r="D221" s="54">
        <f>10*10</f>
        <v>100</v>
      </c>
      <c r="E221" s="70"/>
      <c r="F221" s="55">
        <f t="shared" si="18"/>
        <v>0</v>
      </c>
    </row>
    <row r="222" spans="1:6" s="16" customFormat="1" x14ac:dyDescent="0.5">
      <c r="A222" s="51" t="s">
        <v>60</v>
      </c>
      <c r="B222" s="52" t="s">
        <v>62</v>
      </c>
      <c r="C222" s="53" t="s">
        <v>61</v>
      </c>
      <c r="D222" s="54">
        <f>7*2</f>
        <v>14</v>
      </c>
      <c r="E222" s="70"/>
      <c r="F222" s="55">
        <f t="shared" si="18"/>
        <v>0</v>
      </c>
    </row>
    <row r="223" spans="1:6" x14ac:dyDescent="0.5">
      <c r="A223" s="3" t="s">
        <v>14</v>
      </c>
      <c r="B223" s="6" t="s">
        <v>48</v>
      </c>
      <c r="C223" s="48" t="s">
        <v>1</v>
      </c>
      <c r="D223" s="49">
        <v>4.2</v>
      </c>
      <c r="E223" s="5"/>
      <c r="F223" s="50">
        <f t="shared" si="18"/>
        <v>0</v>
      </c>
    </row>
    <row r="224" spans="1:6" s="16" customFormat="1" x14ac:dyDescent="0.5">
      <c r="A224" s="7" t="s">
        <v>9</v>
      </c>
      <c r="B224" s="8" t="s">
        <v>41</v>
      </c>
      <c r="C224" s="56" t="s">
        <v>37</v>
      </c>
      <c r="D224" s="57">
        <f>0.6*7*1.35*1.05</f>
        <v>5.95</v>
      </c>
      <c r="E224" s="9"/>
      <c r="F224" s="58">
        <f t="shared" si="18"/>
        <v>0</v>
      </c>
    </row>
    <row r="225" spans="1:6" x14ac:dyDescent="0.5">
      <c r="A225" s="25" t="s">
        <v>15</v>
      </c>
      <c r="B225" s="21" t="s">
        <v>58</v>
      </c>
      <c r="C225" s="59" t="s">
        <v>0</v>
      </c>
      <c r="D225" s="60">
        <f>3.8*7</f>
        <v>26.6</v>
      </c>
      <c r="E225" s="26"/>
      <c r="F225" s="61">
        <f t="shared" si="18"/>
        <v>0</v>
      </c>
    </row>
    <row r="226" spans="1:6" x14ac:dyDescent="0.5">
      <c r="A226" s="7" t="s">
        <v>42</v>
      </c>
      <c r="B226" s="8" t="s">
        <v>63</v>
      </c>
      <c r="C226" s="56" t="s">
        <v>0</v>
      </c>
      <c r="D226" s="57">
        <f>3.89*2*3.8</f>
        <v>29.56</v>
      </c>
      <c r="E226" s="9"/>
      <c r="F226" s="58">
        <f t="shared" si="18"/>
        <v>0</v>
      </c>
    </row>
    <row r="227" spans="1:6" x14ac:dyDescent="0.5">
      <c r="A227" s="7"/>
      <c r="B227" s="43" t="s">
        <v>93</v>
      </c>
      <c r="C227" s="56"/>
      <c r="D227" s="57"/>
      <c r="E227" s="9"/>
      <c r="F227" s="58"/>
    </row>
    <row r="228" spans="1:6" s="16" customFormat="1" ht="25.35" x14ac:dyDescent="0.5">
      <c r="A228" s="3" t="s">
        <v>16</v>
      </c>
      <c r="B228" s="12" t="s">
        <v>72</v>
      </c>
      <c r="C228" s="48" t="s">
        <v>36</v>
      </c>
      <c r="D228" s="49">
        <v>7</v>
      </c>
      <c r="E228" s="5"/>
      <c r="F228" s="50">
        <f t="shared" ref="F228:F237" si="19">D228*E228</f>
        <v>0</v>
      </c>
    </row>
    <row r="229" spans="1:6" s="16" customFormat="1" x14ac:dyDescent="0.5">
      <c r="A229" s="3" t="s">
        <v>17</v>
      </c>
      <c r="B229" s="12" t="s">
        <v>76</v>
      </c>
      <c r="C229" s="48" t="s">
        <v>36</v>
      </c>
      <c r="D229" s="49">
        <v>7</v>
      </c>
      <c r="E229" s="5"/>
      <c r="F229" s="50">
        <f t="shared" si="19"/>
        <v>0</v>
      </c>
    </row>
    <row r="230" spans="1:6" s="16" customFormat="1" x14ac:dyDescent="0.5">
      <c r="A230" s="7" t="s">
        <v>10</v>
      </c>
      <c r="B230" s="8" t="s">
        <v>39</v>
      </c>
      <c r="C230" s="56" t="s">
        <v>0</v>
      </c>
      <c r="D230" s="57">
        <f>3*7+1*8</f>
        <v>29</v>
      </c>
      <c r="E230" s="9"/>
      <c r="F230" s="58">
        <f t="shared" si="19"/>
        <v>0</v>
      </c>
    </row>
    <row r="231" spans="1:6" s="16" customFormat="1" x14ac:dyDescent="0.5">
      <c r="A231" s="7" t="s">
        <v>49</v>
      </c>
      <c r="B231" s="62" t="s">
        <v>40</v>
      </c>
      <c r="C231" s="56" t="s">
        <v>36</v>
      </c>
      <c r="D231" s="57">
        <f>7*4+8*4</f>
        <v>60</v>
      </c>
      <c r="E231" s="9"/>
      <c r="F231" s="58">
        <f t="shared" si="19"/>
        <v>0</v>
      </c>
    </row>
    <row r="232" spans="1:6" x14ac:dyDescent="0.5">
      <c r="A232" s="7" t="s">
        <v>50</v>
      </c>
      <c r="B232" s="8" t="s">
        <v>59</v>
      </c>
      <c r="C232" s="56" t="s">
        <v>61</v>
      </c>
      <c r="D232" s="57">
        <f>10*5</f>
        <v>50</v>
      </c>
      <c r="E232" s="9"/>
      <c r="F232" s="58">
        <f t="shared" si="19"/>
        <v>0</v>
      </c>
    </row>
    <row r="233" spans="1:6" s="16" customFormat="1" x14ac:dyDescent="0.5">
      <c r="A233" s="7" t="s">
        <v>64</v>
      </c>
      <c r="B233" s="8" t="s">
        <v>74</v>
      </c>
      <c r="C233" s="56" t="s">
        <v>61</v>
      </c>
      <c r="D233" s="57">
        <f>7*2</f>
        <v>14</v>
      </c>
      <c r="E233" s="9"/>
      <c r="F233" s="58">
        <f t="shared" si="19"/>
        <v>0</v>
      </c>
    </row>
    <row r="234" spans="1:6" x14ac:dyDescent="0.5">
      <c r="A234" s="3" t="s">
        <v>18</v>
      </c>
      <c r="B234" s="6" t="s">
        <v>75</v>
      </c>
      <c r="C234" s="48" t="s">
        <v>1</v>
      </c>
      <c r="D234" s="49">
        <v>7</v>
      </c>
      <c r="E234" s="5"/>
      <c r="F234" s="50">
        <f t="shared" si="19"/>
        <v>0</v>
      </c>
    </row>
    <row r="235" spans="1:6" x14ac:dyDescent="0.5">
      <c r="A235" s="7" t="s">
        <v>51</v>
      </c>
      <c r="B235" s="8" t="s">
        <v>41</v>
      </c>
      <c r="C235" s="56" t="s">
        <v>37</v>
      </c>
      <c r="D235" s="57">
        <f>1*7*1.35*1.05</f>
        <v>9.92</v>
      </c>
      <c r="E235" s="9"/>
      <c r="F235" s="58">
        <f t="shared" si="19"/>
        <v>0</v>
      </c>
    </row>
    <row r="236" spans="1:6" x14ac:dyDescent="0.5">
      <c r="A236" s="22" t="s">
        <v>19</v>
      </c>
      <c r="B236" s="23" t="s">
        <v>58</v>
      </c>
      <c r="C236" s="63" t="s">
        <v>0</v>
      </c>
      <c r="D236" s="64">
        <v>7</v>
      </c>
      <c r="E236" s="24"/>
      <c r="F236" s="65">
        <f t="shared" si="19"/>
        <v>0</v>
      </c>
    </row>
    <row r="237" spans="1:6" x14ac:dyDescent="0.5">
      <c r="A237" s="7" t="s">
        <v>11</v>
      </c>
      <c r="B237" s="8" t="s">
        <v>63</v>
      </c>
      <c r="C237" s="56" t="s">
        <v>0</v>
      </c>
      <c r="D237" s="57">
        <f>3.89*2*1</f>
        <v>7.78</v>
      </c>
      <c r="E237" s="9"/>
      <c r="F237" s="66">
        <f t="shared" si="19"/>
        <v>0</v>
      </c>
    </row>
    <row r="238" spans="1:6" s="16" customFormat="1" x14ac:dyDescent="0.5">
      <c r="A238" s="7"/>
      <c r="B238" s="43" t="s">
        <v>94</v>
      </c>
      <c r="C238" s="67"/>
      <c r="D238" s="68"/>
      <c r="E238" s="10"/>
      <c r="F238" s="69"/>
    </row>
    <row r="239" spans="1:6" s="16" customFormat="1" ht="25.35" x14ac:dyDescent="0.5">
      <c r="A239" s="3" t="s">
        <v>20</v>
      </c>
      <c r="B239" s="12" t="s">
        <v>77</v>
      </c>
      <c r="C239" s="48" t="s">
        <v>36</v>
      </c>
      <c r="D239" s="49">
        <v>7</v>
      </c>
      <c r="E239" s="5"/>
      <c r="F239" s="50">
        <f t="shared" ref="F239:F248" si="20">D239*E239</f>
        <v>0</v>
      </c>
    </row>
    <row r="240" spans="1:6" s="16" customFormat="1" x14ac:dyDescent="0.5">
      <c r="A240" s="3" t="s">
        <v>21</v>
      </c>
      <c r="B240" s="12" t="s">
        <v>78</v>
      </c>
      <c r="C240" s="48" t="s">
        <v>36</v>
      </c>
      <c r="D240" s="49">
        <v>7</v>
      </c>
      <c r="E240" s="5"/>
      <c r="F240" s="50">
        <f t="shared" si="20"/>
        <v>0</v>
      </c>
    </row>
    <row r="241" spans="1:6" x14ac:dyDescent="0.5">
      <c r="A241" s="7" t="s">
        <v>55</v>
      </c>
      <c r="B241" s="8" t="s">
        <v>39</v>
      </c>
      <c r="C241" s="56" t="s">
        <v>0</v>
      </c>
      <c r="D241" s="57">
        <f>2.2*7+0.6*8</f>
        <v>20.2</v>
      </c>
      <c r="E241" s="9"/>
      <c r="F241" s="58">
        <f t="shared" si="20"/>
        <v>0</v>
      </c>
    </row>
    <row r="242" spans="1:6" x14ac:dyDescent="0.5">
      <c r="A242" s="7" t="s">
        <v>56</v>
      </c>
      <c r="B242" s="62" t="s">
        <v>40</v>
      </c>
      <c r="C242" s="56" t="s">
        <v>36</v>
      </c>
      <c r="D242" s="57">
        <f>7*4+3.2*8</f>
        <v>53.6</v>
      </c>
      <c r="E242" s="9"/>
      <c r="F242" s="58">
        <f t="shared" si="20"/>
        <v>0</v>
      </c>
    </row>
    <row r="243" spans="1:6" s="16" customFormat="1" x14ac:dyDescent="0.5">
      <c r="A243" s="7" t="s">
        <v>57</v>
      </c>
      <c r="B243" s="8" t="s">
        <v>59</v>
      </c>
      <c r="C243" s="56" t="s">
        <v>61</v>
      </c>
      <c r="D243" s="57">
        <f>7*10</f>
        <v>70</v>
      </c>
      <c r="E243" s="9"/>
      <c r="F243" s="58">
        <f t="shared" si="20"/>
        <v>0</v>
      </c>
    </row>
    <row r="244" spans="1:6" x14ac:dyDescent="0.5">
      <c r="A244" s="7" t="s">
        <v>66</v>
      </c>
      <c r="B244" s="8" t="s">
        <v>67</v>
      </c>
      <c r="C244" s="56" t="s">
        <v>61</v>
      </c>
      <c r="D244" s="57">
        <f>7*2</f>
        <v>14</v>
      </c>
      <c r="E244" s="9"/>
      <c r="F244" s="58">
        <f t="shared" si="20"/>
        <v>0</v>
      </c>
    </row>
    <row r="245" spans="1:6" x14ac:dyDescent="0.5">
      <c r="A245" s="3" t="s">
        <v>22</v>
      </c>
      <c r="B245" s="6" t="s">
        <v>79</v>
      </c>
      <c r="C245" s="48" t="s">
        <v>1</v>
      </c>
      <c r="D245" s="49">
        <v>4.2</v>
      </c>
      <c r="E245" s="5"/>
      <c r="F245" s="50">
        <f t="shared" si="20"/>
        <v>0</v>
      </c>
    </row>
    <row r="246" spans="1:6" x14ac:dyDescent="0.5">
      <c r="A246" s="7" t="s">
        <v>23</v>
      </c>
      <c r="B246" s="8" t="s">
        <v>41</v>
      </c>
      <c r="C246" s="56" t="s">
        <v>37</v>
      </c>
      <c r="D246" s="57">
        <f>0.6*7*1.35*1.05</f>
        <v>5.95</v>
      </c>
      <c r="E246" s="9"/>
      <c r="F246" s="58">
        <f t="shared" si="20"/>
        <v>0</v>
      </c>
    </row>
    <row r="247" spans="1:6" s="16" customFormat="1" x14ac:dyDescent="0.5">
      <c r="A247" s="22" t="s">
        <v>24</v>
      </c>
      <c r="B247" s="23" t="s">
        <v>58</v>
      </c>
      <c r="C247" s="63" t="s">
        <v>0</v>
      </c>
      <c r="D247" s="64">
        <v>4.2</v>
      </c>
      <c r="E247" s="24"/>
      <c r="F247" s="61">
        <f t="shared" si="20"/>
        <v>0</v>
      </c>
    </row>
    <row r="248" spans="1:6" s="16" customFormat="1" x14ac:dyDescent="0.5">
      <c r="A248" s="7" t="s">
        <v>25</v>
      </c>
      <c r="B248" s="8" t="s">
        <v>63</v>
      </c>
      <c r="C248" s="56" t="s">
        <v>0</v>
      </c>
      <c r="D248" s="57">
        <f>3.89*2*0.6</f>
        <v>4.67</v>
      </c>
      <c r="E248" s="9"/>
      <c r="F248" s="58">
        <f t="shared" si="20"/>
        <v>0</v>
      </c>
    </row>
    <row r="249" spans="1:6" s="16" customFormat="1" ht="14.35" x14ac:dyDescent="0.5">
      <c r="A249" s="17"/>
      <c r="B249" s="17" t="s">
        <v>90</v>
      </c>
      <c r="C249" s="89"/>
      <c r="D249" s="89"/>
      <c r="E249" s="89"/>
      <c r="F249" s="92"/>
    </row>
    <row r="250" spans="1:6" x14ac:dyDescent="0.5">
      <c r="A250" s="42"/>
      <c r="B250" s="43" t="s">
        <v>92</v>
      </c>
      <c r="C250" s="44"/>
      <c r="D250" s="45"/>
      <c r="E250" s="46"/>
      <c r="F250" s="47"/>
    </row>
    <row r="251" spans="1:6" ht="25.35" x14ac:dyDescent="0.5">
      <c r="A251" s="3" t="s">
        <v>12</v>
      </c>
      <c r="B251" s="4" t="s">
        <v>43</v>
      </c>
      <c r="C251" s="48" t="s">
        <v>36</v>
      </c>
      <c r="D251" s="49">
        <v>22.4</v>
      </c>
      <c r="E251" s="5"/>
      <c r="F251" s="50">
        <f t="shared" ref="F251:F260" si="21">D251*E251</f>
        <v>0</v>
      </c>
    </row>
    <row r="252" spans="1:6" x14ac:dyDescent="0.5">
      <c r="A252" s="3" t="s">
        <v>13</v>
      </c>
      <c r="B252" s="6" t="s">
        <v>45</v>
      </c>
      <c r="C252" s="48" t="s">
        <v>36</v>
      </c>
      <c r="D252" s="49">
        <v>22.4</v>
      </c>
      <c r="E252" s="5"/>
      <c r="F252" s="50">
        <f t="shared" si="21"/>
        <v>0</v>
      </c>
    </row>
    <row r="253" spans="1:6" s="16" customFormat="1" x14ac:dyDescent="0.5">
      <c r="A253" s="51" t="s">
        <v>6</v>
      </c>
      <c r="B253" s="52" t="s">
        <v>39</v>
      </c>
      <c r="C253" s="53" t="s">
        <v>0</v>
      </c>
      <c r="D253" s="54">
        <f>4.6*22.4+0.6*24</f>
        <v>117.44</v>
      </c>
      <c r="E253" s="70"/>
      <c r="F253" s="55">
        <f t="shared" si="21"/>
        <v>0</v>
      </c>
    </row>
    <row r="254" spans="1:6" s="16" customFormat="1" x14ac:dyDescent="0.5">
      <c r="A254" s="51" t="s">
        <v>7</v>
      </c>
      <c r="B254" s="52" t="s">
        <v>40</v>
      </c>
      <c r="C254" s="53" t="s">
        <v>36</v>
      </c>
      <c r="D254" s="54">
        <f>22.4*4+4.6*24</f>
        <v>200</v>
      </c>
      <c r="E254" s="70"/>
      <c r="F254" s="55">
        <f t="shared" si="21"/>
        <v>0</v>
      </c>
    </row>
    <row r="255" spans="1:6" s="16" customFormat="1" x14ac:dyDescent="0.5">
      <c r="A255" s="51" t="s">
        <v>8</v>
      </c>
      <c r="B255" s="52" t="s">
        <v>59</v>
      </c>
      <c r="C255" s="53" t="s">
        <v>61</v>
      </c>
      <c r="D255" s="54">
        <f>10*25</f>
        <v>250</v>
      </c>
      <c r="E255" s="70"/>
      <c r="F255" s="55">
        <f t="shared" si="21"/>
        <v>0</v>
      </c>
    </row>
    <row r="256" spans="1:6" s="16" customFormat="1" x14ac:dyDescent="0.5">
      <c r="A256" s="51" t="s">
        <v>60</v>
      </c>
      <c r="B256" s="52" t="s">
        <v>62</v>
      </c>
      <c r="C256" s="53" t="s">
        <v>61</v>
      </c>
      <c r="D256" s="54">
        <f>23*2</f>
        <v>46</v>
      </c>
      <c r="E256" s="70"/>
      <c r="F256" s="55">
        <f t="shared" si="21"/>
        <v>0</v>
      </c>
    </row>
    <row r="257" spans="1:6" x14ac:dyDescent="0.5">
      <c r="A257" s="3" t="s">
        <v>14</v>
      </c>
      <c r="B257" s="6" t="s">
        <v>48</v>
      </c>
      <c r="C257" s="48" t="s">
        <v>1</v>
      </c>
      <c r="D257" s="49">
        <v>13.44</v>
      </c>
      <c r="E257" s="5"/>
      <c r="F257" s="50">
        <f t="shared" si="21"/>
        <v>0</v>
      </c>
    </row>
    <row r="258" spans="1:6" s="16" customFormat="1" x14ac:dyDescent="0.5">
      <c r="A258" s="7" t="s">
        <v>9</v>
      </c>
      <c r="B258" s="8" t="s">
        <v>41</v>
      </c>
      <c r="C258" s="56" t="s">
        <v>37</v>
      </c>
      <c r="D258" s="57">
        <f>0.6*22.4*1.35*1.05</f>
        <v>19.05</v>
      </c>
      <c r="E258" s="9"/>
      <c r="F258" s="58">
        <f t="shared" si="21"/>
        <v>0</v>
      </c>
    </row>
    <row r="259" spans="1:6" x14ac:dyDescent="0.5">
      <c r="A259" s="25" t="s">
        <v>15</v>
      </c>
      <c r="B259" s="21" t="s">
        <v>58</v>
      </c>
      <c r="C259" s="59" t="s">
        <v>0</v>
      </c>
      <c r="D259" s="60">
        <f>3.8*22.4</f>
        <v>85.12</v>
      </c>
      <c r="E259" s="26"/>
      <c r="F259" s="61">
        <f t="shared" si="21"/>
        <v>0</v>
      </c>
    </row>
    <row r="260" spans="1:6" x14ac:dyDescent="0.5">
      <c r="A260" s="7" t="s">
        <v>42</v>
      </c>
      <c r="B260" s="8" t="s">
        <v>63</v>
      </c>
      <c r="C260" s="56" t="s">
        <v>0</v>
      </c>
      <c r="D260" s="57">
        <f>12.44*2*3.8</f>
        <v>94.54</v>
      </c>
      <c r="E260" s="9"/>
      <c r="F260" s="58">
        <f t="shared" si="21"/>
        <v>0</v>
      </c>
    </row>
    <row r="261" spans="1:6" x14ac:dyDescent="0.5">
      <c r="A261" s="7"/>
      <c r="B261" s="43" t="s">
        <v>93</v>
      </c>
      <c r="C261" s="56"/>
      <c r="D261" s="57"/>
      <c r="E261" s="9"/>
      <c r="F261" s="58"/>
    </row>
    <row r="262" spans="1:6" s="16" customFormat="1" ht="25.35" x14ac:dyDescent="0.5">
      <c r="A262" s="3" t="s">
        <v>16</v>
      </c>
      <c r="B262" s="12" t="s">
        <v>72</v>
      </c>
      <c r="C262" s="48" t="s">
        <v>36</v>
      </c>
      <c r="D262" s="49">
        <v>22.4</v>
      </c>
      <c r="E262" s="5"/>
      <c r="F262" s="50">
        <f t="shared" ref="F262:F271" si="22">D262*E262</f>
        <v>0</v>
      </c>
    </row>
    <row r="263" spans="1:6" s="16" customFormat="1" x14ac:dyDescent="0.5">
      <c r="A263" s="3" t="s">
        <v>17</v>
      </c>
      <c r="B263" s="12" t="s">
        <v>76</v>
      </c>
      <c r="C263" s="48" t="s">
        <v>36</v>
      </c>
      <c r="D263" s="49">
        <v>22.4</v>
      </c>
      <c r="E263" s="5"/>
      <c r="F263" s="50">
        <f t="shared" si="22"/>
        <v>0</v>
      </c>
    </row>
    <row r="264" spans="1:6" s="16" customFormat="1" x14ac:dyDescent="0.5">
      <c r="A264" s="7" t="s">
        <v>10</v>
      </c>
      <c r="B264" s="8" t="s">
        <v>39</v>
      </c>
      <c r="C264" s="56" t="s">
        <v>0</v>
      </c>
      <c r="D264" s="57">
        <f>3*22.4+1*24</f>
        <v>91.2</v>
      </c>
      <c r="E264" s="9"/>
      <c r="F264" s="58">
        <f t="shared" si="22"/>
        <v>0</v>
      </c>
    </row>
    <row r="265" spans="1:6" s="16" customFormat="1" x14ac:dyDescent="0.5">
      <c r="A265" s="7" t="s">
        <v>49</v>
      </c>
      <c r="B265" s="62" t="s">
        <v>40</v>
      </c>
      <c r="C265" s="56" t="s">
        <v>36</v>
      </c>
      <c r="D265" s="57">
        <f>22.4*4+24*4</f>
        <v>185.6</v>
      </c>
      <c r="E265" s="9"/>
      <c r="F265" s="58">
        <f t="shared" si="22"/>
        <v>0</v>
      </c>
    </row>
    <row r="266" spans="1:6" x14ac:dyDescent="0.5">
      <c r="A266" s="7" t="s">
        <v>50</v>
      </c>
      <c r="B266" s="8" t="s">
        <v>59</v>
      </c>
      <c r="C266" s="56" t="s">
        <v>61</v>
      </c>
      <c r="D266" s="57">
        <f>25*5</f>
        <v>125</v>
      </c>
      <c r="E266" s="9"/>
      <c r="F266" s="58">
        <f t="shared" si="22"/>
        <v>0</v>
      </c>
    </row>
    <row r="267" spans="1:6" s="16" customFormat="1" x14ac:dyDescent="0.5">
      <c r="A267" s="7" t="s">
        <v>64</v>
      </c>
      <c r="B267" s="8" t="s">
        <v>74</v>
      </c>
      <c r="C267" s="56" t="s">
        <v>61</v>
      </c>
      <c r="D267" s="57">
        <f>23*2</f>
        <v>46</v>
      </c>
      <c r="E267" s="9"/>
      <c r="F267" s="58">
        <f t="shared" si="22"/>
        <v>0</v>
      </c>
    </row>
    <row r="268" spans="1:6" x14ac:dyDescent="0.5">
      <c r="A268" s="3" t="s">
        <v>18</v>
      </c>
      <c r="B268" s="6" t="s">
        <v>75</v>
      </c>
      <c r="C268" s="48" t="s">
        <v>1</v>
      </c>
      <c r="D268" s="49">
        <v>22.4</v>
      </c>
      <c r="E268" s="5"/>
      <c r="F268" s="50">
        <f t="shared" si="22"/>
        <v>0</v>
      </c>
    </row>
    <row r="269" spans="1:6" x14ac:dyDescent="0.5">
      <c r="A269" s="7" t="s">
        <v>51</v>
      </c>
      <c r="B269" s="8" t="s">
        <v>41</v>
      </c>
      <c r="C269" s="56" t="s">
        <v>37</v>
      </c>
      <c r="D269" s="57">
        <f>1*22.4*1.35*1.05</f>
        <v>31.75</v>
      </c>
      <c r="E269" s="9"/>
      <c r="F269" s="58">
        <f t="shared" si="22"/>
        <v>0</v>
      </c>
    </row>
    <row r="270" spans="1:6" x14ac:dyDescent="0.5">
      <c r="A270" s="22" t="s">
        <v>19</v>
      </c>
      <c r="B270" s="23" t="s">
        <v>58</v>
      </c>
      <c r="C270" s="63" t="s">
        <v>0</v>
      </c>
      <c r="D270" s="64">
        <v>22.4</v>
      </c>
      <c r="E270" s="24"/>
      <c r="F270" s="65">
        <f t="shared" si="22"/>
        <v>0</v>
      </c>
    </row>
    <row r="271" spans="1:6" x14ac:dyDescent="0.5">
      <c r="A271" s="7" t="s">
        <v>11</v>
      </c>
      <c r="B271" s="8" t="s">
        <v>63</v>
      </c>
      <c r="C271" s="56" t="s">
        <v>0</v>
      </c>
      <c r="D271" s="57">
        <f>12.44*2*1</f>
        <v>24.88</v>
      </c>
      <c r="E271" s="9"/>
      <c r="F271" s="66">
        <f t="shared" si="22"/>
        <v>0</v>
      </c>
    </row>
    <row r="272" spans="1:6" s="16" customFormat="1" x14ac:dyDescent="0.5">
      <c r="A272" s="7"/>
      <c r="B272" s="43" t="s">
        <v>94</v>
      </c>
      <c r="C272" s="67"/>
      <c r="D272" s="68"/>
      <c r="E272" s="10"/>
      <c r="F272" s="69"/>
    </row>
    <row r="273" spans="1:6" s="16" customFormat="1" ht="25.35" x14ac:dyDescent="0.5">
      <c r="A273" s="3" t="s">
        <v>20</v>
      </c>
      <c r="B273" s="12" t="s">
        <v>77</v>
      </c>
      <c r="C273" s="48" t="s">
        <v>36</v>
      </c>
      <c r="D273" s="49">
        <v>22.4</v>
      </c>
      <c r="E273" s="5"/>
      <c r="F273" s="50">
        <f t="shared" ref="F273:F282" si="23">D273*E273</f>
        <v>0</v>
      </c>
    </row>
    <row r="274" spans="1:6" s="16" customFormat="1" x14ac:dyDescent="0.5">
      <c r="A274" s="3" t="s">
        <v>21</v>
      </c>
      <c r="B274" s="12" t="s">
        <v>78</v>
      </c>
      <c r="C274" s="48" t="s">
        <v>36</v>
      </c>
      <c r="D274" s="49">
        <v>22.4</v>
      </c>
      <c r="E274" s="5"/>
      <c r="F274" s="50">
        <f t="shared" si="23"/>
        <v>0</v>
      </c>
    </row>
    <row r="275" spans="1:6" x14ac:dyDescent="0.5">
      <c r="A275" s="7" t="s">
        <v>55</v>
      </c>
      <c r="B275" s="8" t="s">
        <v>39</v>
      </c>
      <c r="C275" s="56" t="s">
        <v>0</v>
      </c>
      <c r="D275" s="57">
        <f>2.2*22.4+0.6*24</f>
        <v>63.68</v>
      </c>
      <c r="E275" s="9"/>
      <c r="F275" s="58">
        <f t="shared" si="23"/>
        <v>0</v>
      </c>
    </row>
    <row r="276" spans="1:6" x14ac:dyDescent="0.5">
      <c r="A276" s="7" t="s">
        <v>56</v>
      </c>
      <c r="B276" s="62" t="s">
        <v>40</v>
      </c>
      <c r="C276" s="56" t="s">
        <v>36</v>
      </c>
      <c r="D276" s="57">
        <f>22.4*4+3.2*24</f>
        <v>166.4</v>
      </c>
      <c r="E276" s="9"/>
      <c r="F276" s="58">
        <f t="shared" si="23"/>
        <v>0</v>
      </c>
    </row>
    <row r="277" spans="1:6" s="16" customFormat="1" x14ac:dyDescent="0.5">
      <c r="A277" s="7" t="s">
        <v>57</v>
      </c>
      <c r="B277" s="8" t="s">
        <v>59</v>
      </c>
      <c r="C277" s="56" t="s">
        <v>61</v>
      </c>
      <c r="D277" s="57">
        <f>4*25</f>
        <v>100</v>
      </c>
      <c r="E277" s="9"/>
      <c r="F277" s="58">
        <f t="shared" si="23"/>
        <v>0</v>
      </c>
    </row>
    <row r="278" spans="1:6" x14ac:dyDescent="0.5">
      <c r="A278" s="7" t="s">
        <v>66</v>
      </c>
      <c r="B278" s="8" t="s">
        <v>67</v>
      </c>
      <c r="C278" s="56" t="s">
        <v>61</v>
      </c>
      <c r="D278" s="57">
        <f>23*2</f>
        <v>46</v>
      </c>
      <c r="E278" s="9"/>
      <c r="F278" s="58">
        <f t="shared" si="23"/>
        <v>0</v>
      </c>
    </row>
    <row r="279" spans="1:6" x14ac:dyDescent="0.5">
      <c r="A279" s="3" t="s">
        <v>22</v>
      </c>
      <c r="B279" s="6" t="s">
        <v>79</v>
      </c>
      <c r="C279" s="48" t="s">
        <v>1</v>
      </c>
      <c r="D279" s="49">
        <v>13.44</v>
      </c>
      <c r="E279" s="5"/>
      <c r="F279" s="50">
        <f t="shared" si="23"/>
        <v>0</v>
      </c>
    </row>
    <row r="280" spans="1:6" x14ac:dyDescent="0.5">
      <c r="A280" s="7" t="s">
        <v>23</v>
      </c>
      <c r="B280" s="8" t="s">
        <v>41</v>
      </c>
      <c r="C280" s="56" t="s">
        <v>37</v>
      </c>
      <c r="D280" s="57">
        <f>0.6*22.4*1.35*1.05</f>
        <v>19.05</v>
      </c>
      <c r="E280" s="9"/>
      <c r="F280" s="58">
        <f t="shared" si="23"/>
        <v>0</v>
      </c>
    </row>
    <row r="281" spans="1:6" s="16" customFormat="1" x14ac:dyDescent="0.5">
      <c r="A281" s="22" t="s">
        <v>24</v>
      </c>
      <c r="B281" s="23" t="s">
        <v>58</v>
      </c>
      <c r="C281" s="63" t="s">
        <v>0</v>
      </c>
      <c r="D281" s="64">
        <v>13.44</v>
      </c>
      <c r="E281" s="24"/>
      <c r="F281" s="61">
        <f t="shared" si="23"/>
        <v>0</v>
      </c>
    </row>
    <row r="282" spans="1:6" s="16" customFormat="1" x14ac:dyDescent="0.5">
      <c r="A282" s="7" t="s">
        <v>25</v>
      </c>
      <c r="B282" s="8" t="s">
        <v>63</v>
      </c>
      <c r="C282" s="56" t="s">
        <v>0</v>
      </c>
      <c r="D282" s="57">
        <f>12.44*2*0.6</f>
        <v>14.93</v>
      </c>
      <c r="E282" s="9"/>
      <c r="F282" s="58">
        <f t="shared" si="23"/>
        <v>0</v>
      </c>
    </row>
    <row r="283" spans="1:6" s="16" customFormat="1" ht="14.35" x14ac:dyDescent="0.5">
      <c r="A283" s="17"/>
      <c r="B283" s="17" t="s">
        <v>91</v>
      </c>
      <c r="C283" s="89"/>
      <c r="D283" s="89"/>
      <c r="E283" s="89"/>
      <c r="F283" s="92"/>
    </row>
    <row r="284" spans="1:6" x14ac:dyDescent="0.5">
      <c r="A284" s="42"/>
      <c r="B284" s="43" t="s">
        <v>92</v>
      </c>
      <c r="C284" s="44"/>
      <c r="D284" s="45"/>
      <c r="E284" s="46"/>
      <c r="F284" s="47"/>
    </row>
    <row r="285" spans="1:6" ht="25.35" x14ac:dyDescent="0.5">
      <c r="A285" s="3" t="s">
        <v>12</v>
      </c>
      <c r="B285" s="4" t="s">
        <v>43</v>
      </c>
      <c r="C285" s="48" t="s">
        <v>36</v>
      </c>
      <c r="D285" s="49">
        <v>22.4</v>
      </c>
      <c r="E285" s="5"/>
      <c r="F285" s="50">
        <f t="shared" ref="F285:F294" si="24">D285*E285</f>
        <v>0</v>
      </c>
    </row>
    <row r="286" spans="1:6" x14ac:dyDescent="0.5">
      <c r="A286" s="3" t="s">
        <v>13</v>
      </c>
      <c r="B286" s="6" t="s">
        <v>45</v>
      </c>
      <c r="C286" s="48" t="s">
        <v>36</v>
      </c>
      <c r="D286" s="49">
        <v>22.4</v>
      </c>
      <c r="E286" s="5"/>
      <c r="F286" s="50">
        <f t="shared" si="24"/>
        <v>0</v>
      </c>
    </row>
    <row r="287" spans="1:6" s="16" customFormat="1" x14ac:dyDescent="0.5">
      <c r="A287" s="51" t="s">
        <v>6</v>
      </c>
      <c r="B287" s="52" t="s">
        <v>39</v>
      </c>
      <c r="C287" s="53" t="s">
        <v>0</v>
      </c>
      <c r="D287" s="54">
        <f>4.6*22.4+0.6*24</f>
        <v>117.44</v>
      </c>
      <c r="E287" s="70"/>
      <c r="F287" s="55">
        <f t="shared" si="24"/>
        <v>0</v>
      </c>
    </row>
    <row r="288" spans="1:6" s="16" customFormat="1" x14ac:dyDescent="0.5">
      <c r="A288" s="51" t="s">
        <v>7</v>
      </c>
      <c r="B288" s="52" t="s">
        <v>40</v>
      </c>
      <c r="C288" s="53" t="s">
        <v>36</v>
      </c>
      <c r="D288" s="54">
        <f>22.4*4+4.6*24</f>
        <v>200</v>
      </c>
      <c r="E288" s="70"/>
      <c r="F288" s="55">
        <f t="shared" si="24"/>
        <v>0</v>
      </c>
    </row>
    <row r="289" spans="1:6" s="16" customFormat="1" x14ac:dyDescent="0.5">
      <c r="A289" s="51" t="s">
        <v>8</v>
      </c>
      <c r="B289" s="52" t="s">
        <v>59</v>
      </c>
      <c r="C289" s="53" t="s">
        <v>61</v>
      </c>
      <c r="D289" s="54">
        <f>25*10</f>
        <v>250</v>
      </c>
      <c r="E289" s="70"/>
      <c r="F289" s="55">
        <f t="shared" si="24"/>
        <v>0</v>
      </c>
    </row>
    <row r="290" spans="1:6" s="16" customFormat="1" x14ac:dyDescent="0.5">
      <c r="A290" s="51" t="s">
        <v>60</v>
      </c>
      <c r="B290" s="52" t="s">
        <v>62</v>
      </c>
      <c r="C290" s="53" t="s">
        <v>61</v>
      </c>
      <c r="D290" s="54">
        <f>23*2</f>
        <v>46</v>
      </c>
      <c r="E290" s="70"/>
      <c r="F290" s="55">
        <f t="shared" si="24"/>
        <v>0</v>
      </c>
    </row>
    <row r="291" spans="1:6" x14ac:dyDescent="0.5">
      <c r="A291" s="3" t="s">
        <v>14</v>
      </c>
      <c r="B291" s="6" t="s">
        <v>48</v>
      </c>
      <c r="C291" s="48" t="s">
        <v>1</v>
      </c>
      <c r="D291" s="49">
        <v>13.44</v>
      </c>
      <c r="E291" s="5"/>
      <c r="F291" s="50">
        <f t="shared" si="24"/>
        <v>0</v>
      </c>
    </row>
    <row r="292" spans="1:6" s="16" customFormat="1" x14ac:dyDescent="0.5">
      <c r="A292" s="7" t="s">
        <v>9</v>
      </c>
      <c r="B292" s="8" t="s">
        <v>41</v>
      </c>
      <c r="C292" s="56" t="s">
        <v>37</v>
      </c>
      <c r="D292" s="57">
        <f>0.6*22.4*1.35*1.05</f>
        <v>19.05</v>
      </c>
      <c r="E292" s="9"/>
      <c r="F292" s="58">
        <f t="shared" si="24"/>
        <v>0</v>
      </c>
    </row>
    <row r="293" spans="1:6" x14ac:dyDescent="0.5">
      <c r="A293" s="25" t="s">
        <v>15</v>
      </c>
      <c r="B293" s="21" t="s">
        <v>58</v>
      </c>
      <c r="C293" s="59" t="s">
        <v>0</v>
      </c>
      <c r="D293" s="60">
        <f>3.8*22.4</f>
        <v>85.12</v>
      </c>
      <c r="E293" s="26"/>
      <c r="F293" s="61">
        <f t="shared" si="24"/>
        <v>0</v>
      </c>
    </row>
    <row r="294" spans="1:6" x14ac:dyDescent="0.5">
      <c r="A294" s="7" t="s">
        <v>42</v>
      </c>
      <c r="B294" s="8" t="s">
        <v>63</v>
      </c>
      <c r="C294" s="56" t="s">
        <v>0</v>
      </c>
      <c r="D294" s="57">
        <f>12.44*2*3.8</f>
        <v>94.54</v>
      </c>
      <c r="E294" s="9"/>
      <c r="F294" s="58">
        <f t="shared" si="24"/>
        <v>0</v>
      </c>
    </row>
    <row r="295" spans="1:6" x14ac:dyDescent="0.5">
      <c r="A295" s="7"/>
      <c r="B295" s="43" t="s">
        <v>93</v>
      </c>
      <c r="C295" s="56"/>
      <c r="D295" s="57"/>
      <c r="E295" s="9"/>
      <c r="F295" s="58"/>
    </row>
    <row r="296" spans="1:6" s="16" customFormat="1" ht="25.35" x14ac:dyDescent="0.5">
      <c r="A296" s="3" t="s">
        <v>16</v>
      </c>
      <c r="B296" s="12" t="s">
        <v>72</v>
      </c>
      <c r="C296" s="48" t="s">
        <v>36</v>
      </c>
      <c r="D296" s="49">
        <v>22.4</v>
      </c>
      <c r="E296" s="5"/>
      <c r="F296" s="50">
        <f t="shared" ref="F296:F305" si="25">D296*E296</f>
        <v>0</v>
      </c>
    </row>
    <row r="297" spans="1:6" s="16" customFormat="1" x14ac:dyDescent="0.5">
      <c r="A297" s="3" t="s">
        <v>17</v>
      </c>
      <c r="B297" s="12" t="s">
        <v>76</v>
      </c>
      <c r="C297" s="48" t="s">
        <v>36</v>
      </c>
      <c r="D297" s="49">
        <v>22.4</v>
      </c>
      <c r="E297" s="5"/>
      <c r="F297" s="50">
        <f t="shared" si="25"/>
        <v>0</v>
      </c>
    </row>
    <row r="298" spans="1:6" s="16" customFormat="1" x14ac:dyDescent="0.5">
      <c r="A298" s="7" t="s">
        <v>10</v>
      </c>
      <c r="B298" s="8" t="s">
        <v>39</v>
      </c>
      <c r="C298" s="56" t="s">
        <v>0</v>
      </c>
      <c r="D298" s="57">
        <f>3*22.4+1*24</f>
        <v>91.2</v>
      </c>
      <c r="E298" s="9"/>
      <c r="F298" s="58">
        <f t="shared" si="25"/>
        <v>0</v>
      </c>
    </row>
    <row r="299" spans="1:6" s="16" customFormat="1" x14ac:dyDescent="0.5">
      <c r="A299" s="7" t="s">
        <v>49</v>
      </c>
      <c r="B299" s="62" t="s">
        <v>40</v>
      </c>
      <c r="C299" s="56" t="s">
        <v>36</v>
      </c>
      <c r="D299" s="57">
        <f>22.4*4+24*4</f>
        <v>185.6</v>
      </c>
      <c r="E299" s="9"/>
      <c r="F299" s="58">
        <f t="shared" si="25"/>
        <v>0</v>
      </c>
    </row>
    <row r="300" spans="1:6" x14ac:dyDescent="0.5">
      <c r="A300" s="7" t="s">
        <v>50</v>
      </c>
      <c r="B300" s="8" t="s">
        <v>59</v>
      </c>
      <c r="C300" s="56" t="s">
        <v>61</v>
      </c>
      <c r="D300" s="57">
        <f>5*25</f>
        <v>125</v>
      </c>
      <c r="E300" s="9"/>
      <c r="F300" s="58">
        <f t="shared" si="25"/>
        <v>0</v>
      </c>
    </row>
    <row r="301" spans="1:6" s="16" customFormat="1" x14ac:dyDescent="0.5">
      <c r="A301" s="7" t="s">
        <v>64</v>
      </c>
      <c r="B301" s="8" t="s">
        <v>74</v>
      </c>
      <c r="C301" s="56" t="s">
        <v>61</v>
      </c>
      <c r="D301" s="57">
        <f>23*2</f>
        <v>46</v>
      </c>
      <c r="E301" s="9"/>
      <c r="F301" s="58">
        <f t="shared" si="25"/>
        <v>0</v>
      </c>
    </row>
    <row r="302" spans="1:6" x14ac:dyDescent="0.5">
      <c r="A302" s="3" t="s">
        <v>18</v>
      </c>
      <c r="B302" s="6" t="s">
        <v>75</v>
      </c>
      <c r="C302" s="48" t="s">
        <v>1</v>
      </c>
      <c r="D302" s="49">
        <v>22.4</v>
      </c>
      <c r="E302" s="5"/>
      <c r="F302" s="50">
        <f t="shared" si="25"/>
        <v>0</v>
      </c>
    </row>
    <row r="303" spans="1:6" x14ac:dyDescent="0.5">
      <c r="A303" s="7" t="s">
        <v>51</v>
      </c>
      <c r="B303" s="8" t="s">
        <v>41</v>
      </c>
      <c r="C303" s="56" t="s">
        <v>37</v>
      </c>
      <c r="D303" s="57">
        <f>0.6*22.4*1.35*1.05</f>
        <v>19.05</v>
      </c>
      <c r="E303" s="9"/>
      <c r="F303" s="58">
        <f t="shared" si="25"/>
        <v>0</v>
      </c>
    </row>
    <row r="304" spans="1:6" x14ac:dyDescent="0.5">
      <c r="A304" s="22" t="s">
        <v>19</v>
      </c>
      <c r="B304" s="23" t="s">
        <v>58</v>
      </c>
      <c r="C304" s="63" t="s">
        <v>0</v>
      </c>
      <c r="D304" s="64">
        <v>22.4</v>
      </c>
      <c r="E304" s="24"/>
      <c r="F304" s="65">
        <f t="shared" si="25"/>
        <v>0</v>
      </c>
    </row>
    <row r="305" spans="1:6" x14ac:dyDescent="0.5">
      <c r="A305" s="7" t="s">
        <v>11</v>
      </c>
      <c r="B305" s="8" t="s">
        <v>63</v>
      </c>
      <c r="C305" s="56" t="s">
        <v>0</v>
      </c>
      <c r="D305" s="57">
        <f>12.44*2*1</f>
        <v>24.88</v>
      </c>
      <c r="E305" s="9"/>
      <c r="F305" s="66">
        <f t="shared" si="25"/>
        <v>0</v>
      </c>
    </row>
    <row r="306" spans="1:6" x14ac:dyDescent="0.5">
      <c r="A306" s="7"/>
      <c r="B306" s="43" t="s">
        <v>94</v>
      </c>
      <c r="C306" s="67"/>
      <c r="D306" s="68"/>
      <c r="E306" s="10"/>
      <c r="F306" s="69"/>
    </row>
    <row r="307" spans="1:6" ht="25.35" x14ac:dyDescent="0.5">
      <c r="A307" s="3" t="s">
        <v>20</v>
      </c>
      <c r="B307" s="12" t="s">
        <v>80</v>
      </c>
      <c r="C307" s="48" t="s">
        <v>36</v>
      </c>
      <c r="D307" s="49">
        <v>22.4</v>
      </c>
      <c r="E307" s="5"/>
      <c r="F307" s="50">
        <f t="shared" ref="F307:F316" si="26">D307*E307</f>
        <v>0</v>
      </c>
    </row>
    <row r="308" spans="1:6" x14ac:dyDescent="0.5">
      <c r="A308" s="3" t="s">
        <v>21</v>
      </c>
      <c r="B308" s="12" t="s">
        <v>81</v>
      </c>
      <c r="C308" s="48" t="s">
        <v>36</v>
      </c>
      <c r="D308" s="49">
        <v>22.4</v>
      </c>
      <c r="E308" s="5"/>
      <c r="F308" s="50">
        <f t="shared" si="26"/>
        <v>0</v>
      </c>
    </row>
    <row r="309" spans="1:6" x14ac:dyDescent="0.5">
      <c r="A309" s="7" t="s">
        <v>55</v>
      </c>
      <c r="B309" s="8" t="s">
        <v>39</v>
      </c>
      <c r="C309" s="56" t="s">
        <v>0</v>
      </c>
      <c r="D309" s="57">
        <f>1.1*22.4+0.15*24</f>
        <v>28.24</v>
      </c>
      <c r="E309" s="9"/>
      <c r="F309" s="58">
        <f t="shared" si="26"/>
        <v>0</v>
      </c>
    </row>
    <row r="310" spans="1:6" x14ac:dyDescent="0.5">
      <c r="A310" s="7" t="s">
        <v>56</v>
      </c>
      <c r="B310" s="62" t="s">
        <v>40</v>
      </c>
      <c r="C310" s="56" t="s">
        <v>36</v>
      </c>
      <c r="D310" s="57">
        <f>22.4*4+24*1.6</f>
        <v>128</v>
      </c>
      <c r="E310" s="9"/>
      <c r="F310" s="58">
        <f t="shared" si="26"/>
        <v>0</v>
      </c>
    </row>
    <row r="311" spans="1:6" x14ac:dyDescent="0.5">
      <c r="A311" s="7" t="s">
        <v>57</v>
      </c>
      <c r="B311" s="8" t="s">
        <v>59</v>
      </c>
      <c r="C311" s="56" t="s">
        <v>61</v>
      </c>
      <c r="D311" s="57">
        <f>3*25</f>
        <v>75</v>
      </c>
      <c r="E311" s="9"/>
      <c r="F311" s="58">
        <f t="shared" si="26"/>
        <v>0</v>
      </c>
    </row>
    <row r="312" spans="1:6" x14ac:dyDescent="0.5">
      <c r="A312" s="7" t="s">
        <v>66</v>
      </c>
      <c r="B312" s="8" t="s">
        <v>82</v>
      </c>
      <c r="C312" s="56" t="s">
        <v>61</v>
      </c>
      <c r="D312" s="57">
        <f>23*2</f>
        <v>46</v>
      </c>
      <c r="E312" s="9"/>
      <c r="F312" s="58">
        <f t="shared" si="26"/>
        <v>0</v>
      </c>
    </row>
    <row r="313" spans="1:6" x14ac:dyDescent="0.5">
      <c r="A313" s="3" t="s">
        <v>22</v>
      </c>
      <c r="B313" s="6" t="s">
        <v>83</v>
      </c>
      <c r="C313" s="48" t="s">
        <v>1</v>
      </c>
      <c r="D313" s="49">
        <v>3.36</v>
      </c>
      <c r="E313" s="5"/>
      <c r="F313" s="50">
        <f t="shared" si="26"/>
        <v>0</v>
      </c>
    </row>
    <row r="314" spans="1:6" x14ac:dyDescent="0.5">
      <c r="A314" s="7" t="s">
        <v>23</v>
      </c>
      <c r="B314" s="8" t="s">
        <v>41</v>
      </c>
      <c r="C314" s="56" t="s">
        <v>37</v>
      </c>
      <c r="D314" s="57">
        <f>0.15*22.4*1.35*1.05</f>
        <v>4.76</v>
      </c>
      <c r="E314" s="9"/>
      <c r="F314" s="58">
        <f t="shared" si="26"/>
        <v>0</v>
      </c>
    </row>
    <row r="315" spans="1:6" x14ac:dyDescent="0.5">
      <c r="A315" s="22" t="s">
        <v>24</v>
      </c>
      <c r="B315" s="23" t="s">
        <v>58</v>
      </c>
      <c r="C315" s="63" t="s">
        <v>1</v>
      </c>
      <c r="D315" s="64">
        <v>17.920000000000002</v>
      </c>
      <c r="E315" s="24"/>
      <c r="F315" s="61">
        <f t="shared" si="26"/>
        <v>0</v>
      </c>
    </row>
    <row r="316" spans="1:6" ht="13" thickBot="1" x14ac:dyDescent="0.55000000000000004">
      <c r="A316" s="83" t="s">
        <v>25</v>
      </c>
      <c r="B316" s="84" t="s">
        <v>63</v>
      </c>
      <c r="C316" s="85" t="s">
        <v>0</v>
      </c>
      <c r="D316" s="86">
        <f>12.44*2*1</f>
        <v>24.88</v>
      </c>
      <c r="E316" s="87"/>
      <c r="F316" s="88">
        <f t="shared" si="26"/>
        <v>0</v>
      </c>
    </row>
    <row r="317" spans="1:6" x14ac:dyDescent="0.5">
      <c r="A317" s="93" t="s">
        <v>2</v>
      </c>
      <c r="B317" s="94"/>
      <c r="C317" s="94"/>
      <c r="D317" s="94"/>
      <c r="E317" s="94"/>
      <c r="F317" s="27">
        <f>F13+F14+F19+F21+F24+F25+F30+F32+F35+F36+F41+F43+F46+F47+F52+F54+F58+F59+F64+F66+F69+F70+F75+F77+F80+F81+F86+F88+F91+F92+F97+F99+F103+F104+F109+F111+F114+F115+F120+F122+F125+F126+F131+F133+F136+F137+F142+F144+F149+F150+F155+F157+F160+F161+F166+F168+F171+F172+F177+F179+F183+F184+F189+F191+F194+F195+F200+F202+F205+F206+F211+F213+F217+F218+F223+F225+F228+F229+F234+F236+F239+F240+F245+F247+F251+F252+F257+F259+F262+F263+F268+F270+F273+F274+F279+F281+F285+F286+F291+F293+F296+F297+F302+F304+F307+F308+F313+F315</f>
        <v>0</v>
      </c>
    </row>
    <row r="318" spans="1:6" x14ac:dyDescent="0.5">
      <c r="A318" s="95" t="s">
        <v>3</v>
      </c>
      <c r="B318" s="96"/>
      <c r="C318" s="96"/>
      <c r="D318" s="96"/>
      <c r="E318" s="96"/>
      <c r="F318" s="28">
        <f>F15+F16+F17+F18+F20+F22+F26+F27+F28+F29+F31+F33+F37+F38+F39+F40+F42+F44+F48+F49+F50+F51+F53+F55+F60+F61+F62+F63+F65+F67+F71+F72+F73+F74+F76+F78+F82+F83+F84+F85+F87+F89+F93+F94+F95+F96+F98+F100+F105+F106+F107+F108+F110+F112+F116+F117+F118+F119+F121+F123+F127+F128+F129+F130+F132+F134+F138+F139+F140+F141+F143+F145+F151+F152+F153+F154+F156+F158+F162+F163+F164+F165+F167+F169+F173+F174+F175+F176+F178+F180+F185+F186+F187+F188+F190+F192+F196+F197+F198+F199+F201+F203+F207+F208+F209+F210+F212+F214+F219+F220+F221+F222+F224+F226+F230+F231+F232+F233+F235+F237+F241+F242+F243+F244+F246+F248+F253+F254+F255+F256+F258+F260+F264+F265+F266+F267+F269+F271+F275+F276+F277+F278+F280+F282+F287+F288+F289+F290+F292+F294+F298+F299+F300+F301+F303+F305+F309+F310+F311+F312+F314+F316</f>
        <v>0</v>
      </c>
    </row>
    <row r="319" spans="1:6" x14ac:dyDescent="0.5">
      <c r="A319" s="95" t="s">
        <v>38</v>
      </c>
      <c r="B319" s="96"/>
      <c r="C319" s="96"/>
      <c r="D319" s="96"/>
      <c r="E319" s="96"/>
      <c r="F319" s="28">
        <f>F317+F318</f>
        <v>0</v>
      </c>
    </row>
    <row r="320" spans="1:6" x14ac:dyDescent="0.5">
      <c r="A320" s="95" t="s">
        <v>4</v>
      </c>
      <c r="B320" s="96"/>
      <c r="C320" s="96"/>
      <c r="D320" s="96"/>
      <c r="E320" s="96"/>
      <c r="F320" s="28">
        <f>F319*0.2</f>
        <v>0</v>
      </c>
    </row>
    <row r="321" spans="1:6" ht="13" thickBot="1" x14ac:dyDescent="0.55000000000000004">
      <c r="A321" s="97" t="s">
        <v>5</v>
      </c>
      <c r="B321" s="98"/>
      <c r="C321" s="98"/>
      <c r="D321" s="98"/>
      <c r="E321" s="98"/>
      <c r="F321" s="29">
        <f>F319+F320</f>
        <v>0</v>
      </c>
    </row>
    <row r="322" spans="1:6" x14ac:dyDescent="0.5">
      <c r="A322" s="71"/>
      <c r="B322" s="72" t="s">
        <v>96</v>
      </c>
      <c r="C322" s="73"/>
      <c r="D322" s="74"/>
      <c r="E322" s="75"/>
      <c r="F322" s="30"/>
    </row>
    <row r="323" spans="1:6" x14ac:dyDescent="0.5">
      <c r="A323" s="71"/>
      <c r="B323" s="76"/>
      <c r="C323" s="73"/>
      <c r="D323" s="74"/>
      <c r="E323" s="75"/>
      <c r="F323" s="30"/>
    </row>
    <row r="324" spans="1:6" x14ac:dyDescent="0.5">
      <c r="A324" s="77"/>
      <c r="B324" s="78" t="s">
        <v>33</v>
      </c>
      <c r="C324" s="78" t="s">
        <v>34</v>
      </c>
      <c r="D324" s="79"/>
      <c r="E324" s="32"/>
      <c r="F324" s="30"/>
    </row>
    <row r="325" spans="1:6" x14ac:dyDescent="0.5">
      <c r="A325" s="77"/>
      <c r="B325" s="32" t="s">
        <v>99</v>
      </c>
      <c r="C325" s="33" t="s">
        <v>101</v>
      </c>
      <c r="D325" s="32"/>
      <c r="E325" s="80"/>
      <c r="F325" s="30"/>
    </row>
    <row r="326" spans="1:6" x14ac:dyDescent="0.5">
      <c r="A326" s="77"/>
      <c r="B326" s="32"/>
      <c r="C326" s="32"/>
      <c r="D326" s="33"/>
      <c r="E326" s="33"/>
      <c r="F326" s="30"/>
    </row>
    <row r="327" spans="1:6" x14ac:dyDescent="0.5">
      <c r="A327" s="77"/>
      <c r="B327" s="32" t="s">
        <v>100</v>
      </c>
      <c r="C327" s="32" t="s">
        <v>102</v>
      </c>
      <c r="D327" s="32"/>
      <c r="E327" s="80"/>
      <c r="F327" s="30"/>
    </row>
    <row r="328" spans="1:6" x14ac:dyDescent="0.5">
      <c r="A328" s="77"/>
      <c r="B328" s="32" t="s">
        <v>35</v>
      </c>
      <c r="C328" s="33" t="s">
        <v>35</v>
      </c>
      <c r="D328" s="80"/>
      <c r="E328" s="80"/>
      <c r="F328" s="30"/>
    </row>
    <row r="329" spans="1:6" x14ac:dyDescent="0.5">
      <c r="A329" s="81"/>
      <c r="B329" s="82"/>
      <c r="C329" s="11"/>
      <c r="D329" s="11"/>
      <c r="E329" s="11"/>
    </row>
  </sheetData>
  <autoFilter ref="A10:F316" xr:uid="{00000000-0009-0000-0000-000000000000}"/>
  <mergeCells count="13">
    <mergeCell ref="A4:F4"/>
    <mergeCell ref="A5:F5"/>
    <mergeCell ref="A6:F6"/>
    <mergeCell ref="A8:A9"/>
    <mergeCell ref="B8:B9"/>
    <mergeCell ref="C8:C9"/>
    <mergeCell ref="D8:D9"/>
    <mergeCell ref="E8:F8"/>
    <mergeCell ref="A317:E317"/>
    <mergeCell ref="A318:E318"/>
    <mergeCell ref="A319:E319"/>
    <mergeCell ref="A320:E320"/>
    <mergeCell ref="A321:E321"/>
  </mergeCells>
  <conditionalFormatting sqref="B7:B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.70866141732283472" right="0.35433070866141736" top="0.35433070866141736" bottom="0.35433070866141736" header="0.11811023622047245" footer="0.11811023622047245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Кошторис ТЗ</vt:lpstr>
      <vt:lpstr>'Кошторис ТЗ'!Область_друку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 Чуприна</dc:creator>
  <cp:lastModifiedBy>Володимир Хоменко</cp:lastModifiedBy>
  <cp:lastPrinted>2025-05-09T12:26:34Z</cp:lastPrinted>
  <dcterms:created xsi:type="dcterms:W3CDTF">2015-06-05T18:17:20Z</dcterms:created>
  <dcterms:modified xsi:type="dcterms:W3CDTF">2025-07-22T08:30:28Z</dcterms:modified>
</cp:coreProperties>
</file>