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344"/>
  </bookViews>
  <sheets>
    <sheet name="1" sheetId="5" r:id="rId1"/>
  </sheets>
  <definedNames>
    <definedName name="_xlnm._FilterDatabase" localSheetId="0" hidden="1">'1'!$A$6:$K$251</definedName>
    <definedName name="_xlnm.Print_Area" localSheetId="0">'1'!$A$1:$K$251</definedName>
  </definedNames>
  <calcPr calcId="152511" refMode="R1C1"/>
</workbook>
</file>

<file path=xl/calcChain.xml><?xml version="1.0" encoding="utf-8"?>
<calcChain xmlns="http://schemas.openxmlformats.org/spreadsheetml/2006/main">
  <c r="F26" i="5" l="1"/>
  <c r="F25" i="5"/>
  <c r="F86" i="5" l="1"/>
  <c r="F87" i="5"/>
  <c r="F85" i="5"/>
  <c r="F84" i="5"/>
  <c r="F83" i="5"/>
  <c r="E88" i="5"/>
  <c r="D88" i="5"/>
  <c r="F82" i="5"/>
  <c r="E82" i="5"/>
  <c r="F88" i="5" l="1"/>
  <c r="F80" i="5"/>
  <c r="F79" i="5"/>
  <c r="F78" i="5"/>
  <c r="F77" i="5"/>
  <c r="F76" i="5"/>
  <c r="F71" i="5"/>
  <c r="F46" i="5"/>
  <c r="E80" i="5"/>
  <c r="D80" i="5"/>
  <c r="F75" i="5"/>
  <c r="E75" i="5"/>
  <c r="F73" i="5"/>
  <c r="F61" i="5"/>
  <c r="F55" i="5" s="1"/>
  <c r="F64" i="5"/>
  <c r="F65" i="5" s="1"/>
  <c r="F63" i="5"/>
  <c r="F62" i="5"/>
  <c r="D65" i="5"/>
  <c r="F67" i="5"/>
  <c r="F68" i="5"/>
  <c r="F56" i="5" s="1"/>
  <c r="F59" i="5"/>
  <c r="F58" i="5"/>
  <c r="D60" i="5"/>
  <c r="F235" i="5"/>
  <c r="F236" i="5"/>
  <c r="D237" i="5"/>
  <c r="F234" i="5"/>
  <c r="E234" i="5"/>
  <c r="F231" i="5"/>
  <c r="F230" i="5"/>
  <c r="F229" i="5"/>
  <c r="F239" i="5"/>
  <c r="F246" i="5"/>
  <c r="F245" i="5"/>
  <c r="F244" i="5"/>
  <c r="F205" i="5"/>
  <c r="F204" i="5"/>
  <c r="F203" i="5"/>
  <c r="F237" i="5" l="1"/>
  <c r="E237" i="5"/>
  <c r="F161" i="5"/>
  <c r="F162" i="5" s="1"/>
  <c r="F154" i="5"/>
  <c r="F155" i="5" s="1"/>
  <c r="F145" i="5"/>
  <c r="F146" i="5" s="1"/>
  <c r="F138" i="5"/>
  <c r="F139" i="5" s="1"/>
  <c r="F122" i="5"/>
  <c r="F123" i="5" s="1"/>
  <c r="F106" i="5"/>
  <c r="F107" i="5" s="1"/>
  <c r="F129" i="5"/>
  <c r="F130" i="5" s="1"/>
  <c r="F113" i="5"/>
  <c r="F114" i="5" s="1"/>
  <c r="F97" i="5"/>
  <c r="F98" i="5" s="1"/>
  <c r="F90" i="5"/>
  <c r="F57" i="5" s="1"/>
  <c r="F53" i="5"/>
  <c r="F54" i="5" s="1"/>
  <c r="F33" i="5"/>
  <c r="F34" i="5" s="1"/>
  <c r="F18" i="5"/>
  <c r="F8" i="5"/>
  <c r="F91" i="5" l="1"/>
  <c r="F60" i="5"/>
  <c r="D232" i="5"/>
  <c r="F232" i="5" s="1"/>
  <c r="D247" i="5"/>
  <c r="F247" i="5" s="1"/>
  <c r="D206" i="5"/>
  <c r="F206" i="5" s="1"/>
  <c r="D176" i="5"/>
  <c r="D172" i="5"/>
  <c r="D168" i="5"/>
  <c r="D160" i="5"/>
  <c r="D152" i="5"/>
  <c r="D144" i="5"/>
  <c r="D136" i="5"/>
  <c r="D128" i="5"/>
  <c r="D120" i="5"/>
  <c r="D112" i="5"/>
  <c r="D104" i="5"/>
  <c r="D96" i="5"/>
  <c r="D69" i="5"/>
  <c r="F69" i="5" s="1"/>
  <c r="F217" i="5"/>
  <c r="F216" i="5"/>
  <c r="D226" i="5"/>
  <c r="F225" i="5"/>
  <c r="F224" i="5"/>
  <c r="D215" i="5"/>
  <c r="F214" i="5"/>
  <c r="F213" i="5"/>
  <c r="F212" i="5"/>
  <c r="F226" i="5" l="1"/>
  <c r="F215" i="5"/>
  <c r="F200" i="5"/>
  <c r="F196" i="5"/>
  <c r="F45" i="5" l="1"/>
  <c r="D52" i="5"/>
  <c r="F51" i="5"/>
  <c r="F39" i="5" s="1"/>
  <c r="F35" i="5"/>
  <c r="F36" i="5" s="1"/>
  <c r="F50" i="5"/>
  <c r="F48" i="5"/>
  <c r="E48" i="5"/>
  <c r="F52" i="5" l="1"/>
  <c r="F44" i="5"/>
  <c r="F42" i="5"/>
  <c r="F41" i="5"/>
  <c r="F40" i="5"/>
  <c r="F38" i="5"/>
  <c r="F37" i="5"/>
  <c r="D43" i="5"/>
  <c r="F32" i="5"/>
  <c r="F24" i="5"/>
  <c r="F23" i="5"/>
  <c r="F22" i="5"/>
  <c r="F21" i="5"/>
  <c r="D27" i="5"/>
  <c r="F29" i="5"/>
  <c r="F28" i="5"/>
  <c r="F16" i="5"/>
  <c r="F14" i="5"/>
  <c r="F43" i="5" l="1"/>
  <c r="F27" i="5"/>
  <c r="F221" i="5"/>
  <c r="F165" i="5" l="1"/>
  <c r="F164" i="5"/>
  <c r="F157" i="5"/>
  <c r="F149" i="5"/>
  <c r="F148" i="5"/>
  <c r="F140" i="5"/>
  <c r="F141" i="5"/>
  <c r="F133" i="5"/>
  <c r="F132" i="5"/>
  <c r="F125" i="5"/>
  <c r="F108" i="5"/>
  <c r="F117" i="5"/>
  <c r="F116" i="5"/>
  <c r="F109" i="5"/>
  <c r="F194" i="5" l="1"/>
  <c r="F195" i="5" l="1"/>
  <c r="F198" i="5" l="1"/>
  <c r="F197" i="5"/>
  <c r="E232" i="5"/>
  <c r="F228" i="5"/>
  <c r="E228" i="5"/>
  <c r="F209" i="5"/>
  <c r="E215" i="5"/>
  <c r="F211" i="5"/>
  <c r="E211" i="5"/>
  <c r="F241" i="5"/>
  <c r="E247" i="5"/>
  <c r="F243" i="5"/>
  <c r="E243" i="5"/>
  <c r="E226" i="5"/>
  <c r="F219" i="5" l="1"/>
  <c r="F223" i="5"/>
  <c r="E223" i="5"/>
  <c r="F202" i="5"/>
  <c r="F193" i="5"/>
  <c r="F191" i="5"/>
  <c r="D180" i="5" l="1"/>
  <c r="F179" i="5"/>
  <c r="F183" i="5"/>
  <c r="F182" i="5"/>
  <c r="E176" i="5"/>
  <c r="F175" i="5"/>
  <c r="F176" i="5" s="1"/>
  <c r="F174" i="5"/>
  <c r="E174" i="5"/>
  <c r="E171" i="5"/>
  <c r="E172" i="5" s="1"/>
  <c r="E170" i="5"/>
  <c r="F169" i="5"/>
  <c r="F170" i="5" s="1"/>
  <c r="E167" i="5"/>
  <c r="E168" i="5" s="1"/>
  <c r="E166" i="5"/>
  <c r="F163" i="5"/>
  <c r="F166" i="5" s="1"/>
  <c r="E159" i="5"/>
  <c r="E158" i="5"/>
  <c r="F156" i="5"/>
  <c r="E151" i="5"/>
  <c r="E150" i="5"/>
  <c r="F147" i="5"/>
  <c r="F151" i="5" s="1"/>
  <c r="F152" i="5" s="1"/>
  <c r="E143" i="5"/>
  <c r="E144" i="5" s="1"/>
  <c r="E142" i="5"/>
  <c r="E135" i="5"/>
  <c r="E136" i="5" s="1"/>
  <c r="E134" i="5"/>
  <c r="F131" i="5"/>
  <c r="F134" i="5" s="1"/>
  <c r="E127" i="5"/>
  <c r="E128" i="5" s="1"/>
  <c r="E126" i="5"/>
  <c r="F124" i="5"/>
  <c r="F127" i="5" s="1"/>
  <c r="E119" i="5"/>
  <c r="E120" i="5" s="1"/>
  <c r="E118" i="5"/>
  <c r="F115" i="5"/>
  <c r="F118" i="5" s="1"/>
  <c r="E111" i="5"/>
  <c r="E110" i="5"/>
  <c r="F103" i="5"/>
  <c r="F104" i="5" s="1"/>
  <c r="E103" i="5"/>
  <c r="F102" i="5"/>
  <c r="E102" i="5"/>
  <c r="F95" i="5"/>
  <c r="E95" i="5"/>
  <c r="E96" i="5" s="1"/>
  <c r="F94" i="5"/>
  <c r="E94" i="5"/>
  <c r="B94" i="5"/>
  <c r="E68" i="5"/>
  <c r="E67" i="5"/>
  <c r="F20" i="5"/>
  <c r="E14" i="5"/>
  <c r="F184" i="5" l="1"/>
  <c r="F119" i="5"/>
  <c r="F120" i="5" s="1"/>
  <c r="F128" i="5"/>
  <c r="E104" i="5"/>
  <c r="F143" i="5"/>
  <c r="F144" i="5" s="1"/>
  <c r="F96" i="5"/>
  <c r="F150" i="5"/>
  <c r="E152" i="5"/>
  <c r="B110" i="5"/>
  <c r="F110" i="5"/>
  <c r="F111" i="5"/>
  <c r="F112" i="5" s="1"/>
  <c r="F158" i="5"/>
  <c r="F159" i="5"/>
  <c r="F160" i="5" s="1"/>
  <c r="E160" i="5"/>
  <c r="F167" i="5"/>
  <c r="F168" i="5" s="1"/>
  <c r="F181" i="5"/>
  <c r="F126" i="5"/>
  <c r="F135" i="5"/>
  <c r="F136" i="5" s="1"/>
  <c r="F142" i="5"/>
  <c r="F171" i="5"/>
  <c r="F172" i="5" s="1"/>
  <c r="E69" i="5"/>
  <c r="E112" i="5"/>
  <c r="F185" i="5" l="1"/>
  <c r="I251" i="5" l="1"/>
</calcChain>
</file>

<file path=xl/sharedStrings.xml><?xml version="1.0" encoding="utf-8"?>
<sst xmlns="http://schemas.openxmlformats.org/spreadsheetml/2006/main" count="631" uniqueCount="122">
  <si>
    <t>№ п/п</t>
  </si>
  <si>
    <t>на виконання комплексу робіт  з</t>
  </si>
  <si>
    <t>м3</t>
  </si>
  <si>
    <t>кг</t>
  </si>
  <si>
    <t>шт</t>
  </si>
  <si>
    <t>Од. вим.</t>
  </si>
  <si>
    <t xml:space="preserve">Арматура </t>
  </si>
  <si>
    <t>Найменування робіт і матеріалів</t>
  </si>
  <si>
    <t>Норма витрат</t>
  </si>
  <si>
    <t xml:space="preserve">Кількість  </t>
  </si>
  <si>
    <t>ціна од., грн без ПДВ</t>
  </si>
  <si>
    <t>разом, грн без ПДВ</t>
  </si>
  <si>
    <t>ЗЕМЛЯНІ РОБОТИ, додаткові та супутні</t>
  </si>
  <si>
    <t xml:space="preserve">Арматура ф12  А500С  </t>
  </si>
  <si>
    <t xml:space="preserve">Арматура ф16  А500С  </t>
  </si>
  <si>
    <t xml:space="preserve">Арматура ф20  А500С  </t>
  </si>
  <si>
    <t xml:space="preserve">Арматура ф25  А500С  </t>
  </si>
  <si>
    <t xml:space="preserve">Дріт в'язальний ф1,2мм  </t>
  </si>
  <si>
    <t>Влаштування бетонної підготовки</t>
  </si>
  <si>
    <t>м.п.</t>
  </si>
  <si>
    <t>гідрофільний шнур 10х20 мм</t>
  </si>
  <si>
    <t>Влаштування монолітного з/б ростверку, включно приямки та блисковкозахист</t>
  </si>
  <si>
    <t xml:space="preserve">Бетон БСГ С25/30 Р4 W8 F200 </t>
  </si>
  <si>
    <t xml:space="preserve">Арматура ф32  А500С  </t>
  </si>
  <si>
    <t>Штаба 4х25 С235 ДСТУ 4747:2007 L=559,7 м.п.</t>
  </si>
  <si>
    <t>Штаба 4х40 С235 ДСТУ 4747:2007 L=182,0 м.п.</t>
  </si>
  <si>
    <t>Підвал/паркінг</t>
  </si>
  <si>
    <t>Влаштування монолітних горизонтальних конструкцій</t>
  </si>
  <si>
    <t>1-й поверх</t>
  </si>
  <si>
    <t xml:space="preserve"> </t>
  </si>
  <si>
    <t xml:space="preserve">Дріт в'язальний ф1,2мм </t>
  </si>
  <si>
    <t>Дріт в'язальний ф1,2мм</t>
  </si>
  <si>
    <t>З 2-го по 3-й поверх</t>
  </si>
  <si>
    <t>З 4-го по 6-й поверх</t>
  </si>
  <si>
    <t>З 7-го по 8-й поверх</t>
  </si>
  <si>
    <t>З 9-го по 17-й поверх</t>
  </si>
  <si>
    <t>Влаштування монолітного парапету</t>
  </si>
  <si>
    <t>Влаштування  монолітних сходів</t>
  </si>
  <si>
    <t>Монтаж сходових маршів (з 2-го поверху)</t>
  </si>
  <si>
    <t>РАЗОМ   без ПДВ:</t>
  </si>
  <si>
    <t>ПДВ 20%</t>
  </si>
  <si>
    <t>ВСЬОГО з ПДВ:</t>
  </si>
  <si>
    <t>Примітки</t>
  </si>
  <si>
    <t>матеріал поставки Замовника</t>
  </si>
  <si>
    <t>МАТЕРІАЛИ</t>
  </si>
  <si>
    <t>ВБ3-33-2</t>
  </si>
  <si>
    <t>ВБ4-33-2</t>
  </si>
  <si>
    <t xml:space="preserve">шт </t>
  </si>
  <si>
    <t>Розчин М100</t>
  </si>
  <si>
    <t>ЛМП ширина 1350мм висота підйому 1650мм інд.виготовлення</t>
  </si>
  <si>
    <t>Джгут</t>
  </si>
  <si>
    <t>мп</t>
  </si>
  <si>
    <t>Монтаж вентиляційних блоків, 3-17поверх</t>
  </si>
  <si>
    <t>Збірні перемички 6ПБ35-37</t>
  </si>
  <si>
    <t xml:space="preserve">РОБОТИ </t>
  </si>
  <si>
    <t>Всього вартість робіт, матеріалів з ПДВ</t>
  </si>
  <si>
    <t xml:space="preserve">Арматура ф10  А500С  </t>
  </si>
  <si>
    <t>Підвальний поверх</t>
  </si>
  <si>
    <t>Плануванням та трамбуванням (ущільнення) піску вібротрамбівками</t>
  </si>
  <si>
    <t>м2</t>
  </si>
  <si>
    <t>Влаштування монолітних сходів</t>
  </si>
  <si>
    <t>Влаштування бетонної підготовки сходів</t>
  </si>
  <si>
    <t xml:space="preserve">Арматура ф8  А500С  </t>
  </si>
  <si>
    <t>Засипка пазух під сходи</t>
  </si>
  <si>
    <t>Монтаж металевого компенсатора</t>
  </si>
  <si>
    <t>Металевий компенсатор</t>
  </si>
  <si>
    <t>Дюбель 8х60мм</t>
  </si>
  <si>
    <t>Жгут зі вспіненого поліетилену типу "Вілатерм" ф50мм</t>
  </si>
  <si>
    <t>Наплавлення рубероіду на компенсатор, 2 шари</t>
  </si>
  <si>
    <t>Акваізол ПЕ-3,5 ГР</t>
  </si>
  <si>
    <t>Екструдований пінополістирол 50 мм</t>
  </si>
  <si>
    <t>Деформаційний шов з відм. -4.500- -4.100</t>
  </si>
  <si>
    <t>Газ пропан/бутан</t>
  </si>
  <si>
    <t>л</t>
  </si>
  <si>
    <t xml:space="preserve"> Бетон БСГ С8/10</t>
  </si>
  <si>
    <t xml:space="preserve">Бетон С25/30 Р4 W6 F200 </t>
  </si>
  <si>
    <t>Бетон С25/30 Р4 W6 F200</t>
  </si>
  <si>
    <t>Монтаж гідрофільного шнура 10х20 мм</t>
  </si>
  <si>
    <t>Влаштування монолітних балки Б2</t>
  </si>
  <si>
    <t>Влаштування монолітних балки Б3</t>
  </si>
  <si>
    <t>Влаштування монолітних балки Б1</t>
  </si>
  <si>
    <t>Демонтаж оголовків паль діаметром 620мм з відм. 93.100 до відм. 92.000</t>
  </si>
  <si>
    <t>Фундаменти монолітні:</t>
  </si>
  <si>
    <t xml:space="preserve">Влаштування монолітних вертикальних конструкцій шахт димовидалення </t>
  </si>
  <si>
    <t>Тендерне завдання</t>
  </si>
  <si>
    <r>
      <rPr>
        <b/>
        <sz val="14"/>
        <color theme="1"/>
        <rFont val="Calibri"/>
        <family val="2"/>
        <charset val="204"/>
        <scheme val="minor"/>
      </rPr>
      <t>влаштування монолітних залізобетонних конструкцій будинку №26 секція А</t>
    </r>
    <r>
      <rPr>
        <sz val="14"/>
        <color theme="1"/>
        <rFont val="Calibri"/>
        <family val="2"/>
        <charset val="204"/>
        <scheme val="minor"/>
      </rPr>
      <t xml:space="preserve">
  на об’єкті "Будівництво житлових будинків з об’єктами соціально – культурного призначення по вул.. Сагайдака, 101 в Дніпровському районі  м. Києва".</t>
    </r>
  </si>
  <si>
    <t>Влаштування бетонної підготовки під з/ростверк в приямку</t>
  </si>
  <si>
    <t xml:space="preserve"> Бетон БСГ С10/12,5</t>
  </si>
  <si>
    <t>Арматура ф12  А500С</t>
  </si>
  <si>
    <t>Арматура ф10  А500С</t>
  </si>
  <si>
    <t>Бетон С32/40 Р4 W8 F200</t>
  </si>
  <si>
    <t>Арматура ф8 А240С</t>
  </si>
  <si>
    <t>Арматура ф10  А240С</t>
  </si>
  <si>
    <t>Штаба 4х40 С235 ДСТУ 4747:2007 L=52,8 м.п.</t>
  </si>
  <si>
    <t xml:space="preserve">Зворотня засипка ліфтових приямків </t>
  </si>
  <si>
    <t>Влаштування монолітної плити ліфтових приямків</t>
  </si>
  <si>
    <t xml:space="preserve">Влаштування бетонної підготовки </t>
  </si>
  <si>
    <t xml:space="preserve"> Бетон БСГ В7,5</t>
  </si>
  <si>
    <t xml:space="preserve">Арматура ф6 А240С  </t>
  </si>
  <si>
    <t>Пандус вїзної групи 1п-1а/Ба-Ва</t>
  </si>
  <si>
    <r>
      <t xml:space="preserve">Розробка грунту </t>
    </r>
    <r>
      <rPr>
        <i/>
        <u/>
        <sz val="14"/>
        <color rgb="FF000000"/>
        <rFont val="Calibri"/>
        <family val="2"/>
        <charset val="204"/>
      </rPr>
      <t>під пандус</t>
    </r>
  </si>
  <si>
    <r>
      <t xml:space="preserve">Планування та трамбування (ущільнення) грунту вібротрамбівками </t>
    </r>
    <r>
      <rPr>
        <i/>
        <u/>
        <sz val="14"/>
        <color rgb="FF000000"/>
        <rFont val="Calibri"/>
        <family val="2"/>
        <charset val="204"/>
      </rPr>
      <t>під пандус</t>
    </r>
  </si>
  <si>
    <t>Влаштування монолітного з/б фундаменту, під пандус</t>
  </si>
  <si>
    <t>Влаштування монолітних вертикальних конструкцій пандусу</t>
  </si>
  <si>
    <t>Засипка пазух під плиту пандусу</t>
  </si>
  <si>
    <t>Влаштування бетонної підготовки під плиту пандусу</t>
  </si>
  <si>
    <t>Влаштування монолітних конструкцій плити пандусу</t>
  </si>
  <si>
    <t>Зрубування оголовків паль діаметром 620мм, (20-30мм)</t>
  </si>
  <si>
    <r>
      <t xml:space="preserve">Розробка грунту </t>
    </r>
    <r>
      <rPr>
        <i/>
        <u/>
        <sz val="14"/>
        <color rgb="FF000000"/>
        <rFont val="Calibri"/>
        <family val="2"/>
        <charset val="204"/>
      </rPr>
      <t>під приямки</t>
    </r>
  </si>
  <si>
    <t>Влаштування деформаційного шва між секціями</t>
  </si>
  <si>
    <t>Влаштування монолітних бортів</t>
  </si>
  <si>
    <t>Влаштування монолітних горизонтальних конструкцій плити вїзної групи</t>
  </si>
  <si>
    <t>Влаштування монолітних вертикальних конструкцій парапетів вїзної групи</t>
  </si>
  <si>
    <t xml:space="preserve">Арматура ф8  А250С  </t>
  </si>
  <si>
    <t>Арматура ф10 А240С</t>
  </si>
  <si>
    <t>Засипка пазух під сходів в осях 13а/Га</t>
  </si>
  <si>
    <t>Влаштування монолітних сходів в осях 13а/Га</t>
  </si>
  <si>
    <t>Влаштування монолітних сходів в осях Ва-Га/4а</t>
  </si>
  <si>
    <t xml:space="preserve">Арматура ф8  А240С  </t>
  </si>
  <si>
    <t>Влаштування монолітних вертикальних конструкцій (у тому числі монтаж закладних деталей)</t>
  </si>
  <si>
    <t>Влаштування всіх монолітних вертикальних конструкцій (у тому числі монтаж закладних деталей)</t>
  </si>
  <si>
    <t>Влаштування монолітних вертикальних конструкцій з парапетами (у тому числі монтаж закладних деталей)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</si>
</sst>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₴_-;\-* #,##0.00\ _₴_-;_-* &quot;-&quot;??\ _₴_-;_-@_-"/>
    <numFmt numFmtId="165" formatCode="_-* #,##0.00_₴_-;\-* #,##0.00_₴_-;_-* &quot;-&quot;??_₴_-;_-@_-"/>
    <numFmt numFmtId="166" formatCode="#,##0.00_ ;\-#,##0.00\ "/>
    <numFmt numFmtId="167" formatCode="#,##0_ ;\-#,##0\ "/>
    <numFmt numFmtId="168" formatCode="0.0000"/>
    <numFmt numFmtId="169" formatCode="0.0"/>
    <numFmt numFmtId="170" formatCode="#,##0.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i/>
      <sz val="14"/>
      <name val="Calibri"/>
      <family val="2"/>
      <charset val="204"/>
    </font>
    <font>
      <i/>
      <sz val="14"/>
      <color theme="1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i/>
      <sz val="14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4"/>
      <color theme="1"/>
      <name val="Calibri"/>
      <family val="2"/>
      <charset val="204"/>
    </font>
    <font>
      <i/>
      <sz val="10"/>
      <name val="Calibri"/>
      <family val="2"/>
      <charset val="204"/>
    </font>
    <font>
      <i/>
      <u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22" fillId="0" borderId="0"/>
  </cellStyleXfs>
  <cellXfs count="167">
    <xf numFmtId="0" fontId="0" fillId="0" borderId="0" xfId="0"/>
    <xf numFmtId="165" fontId="8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5" fontId="7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5" fontId="11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 vertical="center" wrapText="1"/>
    </xf>
    <xf numFmtId="4" fontId="12" fillId="2" borderId="1" xfId="2" applyNumberFormat="1" applyFont="1" applyFill="1" applyBorder="1" applyAlignment="1">
      <alignment horizontal="center" vertical="center" wrapText="1"/>
    </xf>
    <xf numFmtId="165" fontId="11" fillId="2" borderId="1" xfId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5" fontId="14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49" fontId="11" fillId="2" borderId="2" xfId="0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right" vertical="center"/>
    </xf>
    <xf numFmtId="0" fontId="12" fillId="2" borderId="1" xfId="2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left" vertical="top" wrapText="1"/>
    </xf>
    <xf numFmtId="166" fontId="11" fillId="2" borderId="1" xfId="1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165" fontId="11" fillId="2" borderId="1" xfId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vertical="center" wrapText="1"/>
    </xf>
    <xf numFmtId="165" fontId="7" fillId="2" borderId="1" xfId="1" applyFont="1" applyFill="1" applyBorder="1" applyAlignment="1">
      <alignment horizontal="right" vertical="center"/>
    </xf>
    <xf numFmtId="165" fontId="8" fillId="2" borderId="1" xfId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65" fontId="7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7" fillId="0" borderId="1" xfId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5" fontId="17" fillId="2" borderId="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/>
    <xf numFmtId="0" fontId="7" fillId="2" borderId="1" xfId="0" applyNumberFormat="1" applyFont="1" applyFill="1" applyBorder="1" applyAlignment="1">
      <alignment vertical="center" wrapText="1"/>
    </xf>
    <xf numFmtId="165" fontId="7" fillId="2" borderId="1" xfId="1" applyFont="1" applyFill="1" applyBorder="1" applyAlignment="1">
      <alignment vertical="center" wrapText="1"/>
    </xf>
    <xf numFmtId="165" fontId="7" fillId="2" borderId="1" xfId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vertical="center" wrapText="1"/>
    </xf>
    <xf numFmtId="165" fontId="8" fillId="2" borderId="1" xfId="1" applyFont="1" applyFill="1" applyBorder="1" applyAlignment="1">
      <alignment vertical="center" wrapText="1"/>
    </xf>
    <xf numFmtId="165" fontId="8" fillId="2" borderId="1" xfId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165" fontId="20" fillId="2" borderId="1" xfId="1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5" fontId="7" fillId="0" borderId="3" xfId="1" applyFont="1" applyFill="1" applyBorder="1" applyAlignment="1">
      <alignment horizontal="center" vertical="center" wrapText="1"/>
    </xf>
    <xf numFmtId="165" fontId="7" fillId="0" borderId="4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right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9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/>
    </xf>
    <xf numFmtId="4" fontId="25" fillId="0" borderId="1" xfId="3" applyNumberFormat="1" applyFont="1" applyBorder="1" applyAlignment="1">
      <alignment horizontal="center" vertical="center" wrapText="1"/>
    </xf>
    <xf numFmtId="4" fontId="26" fillId="0" borderId="0" xfId="3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right" vertical="center" wrapText="1"/>
    </xf>
    <xf numFmtId="49" fontId="7" fillId="5" borderId="1" xfId="0" applyNumberFormat="1" applyFont="1" applyFill="1" applyBorder="1" applyAlignment="1">
      <alignment vertical="top" wrapText="1"/>
    </xf>
    <xf numFmtId="2" fontId="11" fillId="0" borderId="1" xfId="1" applyNumberFormat="1" applyFont="1" applyFill="1" applyBorder="1" applyAlignment="1">
      <alignment horizontal="right" vertical="center"/>
    </xf>
    <xf numFmtId="2" fontId="11" fillId="0" borderId="1" xfId="1" applyNumberFormat="1" applyFont="1" applyFill="1" applyBorder="1" applyAlignment="1">
      <alignment horizontal="right" vertical="center" wrapText="1"/>
    </xf>
    <xf numFmtId="165" fontId="8" fillId="0" borderId="1" xfId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vertical="center" wrapText="1"/>
    </xf>
    <xf numFmtId="167" fontId="11" fillId="0" borderId="1" xfId="1" applyNumberFormat="1" applyFont="1" applyFill="1" applyBorder="1" applyAlignment="1">
      <alignment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" xfId="2"/>
    <cellStyle name="Обычный 2 3 2" xfId="3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tabSelected="1" topLeftCell="A229" zoomScale="55" zoomScaleNormal="55" workbookViewId="0">
      <selection activeCell="F241" sqref="F241"/>
    </sheetView>
  </sheetViews>
  <sheetFormatPr defaultColWidth="9.109375" defaultRowHeight="18" x14ac:dyDescent="0.3"/>
  <cols>
    <col min="1" max="1" width="8.109375" style="2" customWidth="1"/>
    <col min="2" max="2" width="57.21875" style="2" customWidth="1"/>
    <col min="3" max="3" width="11.44140625" style="2" customWidth="1"/>
    <col min="4" max="4" width="11.88671875" style="2" customWidth="1"/>
    <col min="5" max="5" width="10.6640625" style="2" hidden="1" customWidth="1"/>
    <col min="6" max="6" width="36.33203125" style="2" customWidth="1"/>
    <col min="7" max="7" width="15.44140625" style="71" customWidth="1"/>
    <col min="8" max="8" width="19.6640625" style="74" customWidth="1"/>
    <col min="9" max="9" width="22.44140625" style="2" customWidth="1"/>
    <col min="10" max="10" width="24.109375" style="2" customWidth="1"/>
    <col min="11" max="11" width="28.109375" style="2" customWidth="1"/>
    <col min="12" max="16384" width="9.109375" style="2"/>
  </cols>
  <sheetData>
    <row r="1" spans="1:13" x14ac:dyDescent="0.3">
      <c r="A1" s="158" t="s">
        <v>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3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3" x14ac:dyDescent="0.3">
      <c r="A3" s="159" t="s">
        <v>85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3" s="3" customFormat="1" x14ac:dyDescent="0.25">
      <c r="A4" s="162" t="s">
        <v>0</v>
      </c>
      <c r="B4" s="160" t="s">
        <v>7</v>
      </c>
      <c r="C4" s="160" t="s">
        <v>5</v>
      </c>
      <c r="D4" s="160" t="s">
        <v>8</v>
      </c>
      <c r="E4" s="163" t="s">
        <v>9</v>
      </c>
      <c r="F4" s="164"/>
      <c r="G4" s="160" t="s">
        <v>54</v>
      </c>
      <c r="H4" s="160"/>
      <c r="I4" s="160" t="s">
        <v>44</v>
      </c>
      <c r="J4" s="160"/>
      <c r="K4" s="160" t="s">
        <v>42</v>
      </c>
    </row>
    <row r="5" spans="1:13" s="3" customFormat="1" ht="36" x14ac:dyDescent="0.25">
      <c r="A5" s="162"/>
      <c r="B5" s="160"/>
      <c r="C5" s="160"/>
      <c r="D5" s="160"/>
      <c r="E5" s="165"/>
      <c r="F5" s="166"/>
      <c r="G5" s="4" t="s">
        <v>10</v>
      </c>
      <c r="H5" s="4" t="s">
        <v>11</v>
      </c>
      <c r="I5" s="4" t="s">
        <v>10</v>
      </c>
      <c r="J5" s="4" t="s">
        <v>11</v>
      </c>
      <c r="K5" s="160"/>
    </row>
    <row r="6" spans="1:13" s="3" customFormat="1" x14ac:dyDescent="0.25">
      <c r="A6" s="57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8</v>
      </c>
      <c r="H6" s="4">
        <v>9</v>
      </c>
      <c r="I6" s="4"/>
      <c r="J6" s="4"/>
      <c r="K6" s="4">
        <v>10</v>
      </c>
    </row>
    <row r="7" spans="1:13" s="3" customFormat="1" x14ac:dyDescent="0.35">
      <c r="A7" s="57"/>
      <c r="B7" s="79" t="s">
        <v>12</v>
      </c>
      <c r="C7" s="4"/>
      <c r="D7" s="6"/>
      <c r="E7" s="6"/>
      <c r="F7" s="6"/>
      <c r="G7" s="7"/>
      <c r="H7" s="10"/>
      <c r="I7" s="10"/>
      <c r="J7" s="10"/>
      <c r="K7" s="10"/>
    </row>
    <row r="8" spans="1:13" s="12" customFormat="1" x14ac:dyDescent="0.25">
      <c r="A8" s="5"/>
      <c r="B8" s="8" t="s">
        <v>108</v>
      </c>
      <c r="C8" s="9" t="s">
        <v>2</v>
      </c>
      <c r="D8" s="10"/>
      <c r="E8" s="11">
        <v>0</v>
      </c>
      <c r="F8" s="78">
        <f>F9*1.2</f>
        <v>26.004000000000001</v>
      </c>
      <c r="G8" s="11"/>
      <c r="H8" s="11"/>
      <c r="I8" s="13"/>
      <c r="J8" s="28"/>
      <c r="K8" s="28"/>
    </row>
    <row r="9" spans="1:13" s="12" customFormat="1" ht="36" x14ac:dyDescent="0.25">
      <c r="A9" s="5"/>
      <c r="B9" s="8" t="s">
        <v>101</v>
      </c>
      <c r="C9" s="9" t="s">
        <v>59</v>
      </c>
      <c r="D9" s="10"/>
      <c r="E9" s="11">
        <v>0</v>
      </c>
      <c r="F9" s="78">
        <v>21.67</v>
      </c>
      <c r="G9" s="11"/>
      <c r="H9" s="11"/>
      <c r="I9" s="13"/>
      <c r="J9" s="28"/>
      <c r="K9" s="28"/>
    </row>
    <row r="10" spans="1:13" s="122" customFormat="1" x14ac:dyDescent="0.25">
      <c r="A10" s="119"/>
      <c r="B10" s="76" t="s">
        <v>82</v>
      </c>
      <c r="C10" s="87"/>
      <c r="D10" s="77"/>
      <c r="E10" s="78"/>
      <c r="F10" s="78"/>
      <c r="G10" s="78"/>
      <c r="H10" s="78"/>
      <c r="I10" s="78"/>
      <c r="J10" s="120"/>
      <c r="K10" s="121"/>
    </row>
    <row r="11" spans="1:13" s="3" customFormat="1" ht="36" x14ac:dyDescent="0.25">
      <c r="A11" s="57"/>
      <c r="B11" s="17" t="s">
        <v>81</v>
      </c>
      <c r="C11" s="9" t="s">
        <v>4</v>
      </c>
      <c r="D11" s="10"/>
      <c r="E11" s="11"/>
      <c r="F11" s="78">
        <v>7</v>
      </c>
      <c r="G11" s="11"/>
      <c r="H11" s="78"/>
      <c r="I11" s="78"/>
      <c r="J11" s="120"/>
      <c r="K11" s="11"/>
      <c r="L11" s="122"/>
    </row>
    <row r="12" spans="1:13" s="12" customFormat="1" ht="36" customHeight="1" x14ac:dyDescent="0.25">
      <c r="A12" s="57"/>
      <c r="B12" s="139" t="s">
        <v>107</v>
      </c>
      <c r="C12" s="140" t="s">
        <v>4</v>
      </c>
      <c r="D12" s="141"/>
      <c r="E12" s="142">
        <v>320</v>
      </c>
      <c r="F12" s="78">
        <v>20</v>
      </c>
      <c r="G12" s="11"/>
      <c r="H12" s="11"/>
      <c r="I12" s="11"/>
      <c r="J12" s="143"/>
      <c r="K12" s="144"/>
      <c r="L12" s="122"/>
      <c r="M12" s="145"/>
    </row>
    <row r="13" spans="1:13" s="122" customFormat="1" ht="36" x14ac:dyDescent="0.25">
      <c r="A13" s="88"/>
      <c r="B13" s="80" t="s">
        <v>86</v>
      </c>
      <c r="C13" s="76" t="s">
        <v>2</v>
      </c>
      <c r="D13" s="77"/>
      <c r="E13" s="78">
        <v>0</v>
      </c>
      <c r="F13" s="78">
        <v>21.67</v>
      </c>
      <c r="G13" s="78"/>
      <c r="H13" s="78"/>
      <c r="I13" s="81"/>
      <c r="J13" s="86"/>
      <c r="K13" s="86"/>
    </row>
    <row r="14" spans="1:13" s="122" customFormat="1" x14ac:dyDescent="0.25">
      <c r="A14" s="89"/>
      <c r="B14" s="82" t="s">
        <v>87</v>
      </c>
      <c r="C14" s="83" t="s">
        <v>2</v>
      </c>
      <c r="D14" s="84">
        <v>1.02</v>
      </c>
      <c r="E14" s="85">
        <f>E13*D14</f>
        <v>0</v>
      </c>
      <c r="F14" s="85">
        <f>F13*D14</f>
        <v>22.103400000000001</v>
      </c>
      <c r="G14" s="85"/>
      <c r="H14" s="78"/>
      <c r="I14" s="85"/>
      <c r="J14" s="85"/>
      <c r="K14" s="86"/>
    </row>
    <row r="15" spans="1:13" s="12" customFormat="1" x14ac:dyDescent="0.25">
      <c r="A15" s="88"/>
      <c r="B15" s="80" t="s">
        <v>77</v>
      </c>
      <c r="C15" s="76" t="s">
        <v>19</v>
      </c>
      <c r="D15" s="77"/>
      <c r="E15" s="78">
        <v>0</v>
      </c>
      <c r="F15" s="78">
        <v>12.4</v>
      </c>
      <c r="G15" s="78"/>
      <c r="H15" s="78"/>
      <c r="I15" s="78"/>
      <c r="J15" s="78"/>
      <c r="K15" s="78"/>
      <c r="L15" s="122"/>
    </row>
    <row r="16" spans="1:13" s="12" customFormat="1" ht="27.6" x14ac:dyDescent="0.25">
      <c r="A16" s="89"/>
      <c r="B16" s="82" t="s">
        <v>20</v>
      </c>
      <c r="C16" s="87" t="s">
        <v>19</v>
      </c>
      <c r="D16" s="84">
        <v>1.03</v>
      </c>
      <c r="E16" s="85">
        <v>0</v>
      </c>
      <c r="F16" s="85">
        <f>F15*D16</f>
        <v>12.772</v>
      </c>
      <c r="G16" s="85"/>
      <c r="H16" s="85"/>
      <c r="I16" s="85"/>
      <c r="J16" s="85"/>
      <c r="K16" s="90" t="s">
        <v>43</v>
      </c>
    </row>
    <row r="17" spans="1:11" s="12" customFormat="1" x14ac:dyDescent="0.25">
      <c r="A17" s="88"/>
      <c r="B17" s="80" t="s">
        <v>109</v>
      </c>
      <c r="C17" s="76" t="s">
        <v>51</v>
      </c>
      <c r="D17" s="77"/>
      <c r="E17" s="78">
        <v>0</v>
      </c>
      <c r="F17" s="78">
        <v>18.25</v>
      </c>
      <c r="G17" s="78"/>
      <c r="H17" s="78"/>
      <c r="I17" s="78"/>
      <c r="J17" s="78"/>
      <c r="K17" s="78"/>
    </row>
    <row r="18" spans="1:11" s="12" customFormat="1" ht="27.6" x14ac:dyDescent="0.25">
      <c r="A18" s="89"/>
      <c r="B18" s="82" t="s">
        <v>70</v>
      </c>
      <c r="C18" s="87" t="s">
        <v>59</v>
      </c>
      <c r="D18" s="84">
        <v>1.02</v>
      </c>
      <c r="E18" s="85">
        <v>0</v>
      </c>
      <c r="F18" s="85">
        <f>F17*1.2*D18</f>
        <v>22.337999999999997</v>
      </c>
      <c r="G18" s="85"/>
      <c r="H18" s="85"/>
      <c r="I18" s="85"/>
      <c r="J18" s="85"/>
      <c r="K18" s="90" t="s">
        <v>43</v>
      </c>
    </row>
    <row r="19" spans="1:11" s="12" customFormat="1" ht="36" x14ac:dyDescent="0.35">
      <c r="A19" s="88"/>
      <c r="B19" s="75" t="s">
        <v>21</v>
      </c>
      <c r="C19" s="76" t="s">
        <v>2</v>
      </c>
      <c r="D19" s="77"/>
      <c r="E19" s="78">
        <v>0</v>
      </c>
      <c r="F19" s="78">
        <v>1593.61</v>
      </c>
      <c r="G19" s="78"/>
      <c r="H19" s="78"/>
      <c r="I19" s="78"/>
      <c r="J19" s="11"/>
      <c r="K19" s="11"/>
    </row>
    <row r="20" spans="1:11" s="12" customFormat="1" ht="27.6" x14ac:dyDescent="0.25">
      <c r="A20" s="91"/>
      <c r="B20" s="23" t="s">
        <v>22</v>
      </c>
      <c r="C20" s="24" t="s">
        <v>2</v>
      </c>
      <c r="D20" s="25">
        <v>1</v>
      </c>
      <c r="E20" s="32">
        <v>0</v>
      </c>
      <c r="F20" s="149">
        <f>F19*D20</f>
        <v>1593.61</v>
      </c>
      <c r="G20" s="11"/>
      <c r="H20" s="11"/>
      <c r="I20" s="22"/>
      <c r="J20" s="22"/>
      <c r="K20" s="92" t="s">
        <v>43</v>
      </c>
    </row>
    <row r="21" spans="1:11" s="12" customFormat="1" ht="27.6" x14ac:dyDescent="0.25">
      <c r="A21" s="91"/>
      <c r="B21" s="23" t="s">
        <v>89</v>
      </c>
      <c r="C21" s="24" t="s">
        <v>3</v>
      </c>
      <c r="D21" s="25">
        <v>1.02</v>
      </c>
      <c r="E21" s="32">
        <v>0</v>
      </c>
      <c r="F21" s="149">
        <f>950.2*D21</f>
        <v>969.20400000000006</v>
      </c>
      <c r="G21" s="11"/>
      <c r="H21" s="11"/>
      <c r="I21" s="22"/>
      <c r="J21" s="22"/>
      <c r="K21" s="92" t="s">
        <v>43</v>
      </c>
    </row>
    <row r="22" spans="1:11" s="12" customFormat="1" ht="27.6" x14ac:dyDescent="0.25">
      <c r="A22" s="91"/>
      <c r="B22" s="23" t="s">
        <v>88</v>
      </c>
      <c r="C22" s="24" t="s">
        <v>3</v>
      </c>
      <c r="D22" s="25">
        <v>1.02</v>
      </c>
      <c r="E22" s="32">
        <v>0</v>
      </c>
      <c r="F22" s="149">
        <f>(6630.1+652.8)*D22</f>
        <v>7428.5580000000009</v>
      </c>
      <c r="G22" s="11"/>
      <c r="H22" s="11"/>
      <c r="I22" s="22"/>
      <c r="J22" s="22"/>
      <c r="K22" s="92" t="s">
        <v>43</v>
      </c>
    </row>
    <row r="23" spans="1:11" s="12" customFormat="1" ht="27.6" x14ac:dyDescent="0.25">
      <c r="A23" s="91"/>
      <c r="B23" s="111" t="s">
        <v>14</v>
      </c>
      <c r="C23" s="24" t="s">
        <v>3</v>
      </c>
      <c r="D23" s="25">
        <v>1.02</v>
      </c>
      <c r="E23" s="32">
        <v>0</v>
      </c>
      <c r="F23" s="149">
        <f>(9198.8+2855.5)*D23</f>
        <v>12295.385999999999</v>
      </c>
      <c r="G23" s="11"/>
      <c r="H23" s="11"/>
      <c r="I23" s="22"/>
      <c r="J23" s="22"/>
      <c r="K23" s="92" t="s">
        <v>43</v>
      </c>
    </row>
    <row r="24" spans="1:11" s="12" customFormat="1" ht="27.6" x14ac:dyDescent="0.25">
      <c r="A24" s="91"/>
      <c r="B24" s="23" t="s">
        <v>15</v>
      </c>
      <c r="C24" s="24" t="s">
        <v>3</v>
      </c>
      <c r="D24" s="25">
        <v>1.02</v>
      </c>
      <c r="E24" s="32">
        <v>0</v>
      </c>
      <c r="F24" s="149">
        <f>6117.4*D24</f>
        <v>6239.7479999999996</v>
      </c>
      <c r="G24" s="11"/>
      <c r="H24" s="11"/>
      <c r="I24" s="22"/>
      <c r="J24" s="22"/>
      <c r="K24" s="92" t="s">
        <v>43</v>
      </c>
    </row>
    <row r="25" spans="1:11" s="12" customFormat="1" ht="27.6" x14ac:dyDescent="0.25">
      <c r="A25" s="91"/>
      <c r="B25" s="23" t="s">
        <v>16</v>
      </c>
      <c r="C25" s="24" t="s">
        <v>3</v>
      </c>
      <c r="D25" s="25">
        <v>1.02</v>
      </c>
      <c r="E25" s="32">
        <v>0</v>
      </c>
      <c r="F25" s="149">
        <f>(141220.7+7704.4)*D25</f>
        <v>151903.60200000001</v>
      </c>
      <c r="G25" s="11"/>
      <c r="H25" s="11"/>
      <c r="I25" s="22"/>
      <c r="J25" s="22"/>
      <c r="K25" s="92" t="s">
        <v>43</v>
      </c>
    </row>
    <row r="26" spans="1:11" s="12" customFormat="1" ht="27.6" x14ac:dyDescent="0.25">
      <c r="A26" s="91"/>
      <c r="B26" s="23" t="s">
        <v>23</v>
      </c>
      <c r="C26" s="24" t="s">
        <v>3</v>
      </c>
      <c r="D26" s="25">
        <v>1.02</v>
      </c>
      <c r="E26" s="32">
        <v>0</v>
      </c>
      <c r="F26" s="149">
        <f>130319.8*D26</f>
        <v>132926.196</v>
      </c>
      <c r="G26" s="11"/>
      <c r="H26" s="11"/>
      <c r="I26" s="22"/>
      <c r="J26" s="22"/>
      <c r="K26" s="92" t="s">
        <v>43</v>
      </c>
    </row>
    <row r="27" spans="1:11" s="12" customFormat="1" ht="27.6" x14ac:dyDescent="0.25">
      <c r="A27" s="91"/>
      <c r="B27" s="23" t="s">
        <v>17</v>
      </c>
      <c r="C27" s="24" t="s">
        <v>3</v>
      </c>
      <c r="D27" s="25">
        <f>4.1/1.02</f>
        <v>4.0196078431372548</v>
      </c>
      <c r="E27" s="32">
        <v>0</v>
      </c>
      <c r="F27" s="149">
        <f>SUM(F21:F26)*D27/1000</f>
        <v>1253.1637700000001</v>
      </c>
      <c r="G27" s="11"/>
      <c r="H27" s="11"/>
      <c r="I27" s="22"/>
      <c r="J27" s="22"/>
      <c r="K27" s="92" t="s">
        <v>43</v>
      </c>
    </row>
    <row r="28" spans="1:11" s="12" customFormat="1" ht="27.6" x14ac:dyDescent="0.25">
      <c r="A28" s="91"/>
      <c r="B28" s="33" t="s">
        <v>24</v>
      </c>
      <c r="C28" s="24" t="s">
        <v>3</v>
      </c>
      <c r="D28" s="21">
        <v>1.02</v>
      </c>
      <c r="E28" s="34">
        <v>0</v>
      </c>
      <c r="F28" s="150">
        <f>D28*430.9</f>
        <v>439.51799999999997</v>
      </c>
      <c r="G28" s="11"/>
      <c r="H28" s="11"/>
      <c r="I28" s="22"/>
      <c r="J28" s="22"/>
      <c r="K28" s="92" t="s">
        <v>43</v>
      </c>
    </row>
    <row r="29" spans="1:11" s="12" customFormat="1" ht="27.6" x14ac:dyDescent="0.25">
      <c r="A29" s="91"/>
      <c r="B29" s="35" t="s">
        <v>25</v>
      </c>
      <c r="C29" s="24" t="s">
        <v>3</v>
      </c>
      <c r="D29" s="25">
        <v>1.02</v>
      </c>
      <c r="E29" s="36">
        <v>0</v>
      </c>
      <c r="F29" s="149">
        <f>D29*223.9</f>
        <v>228.37800000000001</v>
      </c>
      <c r="G29" s="11"/>
      <c r="H29" s="11"/>
      <c r="I29" s="22"/>
      <c r="J29" s="22"/>
      <c r="K29" s="92" t="s">
        <v>43</v>
      </c>
    </row>
    <row r="30" spans="1:11" s="12" customFormat="1" x14ac:dyDescent="0.25">
      <c r="A30" s="93"/>
      <c r="B30" s="123" t="s">
        <v>26</v>
      </c>
      <c r="C30" s="9"/>
      <c r="D30" s="10"/>
      <c r="E30" s="11"/>
      <c r="F30" s="78"/>
      <c r="G30" s="11"/>
      <c r="H30" s="11"/>
      <c r="I30" s="11"/>
      <c r="J30" s="11"/>
      <c r="K30" s="11"/>
    </row>
    <row r="31" spans="1:11" s="12" customFormat="1" x14ac:dyDescent="0.25">
      <c r="A31" s="94"/>
      <c r="B31" s="17" t="s">
        <v>77</v>
      </c>
      <c r="C31" s="15" t="s">
        <v>19</v>
      </c>
      <c r="D31" s="10"/>
      <c r="E31" s="11">
        <v>0</v>
      </c>
      <c r="F31" s="78">
        <v>162</v>
      </c>
      <c r="G31" s="11"/>
      <c r="H31" s="11"/>
      <c r="I31" s="11"/>
      <c r="J31" s="11"/>
      <c r="K31" s="11"/>
    </row>
    <row r="32" spans="1:11" s="12" customFormat="1" ht="27.6" x14ac:dyDescent="0.25">
      <c r="A32" s="95"/>
      <c r="B32" s="19" t="s">
        <v>20</v>
      </c>
      <c r="C32" s="9" t="s">
        <v>19</v>
      </c>
      <c r="D32" s="21">
        <v>1.03</v>
      </c>
      <c r="E32" s="22">
        <v>0</v>
      </c>
      <c r="F32" s="85">
        <f>F31*D32</f>
        <v>166.86</v>
      </c>
      <c r="G32" s="22"/>
      <c r="H32" s="22"/>
      <c r="I32" s="22"/>
      <c r="J32" s="22"/>
      <c r="K32" s="92" t="s">
        <v>43</v>
      </c>
    </row>
    <row r="33" spans="1:11" s="12" customFormat="1" x14ac:dyDescent="0.25">
      <c r="A33" s="88"/>
      <c r="B33" s="80" t="s">
        <v>109</v>
      </c>
      <c r="C33" s="76" t="s">
        <v>59</v>
      </c>
      <c r="D33" s="77"/>
      <c r="E33" s="78">
        <v>0</v>
      </c>
      <c r="F33" s="78">
        <f>10.7*3.7</f>
        <v>39.589999999999996</v>
      </c>
      <c r="G33" s="78"/>
      <c r="H33" s="78"/>
      <c r="I33" s="22"/>
      <c r="J33" s="78"/>
      <c r="K33" s="78"/>
    </row>
    <row r="34" spans="1:11" s="12" customFormat="1" ht="27.6" x14ac:dyDescent="0.25">
      <c r="A34" s="89"/>
      <c r="B34" s="82" t="s">
        <v>70</v>
      </c>
      <c r="C34" s="87" t="s">
        <v>59</v>
      </c>
      <c r="D34" s="84">
        <v>1.02</v>
      </c>
      <c r="E34" s="85">
        <v>0</v>
      </c>
      <c r="F34" s="85">
        <f>F33*D34</f>
        <v>40.381799999999998</v>
      </c>
      <c r="G34" s="85"/>
      <c r="H34" s="85"/>
      <c r="I34" s="22"/>
      <c r="J34" s="85"/>
      <c r="K34" s="90" t="s">
        <v>43</v>
      </c>
    </row>
    <row r="35" spans="1:11" s="12" customFormat="1" ht="54" x14ac:dyDescent="0.25">
      <c r="A35" s="96"/>
      <c r="B35" s="39" t="s">
        <v>119</v>
      </c>
      <c r="C35" s="40" t="s">
        <v>2</v>
      </c>
      <c r="D35" s="40"/>
      <c r="E35" s="11">
        <v>0</v>
      </c>
      <c r="F35" s="78">
        <f>309.1-F49</f>
        <v>306.56</v>
      </c>
      <c r="G35" s="11"/>
      <c r="H35" s="11"/>
      <c r="I35" s="22"/>
      <c r="J35" s="11"/>
      <c r="K35" s="11"/>
    </row>
    <row r="36" spans="1:11" s="12" customFormat="1" ht="27.6" x14ac:dyDescent="0.25">
      <c r="A36" s="91"/>
      <c r="B36" s="23" t="s">
        <v>90</v>
      </c>
      <c r="C36" s="41" t="s">
        <v>2</v>
      </c>
      <c r="D36" s="41">
        <v>1.01</v>
      </c>
      <c r="E36" s="26">
        <v>0</v>
      </c>
      <c r="F36" s="134">
        <f>F35*D36</f>
        <v>309.62560000000002</v>
      </c>
      <c r="G36" s="26"/>
      <c r="H36" s="22"/>
      <c r="I36" s="22"/>
      <c r="J36" s="11"/>
      <c r="K36" s="92" t="s">
        <v>43</v>
      </c>
    </row>
    <row r="37" spans="1:11" s="12" customFormat="1" ht="27.6" x14ac:dyDescent="0.25">
      <c r="A37" s="91"/>
      <c r="B37" s="23" t="s">
        <v>91</v>
      </c>
      <c r="C37" s="24" t="s">
        <v>3</v>
      </c>
      <c r="D37" s="25">
        <v>1.02</v>
      </c>
      <c r="E37" s="32">
        <v>0</v>
      </c>
      <c r="F37" s="149">
        <f>3138*D37</f>
        <v>3200.76</v>
      </c>
      <c r="G37" s="11"/>
      <c r="H37" s="11"/>
      <c r="I37" s="22"/>
      <c r="J37" s="22"/>
      <c r="K37" s="92" t="s">
        <v>43</v>
      </c>
    </row>
    <row r="38" spans="1:11" s="12" customFormat="1" ht="27.6" x14ac:dyDescent="0.25">
      <c r="A38" s="91"/>
      <c r="B38" s="23" t="s">
        <v>92</v>
      </c>
      <c r="C38" s="24" t="s">
        <v>3</v>
      </c>
      <c r="D38" s="25">
        <v>1.02</v>
      </c>
      <c r="E38" s="32">
        <v>0</v>
      </c>
      <c r="F38" s="149">
        <f>96.8*D38</f>
        <v>98.736000000000004</v>
      </c>
      <c r="G38" s="11"/>
      <c r="H38" s="11"/>
      <c r="I38" s="22"/>
      <c r="J38" s="22"/>
      <c r="K38" s="92" t="s">
        <v>43</v>
      </c>
    </row>
    <row r="39" spans="1:11" s="12" customFormat="1" ht="27.6" x14ac:dyDescent="0.25">
      <c r="A39" s="91"/>
      <c r="B39" s="23" t="s">
        <v>88</v>
      </c>
      <c r="C39" s="24" t="s">
        <v>3</v>
      </c>
      <c r="D39" s="25">
        <v>1.02</v>
      </c>
      <c r="E39" s="32">
        <v>0</v>
      </c>
      <c r="F39" s="149">
        <f>19139.2*D39-F51</f>
        <v>19250.562000000002</v>
      </c>
      <c r="G39" s="11"/>
      <c r="H39" s="11"/>
      <c r="I39" s="22"/>
      <c r="J39" s="22"/>
      <c r="K39" s="92" t="s">
        <v>43</v>
      </c>
    </row>
    <row r="40" spans="1:11" s="12" customFormat="1" ht="27.6" x14ac:dyDescent="0.25">
      <c r="A40" s="91"/>
      <c r="B40" s="111" t="s">
        <v>14</v>
      </c>
      <c r="C40" s="24" t="s">
        <v>3</v>
      </c>
      <c r="D40" s="25">
        <v>1.02</v>
      </c>
      <c r="E40" s="32">
        <v>0</v>
      </c>
      <c r="F40" s="149">
        <f>9575*D40</f>
        <v>9766.5</v>
      </c>
      <c r="G40" s="11"/>
      <c r="H40" s="11"/>
      <c r="I40" s="22"/>
      <c r="J40" s="22"/>
      <c r="K40" s="92" t="s">
        <v>43</v>
      </c>
    </row>
    <row r="41" spans="1:11" s="12" customFormat="1" ht="27.6" x14ac:dyDescent="0.25">
      <c r="A41" s="91"/>
      <c r="B41" s="23" t="s">
        <v>15</v>
      </c>
      <c r="C41" s="24" t="s">
        <v>3</v>
      </c>
      <c r="D41" s="25">
        <v>1.02</v>
      </c>
      <c r="E41" s="32">
        <v>0</v>
      </c>
      <c r="F41" s="149">
        <f>14285.9*D41</f>
        <v>14571.618</v>
      </c>
      <c r="G41" s="11"/>
      <c r="H41" s="11"/>
      <c r="I41" s="22"/>
      <c r="J41" s="22"/>
      <c r="K41" s="92" t="s">
        <v>43</v>
      </c>
    </row>
    <row r="42" spans="1:11" s="12" customFormat="1" ht="27.6" x14ac:dyDescent="0.25">
      <c r="A42" s="91"/>
      <c r="B42" s="23" t="s">
        <v>16</v>
      </c>
      <c r="C42" s="24" t="s">
        <v>3</v>
      </c>
      <c r="D42" s="25">
        <v>1.02</v>
      </c>
      <c r="E42" s="32">
        <v>0</v>
      </c>
      <c r="F42" s="149">
        <f>16387.5*D42</f>
        <v>16715.25</v>
      </c>
      <c r="G42" s="11"/>
      <c r="H42" s="11"/>
      <c r="I42" s="22"/>
      <c r="J42" s="22"/>
      <c r="K42" s="92" t="s">
        <v>43</v>
      </c>
    </row>
    <row r="43" spans="1:11" s="12" customFormat="1" ht="27.6" x14ac:dyDescent="0.25">
      <c r="A43" s="91"/>
      <c r="B43" s="23" t="s">
        <v>17</v>
      </c>
      <c r="C43" s="24" t="s">
        <v>3</v>
      </c>
      <c r="D43" s="25">
        <f>4.1/1.02</f>
        <v>4.0196078431372548</v>
      </c>
      <c r="E43" s="32">
        <v>0</v>
      </c>
      <c r="F43" s="149">
        <f>SUM(F37:F42)*D43/1000</f>
        <v>255.66082999999998</v>
      </c>
      <c r="G43" s="11"/>
      <c r="H43" s="11"/>
      <c r="I43" s="22"/>
      <c r="J43" s="22"/>
      <c r="K43" s="92" t="s">
        <v>43</v>
      </c>
    </row>
    <row r="44" spans="1:11" s="12" customFormat="1" ht="27.6" x14ac:dyDescent="0.25">
      <c r="A44" s="91"/>
      <c r="B44" s="35" t="s">
        <v>93</v>
      </c>
      <c r="C44" s="24" t="s">
        <v>3</v>
      </c>
      <c r="D44" s="25">
        <v>1.02</v>
      </c>
      <c r="E44" s="36">
        <v>0</v>
      </c>
      <c r="F44" s="149">
        <f>D44*66.5</f>
        <v>67.83</v>
      </c>
      <c r="G44" s="11"/>
      <c r="H44" s="11"/>
      <c r="I44" s="22"/>
      <c r="J44" s="22"/>
      <c r="K44" s="92" t="s">
        <v>43</v>
      </c>
    </row>
    <row r="45" spans="1:11" s="12" customFormat="1" x14ac:dyDescent="0.25">
      <c r="A45" s="96"/>
      <c r="B45" s="39" t="s">
        <v>94</v>
      </c>
      <c r="C45" s="40" t="s">
        <v>2</v>
      </c>
      <c r="D45" s="40"/>
      <c r="E45" s="11">
        <v>0</v>
      </c>
      <c r="F45" s="78">
        <f>1.75*2*2.55*2.4</f>
        <v>21.419999999999998</v>
      </c>
      <c r="G45" s="11"/>
      <c r="H45" s="11"/>
      <c r="I45" s="11"/>
      <c r="J45" s="11"/>
      <c r="K45" s="11"/>
    </row>
    <row r="46" spans="1:11" s="122" customFormat="1" ht="36" x14ac:dyDescent="0.25">
      <c r="A46" s="126"/>
      <c r="B46" s="127" t="s">
        <v>58</v>
      </c>
      <c r="C46" s="128" t="s">
        <v>59</v>
      </c>
      <c r="D46" s="128"/>
      <c r="E46" s="78">
        <v>0</v>
      </c>
      <c r="F46" s="78">
        <f>1.75*2*2.55</f>
        <v>8.9249999999999989</v>
      </c>
      <c r="G46" s="78"/>
      <c r="H46" s="78"/>
      <c r="I46" s="78"/>
      <c r="J46" s="85"/>
      <c r="K46" s="78"/>
    </row>
    <row r="47" spans="1:11" s="12" customFormat="1" x14ac:dyDescent="0.25">
      <c r="A47" s="96"/>
      <c r="B47" s="39" t="s">
        <v>96</v>
      </c>
      <c r="C47" s="40" t="s">
        <v>2</v>
      </c>
      <c r="D47" s="10"/>
      <c r="E47" s="11">
        <v>0</v>
      </c>
      <c r="F47" s="78">
        <v>0.45</v>
      </c>
      <c r="G47" s="11"/>
      <c r="H47" s="11"/>
      <c r="I47" s="11"/>
      <c r="J47" s="11"/>
      <c r="K47" s="11"/>
    </row>
    <row r="48" spans="1:11" s="122" customFormat="1" x14ac:dyDescent="0.25">
      <c r="A48" s="89"/>
      <c r="B48" s="82" t="s">
        <v>97</v>
      </c>
      <c r="C48" s="83" t="s">
        <v>2</v>
      </c>
      <c r="D48" s="84">
        <v>1.02</v>
      </c>
      <c r="E48" s="85">
        <f>E45*D48</f>
        <v>0</v>
      </c>
      <c r="F48" s="85">
        <f>F47*D48</f>
        <v>0.45900000000000002</v>
      </c>
      <c r="G48" s="85"/>
      <c r="H48" s="78"/>
      <c r="I48" s="85"/>
      <c r="J48" s="85"/>
      <c r="K48" s="86"/>
    </row>
    <row r="49" spans="1:11" s="12" customFormat="1" ht="36" x14ac:dyDescent="0.25">
      <c r="A49" s="96"/>
      <c r="B49" s="39" t="s">
        <v>95</v>
      </c>
      <c r="C49" s="40" t="s">
        <v>2</v>
      </c>
      <c r="D49" s="40"/>
      <c r="E49" s="11">
        <v>0</v>
      </c>
      <c r="F49" s="78">
        <v>2.54</v>
      </c>
      <c r="G49" s="11"/>
      <c r="H49" s="11"/>
      <c r="I49" s="11"/>
      <c r="J49" s="11"/>
      <c r="K49" s="11"/>
    </row>
    <row r="50" spans="1:11" s="12" customFormat="1" ht="27.6" x14ac:dyDescent="0.25">
      <c r="A50" s="91"/>
      <c r="B50" s="23" t="s">
        <v>90</v>
      </c>
      <c r="C50" s="41" t="s">
        <v>2</v>
      </c>
      <c r="D50" s="41">
        <v>1.01</v>
      </c>
      <c r="E50" s="26">
        <v>0</v>
      </c>
      <c r="F50" s="134">
        <f>F49*D50</f>
        <v>2.5653999999999999</v>
      </c>
      <c r="G50" s="26"/>
      <c r="H50" s="22"/>
      <c r="I50" s="22"/>
      <c r="J50" s="11"/>
      <c r="K50" s="92" t="s">
        <v>43</v>
      </c>
    </row>
    <row r="51" spans="1:11" s="12" customFormat="1" ht="27.6" x14ac:dyDescent="0.25">
      <c r="A51" s="91"/>
      <c r="B51" s="23" t="s">
        <v>88</v>
      </c>
      <c r="C51" s="24" t="s">
        <v>3</v>
      </c>
      <c r="D51" s="25">
        <v>1.02</v>
      </c>
      <c r="E51" s="32">
        <v>0</v>
      </c>
      <c r="F51" s="149">
        <f>266.1*D51</f>
        <v>271.42200000000003</v>
      </c>
      <c r="G51" s="11"/>
      <c r="H51" s="11"/>
      <c r="I51" s="22"/>
      <c r="J51" s="22"/>
      <c r="K51" s="92" t="s">
        <v>43</v>
      </c>
    </row>
    <row r="52" spans="1:11" s="12" customFormat="1" ht="27.6" x14ac:dyDescent="0.25">
      <c r="A52" s="91"/>
      <c r="B52" s="23" t="s">
        <v>17</v>
      </c>
      <c r="C52" s="24" t="s">
        <v>3</v>
      </c>
      <c r="D52" s="25">
        <f>4.1/1.02</f>
        <v>4.0196078431372548</v>
      </c>
      <c r="E52" s="32">
        <v>0</v>
      </c>
      <c r="F52" s="149">
        <f>SUM(F51)*D52/1000</f>
        <v>1.09101</v>
      </c>
      <c r="G52" s="11"/>
      <c r="H52" s="11"/>
      <c r="I52" s="22"/>
      <c r="J52" s="22"/>
      <c r="K52" s="92" t="s">
        <v>43</v>
      </c>
    </row>
    <row r="53" spans="1:11" s="12" customFormat="1" x14ac:dyDescent="0.25">
      <c r="A53" s="88"/>
      <c r="B53" s="80" t="s">
        <v>109</v>
      </c>
      <c r="C53" s="76" t="s">
        <v>59</v>
      </c>
      <c r="D53" s="77"/>
      <c r="E53" s="78">
        <v>0</v>
      </c>
      <c r="F53" s="78">
        <f>18.25*0.2</f>
        <v>3.6500000000000004</v>
      </c>
      <c r="G53" s="78"/>
      <c r="H53" s="78"/>
      <c r="I53" s="78"/>
      <c r="J53" s="78"/>
      <c r="K53" s="78"/>
    </row>
    <row r="54" spans="1:11" s="12" customFormat="1" ht="27.6" x14ac:dyDescent="0.25">
      <c r="A54" s="89"/>
      <c r="B54" s="82" t="s">
        <v>70</v>
      </c>
      <c r="C54" s="87" t="s">
        <v>59</v>
      </c>
      <c r="D54" s="84">
        <v>1.02</v>
      </c>
      <c r="E54" s="85">
        <v>0</v>
      </c>
      <c r="F54" s="85">
        <f>F53*D54</f>
        <v>3.7230000000000003</v>
      </c>
      <c r="G54" s="85"/>
      <c r="H54" s="85"/>
      <c r="I54" s="85"/>
      <c r="J54" s="85"/>
      <c r="K54" s="90" t="s">
        <v>43</v>
      </c>
    </row>
    <row r="55" spans="1:11" s="12" customFormat="1" ht="36" x14ac:dyDescent="0.25">
      <c r="A55" s="96"/>
      <c r="B55" s="48" t="s">
        <v>27</v>
      </c>
      <c r="C55" s="40" t="s">
        <v>2</v>
      </c>
      <c r="D55" s="40"/>
      <c r="E55" s="11">
        <v>0</v>
      </c>
      <c r="F55" s="78">
        <f>247.7-F61</f>
        <v>244.04999999999998</v>
      </c>
      <c r="G55" s="11"/>
      <c r="H55" s="11"/>
      <c r="I55" s="11"/>
      <c r="J55" s="11"/>
      <c r="K55" s="11"/>
    </row>
    <row r="56" spans="1:11" s="122" customFormat="1" ht="27.6" x14ac:dyDescent="0.25">
      <c r="A56" s="146"/>
      <c r="B56" s="132" t="s">
        <v>89</v>
      </c>
      <c r="C56" s="135" t="s">
        <v>3</v>
      </c>
      <c r="D56" s="136">
        <v>1.02</v>
      </c>
      <c r="E56" s="137">
        <v>0</v>
      </c>
      <c r="F56" s="149">
        <f>4424.5*D56-F68</f>
        <v>3908.5379999999996</v>
      </c>
      <c r="G56" s="78"/>
      <c r="H56" s="78"/>
      <c r="I56" s="85"/>
      <c r="J56" s="85"/>
      <c r="K56" s="90" t="s">
        <v>43</v>
      </c>
    </row>
    <row r="57" spans="1:11" s="122" customFormat="1" ht="27.6" x14ac:dyDescent="0.25">
      <c r="A57" s="146"/>
      <c r="B57" s="132" t="s">
        <v>88</v>
      </c>
      <c r="C57" s="135" t="s">
        <v>3</v>
      </c>
      <c r="D57" s="136">
        <v>1.02</v>
      </c>
      <c r="E57" s="137">
        <v>0</v>
      </c>
      <c r="F57" s="149">
        <f>31701.1*D57-F90-F63</f>
        <v>32270.662</v>
      </c>
      <c r="G57" s="78"/>
      <c r="H57" s="78"/>
      <c r="I57" s="85"/>
      <c r="J57" s="85"/>
      <c r="K57" s="90" t="s">
        <v>43</v>
      </c>
    </row>
    <row r="58" spans="1:11" s="122" customFormat="1" ht="27.6" x14ac:dyDescent="0.25">
      <c r="A58" s="146"/>
      <c r="B58" s="147" t="s">
        <v>14</v>
      </c>
      <c r="C58" s="135" t="s">
        <v>3</v>
      </c>
      <c r="D58" s="136">
        <v>1.02</v>
      </c>
      <c r="E58" s="137">
        <v>0</v>
      </c>
      <c r="F58" s="149">
        <f>4270*D58</f>
        <v>4355.3999999999996</v>
      </c>
      <c r="G58" s="78"/>
      <c r="H58" s="78"/>
      <c r="I58" s="85"/>
      <c r="J58" s="85"/>
      <c r="K58" s="90" t="s">
        <v>43</v>
      </c>
    </row>
    <row r="59" spans="1:11" s="122" customFormat="1" ht="27.6" x14ac:dyDescent="0.25">
      <c r="A59" s="146"/>
      <c r="B59" s="132" t="s">
        <v>16</v>
      </c>
      <c r="C59" s="135" t="s">
        <v>3</v>
      </c>
      <c r="D59" s="136">
        <v>1.02</v>
      </c>
      <c r="E59" s="137">
        <v>0</v>
      </c>
      <c r="F59" s="149">
        <f>122.5*D59</f>
        <v>124.95</v>
      </c>
      <c r="G59" s="78"/>
      <c r="H59" s="78"/>
      <c r="I59" s="85"/>
      <c r="J59" s="85"/>
      <c r="K59" s="90" t="s">
        <v>43</v>
      </c>
    </row>
    <row r="60" spans="1:11" s="122" customFormat="1" ht="27.6" x14ac:dyDescent="0.25">
      <c r="A60" s="146"/>
      <c r="B60" s="132" t="s">
        <v>17</v>
      </c>
      <c r="C60" s="135" t="s">
        <v>3</v>
      </c>
      <c r="D60" s="136">
        <f>4.1/1.02</f>
        <v>4.0196078431372548</v>
      </c>
      <c r="E60" s="137">
        <v>0</v>
      </c>
      <c r="F60" s="149">
        <f>SUM(F56:F59)*D60/1000</f>
        <v>163.43544607843137</v>
      </c>
      <c r="G60" s="78"/>
      <c r="H60" s="78"/>
      <c r="I60" s="85"/>
      <c r="J60" s="85"/>
      <c r="K60" s="90" t="s">
        <v>43</v>
      </c>
    </row>
    <row r="61" spans="1:11" s="12" customFormat="1" x14ac:dyDescent="0.25">
      <c r="A61" s="91"/>
      <c r="B61" s="48" t="s">
        <v>80</v>
      </c>
      <c r="C61" s="40" t="s">
        <v>2</v>
      </c>
      <c r="D61" s="40"/>
      <c r="E61" s="11">
        <v>0</v>
      </c>
      <c r="F61" s="78">
        <f>0.5*0.4*18.25</f>
        <v>3.6500000000000004</v>
      </c>
      <c r="G61" s="78"/>
      <c r="H61" s="11"/>
      <c r="I61" s="11"/>
      <c r="J61" s="11"/>
      <c r="K61" s="11"/>
    </row>
    <row r="62" spans="1:11" s="122" customFormat="1" ht="27.6" x14ac:dyDescent="0.25">
      <c r="A62" s="146"/>
      <c r="B62" s="132" t="s">
        <v>114</v>
      </c>
      <c r="C62" s="135" t="s">
        <v>3</v>
      </c>
      <c r="D62" s="136">
        <v>1.02</v>
      </c>
      <c r="E62" s="137">
        <v>0</v>
      </c>
      <c r="F62" s="149">
        <f>(25.2+90.9)*D62</f>
        <v>118.42200000000001</v>
      </c>
      <c r="G62" s="78"/>
      <c r="H62" s="78"/>
      <c r="I62" s="85"/>
      <c r="J62" s="85"/>
      <c r="K62" s="90" t="s">
        <v>43</v>
      </c>
    </row>
    <row r="63" spans="1:11" s="122" customFormat="1" ht="27.6" x14ac:dyDescent="0.25">
      <c r="A63" s="146"/>
      <c r="B63" s="132" t="s">
        <v>88</v>
      </c>
      <c r="C63" s="135" t="s">
        <v>3</v>
      </c>
      <c r="D63" s="136">
        <v>1.02</v>
      </c>
      <c r="E63" s="137">
        <v>0</v>
      </c>
      <c r="F63" s="149">
        <f>33*D63</f>
        <v>33.660000000000004</v>
      </c>
      <c r="G63" s="78"/>
      <c r="H63" s="78"/>
      <c r="I63" s="85"/>
      <c r="J63" s="85"/>
      <c r="K63" s="90" t="s">
        <v>43</v>
      </c>
    </row>
    <row r="64" spans="1:11" s="122" customFormat="1" ht="27.6" x14ac:dyDescent="0.25">
      <c r="A64" s="146"/>
      <c r="B64" s="132" t="s">
        <v>15</v>
      </c>
      <c r="C64" s="135" t="s">
        <v>3</v>
      </c>
      <c r="D64" s="136">
        <v>1.02</v>
      </c>
      <c r="E64" s="137">
        <v>0</v>
      </c>
      <c r="F64" s="149">
        <f>277.9*D64</f>
        <v>283.45799999999997</v>
      </c>
      <c r="G64" s="78"/>
      <c r="H64" s="78"/>
      <c r="I64" s="85"/>
      <c r="J64" s="85"/>
      <c r="K64" s="90" t="s">
        <v>43</v>
      </c>
    </row>
    <row r="65" spans="1:11" s="122" customFormat="1" ht="27.6" x14ac:dyDescent="0.25">
      <c r="A65" s="146"/>
      <c r="B65" s="132" t="s">
        <v>17</v>
      </c>
      <c r="C65" s="135" t="s">
        <v>3</v>
      </c>
      <c r="D65" s="136">
        <f>4.1/1.02</f>
        <v>4.0196078431372548</v>
      </c>
      <c r="E65" s="137">
        <v>0</v>
      </c>
      <c r="F65" s="149">
        <f>SUM(F62:F64)*D65/1000</f>
        <v>1.7506999999999999</v>
      </c>
      <c r="G65" s="78"/>
      <c r="H65" s="78"/>
      <c r="I65" s="85"/>
      <c r="J65" s="85"/>
      <c r="K65" s="90" t="s">
        <v>43</v>
      </c>
    </row>
    <row r="66" spans="1:11" s="12" customFormat="1" x14ac:dyDescent="0.25">
      <c r="A66" s="91"/>
      <c r="B66" s="48" t="s">
        <v>110</v>
      </c>
      <c r="C66" s="40" t="s">
        <v>2</v>
      </c>
      <c r="D66" s="40"/>
      <c r="E66" s="11">
        <v>0</v>
      </c>
      <c r="F66" s="78">
        <v>6.4</v>
      </c>
      <c r="G66" s="78"/>
      <c r="H66" s="11"/>
      <c r="I66" s="11"/>
      <c r="J66" s="11"/>
      <c r="K66" s="11"/>
    </row>
    <row r="67" spans="1:11" s="12" customFormat="1" ht="27.6" x14ac:dyDescent="0.25">
      <c r="A67" s="91"/>
      <c r="B67" s="111" t="s">
        <v>76</v>
      </c>
      <c r="C67" s="41" t="s">
        <v>2</v>
      </c>
      <c r="D67" s="41">
        <v>1.01</v>
      </c>
      <c r="E67" s="26">
        <f>E55*1.02</f>
        <v>0</v>
      </c>
      <c r="F67" s="134">
        <f>F66*D67</f>
        <v>6.4640000000000004</v>
      </c>
      <c r="G67" s="26"/>
      <c r="H67" s="22"/>
      <c r="I67" s="22"/>
      <c r="J67" s="11"/>
      <c r="K67" s="92" t="s">
        <v>43</v>
      </c>
    </row>
    <row r="68" spans="1:11" s="12" customFormat="1" ht="27.6" x14ac:dyDescent="0.25">
      <c r="A68" s="91"/>
      <c r="B68" s="132" t="s">
        <v>89</v>
      </c>
      <c r="C68" s="24" t="s">
        <v>3</v>
      </c>
      <c r="D68" s="25">
        <v>1.02</v>
      </c>
      <c r="E68" s="26">
        <f>E55*D68*150</f>
        <v>0</v>
      </c>
      <c r="F68" s="134">
        <f>(395.2+197.4)*D68</f>
        <v>604.452</v>
      </c>
      <c r="G68" s="26"/>
      <c r="H68" s="22"/>
      <c r="I68" s="22"/>
      <c r="J68" s="11"/>
      <c r="K68" s="92" t="s">
        <v>43</v>
      </c>
    </row>
    <row r="69" spans="1:11" s="12" customFormat="1" ht="27.6" x14ac:dyDescent="0.25">
      <c r="A69" s="91"/>
      <c r="B69" s="111" t="s">
        <v>17</v>
      </c>
      <c r="C69" s="24" t="s">
        <v>3</v>
      </c>
      <c r="D69" s="25">
        <f>4.1/1.02</f>
        <v>4.0196078431372548</v>
      </c>
      <c r="E69" s="26">
        <f>E68*D69/1000</f>
        <v>0</v>
      </c>
      <c r="F69" s="134">
        <f>F68*D69/1000</f>
        <v>2.4296599999999997</v>
      </c>
      <c r="G69" s="26"/>
      <c r="H69" s="22"/>
      <c r="I69" s="22"/>
      <c r="J69" s="11"/>
      <c r="K69" s="92" t="s">
        <v>43</v>
      </c>
    </row>
    <row r="70" spans="1:11" s="122" customFormat="1" x14ac:dyDescent="0.25">
      <c r="A70" s="126"/>
      <c r="B70" s="148" t="s">
        <v>115</v>
      </c>
      <c r="C70" s="128" t="s">
        <v>2</v>
      </c>
      <c r="D70" s="128"/>
      <c r="E70" s="78">
        <v>0</v>
      </c>
      <c r="F70" s="78">
        <v>13.94</v>
      </c>
      <c r="G70" s="78"/>
      <c r="H70" s="78"/>
      <c r="I70" s="78"/>
      <c r="J70" s="85"/>
      <c r="K70" s="78"/>
    </row>
    <row r="71" spans="1:11" s="122" customFormat="1" ht="36" x14ac:dyDescent="0.25">
      <c r="A71" s="126"/>
      <c r="B71" s="127" t="s">
        <v>58</v>
      </c>
      <c r="C71" s="128" t="s">
        <v>59</v>
      </c>
      <c r="D71" s="128"/>
      <c r="E71" s="78">
        <v>0</v>
      </c>
      <c r="F71" s="78">
        <f>F72/0.05</f>
        <v>8.7999999999999989</v>
      </c>
      <c r="G71" s="78"/>
      <c r="H71" s="78"/>
      <c r="I71" s="78"/>
      <c r="J71" s="85"/>
      <c r="K71" s="78"/>
    </row>
    <row r="72" spans="1:11" s="122" customFormat="1" x14ac:dyDescent="0.25">
      <c r="A72" s="129"/>
      <c r="B72" s="80" t="s">
        <v>61</v>
      </c>
      <c r="C72" s="76" t="s">
        <v>2</v>
      </c>
      <c r="D72" s="77"/>
      <c r="E72" s="78"/>
      <c r="F72" s="78">
        <v>0.44</v>
      </c>
      <c r="G72" s="78"/>
      <c r="H72" s="78"/>
      <c r="I72" s="78"/>
      <c r="J72" s="85"/>
      <c r="K72" s="78"/>
    </row>
    <row r="73" spans="1:11" s="122" customFormat="1" ht="27.6" x14ac:dyDescent="0.25">
      <c r="A73" s="130"/>
      <c r="B73" s="82" t="s">
        <v>74</v>
      </c>
      <c r="C73" s="83" t="s">
        <v>2</v>
      </c>
      <c r="D73" s="84">
        <v>1.02</v>
      </c>
      <c r="E73" s="85"/>
      <c r="F73" s="85">
        <f>F72*D73</f>
        <v>0.44880000000000003</v>
      </c>
      <c r="G73" s="85"/>
      <c r="H73" s="85"/>
      <c r="I73" s="85"/>
      <c r="J73" s="85"/>
      <c r="K73" s="90" t="s">
        <v>43</v>
      </c>
    </row>
    <row r="74" spans="1:11" s="122" customFormat="1" x14ac:dyDescent="0.25">
      <c r="A74" s="126"/>
      <c r="B74" s="127" t="s">
        <v>116</v>
      </c>
      <c r="C74" s="128" t="s">
        <v>2</v>
      </c>
      <c r="D74" s="128"/>
      <c r="E74" s="78">
        <v>0</v>
      </c>
      <c r="F74" s="78">
        <v>2.61</v>
      </c>
      <c r="G74" s="78"/>
      <c r="H74" s="78"/>
      <c r="I74" s="78"/>
      <c r="J74" s="85"/>
      <c r="K74" s="78"/>
    </row>
    <row r="75" spans="1:11" s="122" customFormat="1" ht="27.6" x14ac:dyDescent="0.25">
      <c r="A75" s="131"/>
      <c r="B75" s="132" t="s">
        <v>76</v>
      </c>
      <c r="C75" s="133" t="s">
        <v>2</v>
      </c>
      <c r="D75" s="133">
        <v>1.01</v>
      </c>
      <c r="E75" s="134">
        <f>E74*1.02</f>
        <v>0</v>
      </c>
      <c r="F75" s="134">
        <f>F74*D75</f>
        <v>2.6360999999999999</v>
      </c>
      <c r="G75" s="134"/>
      <c r="H75" s="85"/>
      <c r="I75" s="85"/>
      <c r="J75" s="85"/>
      <c r="K75" s="90" t="s">
        <v>43</v>
      </c>
    </row>
    <row r="76" spans="1:11" s="122" customFormat="1" ht="27.6" x14ac:dyDescent="0.25">
      <c r="A76" s="131"/>
      <c r="B76" s="132" t="s">
        <v>62</v>
      </c>
      <c r="C76" s="135" t="s">
        <v>3</v>
      </c>
      <c r="D76" s="136">
        <v>1.02</v>
      </c>
      <c r="E76" s="137">
        <v>0</v>
      </c>
      <c r="F76" s="149">
        <f>89.2*D76</f>
        <v>90.984000000000009</v>
      </c>
      <c r="G76" s="78"/>
      <c r="H76" s="78"/>
      <c r="I76" s="85"/>
      <c r="J76" s="85"/>
      <c r="K76" s="90" t="s">
        <v>43</v>
      </c>
    </row>
    <row r="77" spans="1:11" s="122" customFormat="1" ht="27.6" x14ac:dyDescent="0.25">
      <c r="A77" s="131"/>
      <c r="B77" s="132" t="s">
        <v>56</v>
      </c>
      <c r="C77" s="135" t="s">
        <v>3</v>
      </c>
      <c r="D77" s="136">
        <v>1.02</v>
      </c>
      <c r="E77" s="137">
        <v>0</v>
      </c>
      <c r="F77" s="149">
        <f>13.3*D77</f>
        <v>13.566000000000001</v>
      </c>
      <c r="G77" s="78"/>
      <c r="H77" s="78"/>
      <c r="I77" s="85"/>
      <c r="J77" s="85"/>
      <c r="K77" s="90" t="s">
        <v>43</v>
      </c>
    </row>
    <row r="78" spans="1:11" s="122" customFormat="1" ht="27.6" x14ac:dyDescent="0.25">
      <c r="A78" s="131"/>
      <c r="B78" s="132" t="s">
        <v>13</v>
      </c>
      <c r="C78" s="135" t="s">
        <v>3</v>
      </c>
      <c r="D78" s="136">
        <v>1.02</v>
      </c>
      <c r="E78" s="137">
        <v>0</v>
      </c>
      <c r="F78" s="149">
        <f>100.2*D78</f>
        <v>102.20400000000001</v>
      </c>
      <c r="G78" s="78"/>
      <c r="H78" s="78"/>
      <c r="I78" s="85"/>
      <c r="J78" s="85"/>
      <c r="K78" s="90" t="s">
        <v>43</v>
      </c>
    </row>
    <row r="79" spans="1:11" s="122" customFormat="1" ht="27.6" x14ac:dyDescent="0.25">
      <c r="A79" s="131"/>
      <c r="B79" s="132" t="s">
        <v>14</v>
      </c>
      <c r="C79" s="135" t="s">
        <v>3</v>
      </c>
      <c r="D79" s="136">
        <v>1.02</v>
      </c>
      <c r="E79" s="137">
        <v>0</v>
      </c>
      <c r="F79" s="149">
        <f>194.9*D79</f>
        <v>198.798</v>
      </c>
      <c r="G79" s="78"/>
      <c r="H79" s="78"/>
      <c r="I79" s="85"/>
      <c r="J79" s="85"/>
      <c r="K79" s="90" t="s">
        <v>43</v>
      </c>
    </row>
    <row r="80" spans="1:11" s="122" customFormat="1" ht="27.6" x14ac:dyDescent="0.25">
      <c r="A80" s="131"/>
      <c r="B80" s="132" t="s">
        <v>17</v>
      </c>
      <c r="C80" s="135" t="s">
        <v>3</v>
      </c>
      <c r="D80" s="136">
        <f>4.1/1.02</f>
        <v>4.0196078431372548</v>
      </c>
      <c r="E80" s="134" t="e">
        <f>SUM(#REF!)*D80/1000</f>
        <v>#REF!</v>
      </c>
      <c r="F80" s="134">
        <f>D80*SUM(F76:F79)/1000</f>
        <v>1.6301600000000001</v>
      </c>
      <c r="G80" s="134"/>
      <c r="H80" s="85"/>
      <c r="I80" s="85"/>
      <c r="J80" s="85"/>
      <c r="K80" s="90" t="s">
        <v>43</v>
      </c>
    </row>
    <row r="81" spans="1:11" s="122" customFormat="1" x14ac:dyDescent="0.25">
      <c r="A81" s="126"/>
      <c r="B81" s="148" t="s">
        <v>117</v>
      </c>
      <c r="C81" s="128" t="s">
        <v>2</v>
      </c>
      <c r="D81" s="128"/>
      <c r="E81" s="78">
        <v>0</v>
      </c>
      <c r="F81" s="78">
        <v>5.57</v>
      </c>
      <c r="G81" s="78"/>
      <c r="H81" s="78"/>
      <c r="I81" s="78"/>
      <c r="J81" s="85"/>
      <c r="K81" s="78"/>
    </row>
    <row r="82" spans="1:11" s="122" customFormat="1" ht="27.6" x14ac:dyDescent="0.25">
      <c r="A82" s="131"/>
      <c r="B82" s="132" t="s">
        <v>76</v>
      </c>
      <c r="C82" s="133" t="s">
        <v>2</v>
      </c>
      <c r="D82" s="133">
        <v>1.01</v>
      </c>
      <c r="E82" s="134">
        <f>E81*1.02</f>
        <v>0</v>
      </c>
      <c r="F82" s="134">
        <f>F81*D82</f>
        <v>5.6257000000000001</v>
      </c>
      <c r="G82" s="134"/>
      <c r="H82" s="85"/>
      <c r="I82" s="85"/>
      <c r="J82" s="85"/>
      <c r="K82" s="90" t="s">
        <v>43</v>
      </c>
    </row>
    <row r="83" spans="1:11" s="122" customFormat="1" ht="27.6" x14ac:dyDescent="0.25">
      <c r="A83" s="131"/>
      <c r="B83" s="132" t="s">
        <v>118</v>
      </c>
      <c r="C83" s="135" t="s">
        <v>3</v>
      </c>
      <c r="D83" s="136">
        <v>1.02</v>
      </c>
      <c r="E83" s="137">
        <v>0</v>
      </c>
      <c r="F83" s="149">
        <f>112.6*D83</f>
        <v>114.85199999999999</v>
      </c>
      <c r="G83" s="78"/>
      <c r="H83" s="78"/>
      <c r="I83" s="85"/>
      <c r="J83" s="85"/>
      <c r="K83" s="90" t="s">
        <v>43</v>
      </c>
    </row>
    <row r="84" spans="1:11" s="122" customFormat="1" ht="27.6" x14ac:dyDescent="0.25">
      <c r="A84" s="131"/>
      <c r="B84" s="132" t="s">
        <v>56</v>
      </c>
      <c r="C84" s="135" t="s">
        <v>3</v>
      </c>
      <c r="D84" s="136">
        <v>1.02</v>
      </c>
      <c r="E84" s="137">
        <v>0</v>
      </c>
      <c r="F84" s="149">
        <f>61*D84</f>
        <v>62.22</v>
      </c>
      <c r="G84" s="78"/>
      <c r="H84" s="78"/>
      <c r="I84" s="85"/>
      <c r="J84" s="85"/>
      <c r="K84" s="90" t="s">
        <v>43</v>
      </c>
    </row>
    <row r="85" spans="1:11" s="122" customFormat="1" ht="27.6" x14ac:dyDescent="0.25">
      <c r="A85" s="131"/>
      <c r="B85" s="132" t="s">
        <v>13</v>
      </c>
      <c r="C85" s="135" t="s">
        <v>3</v>
      </c>
      <c r="D85" s="136">
        <v>1.02</v>
      </c>
      <c r="E85" s="137">
        <v>0</v>
      </c>
      <c r="F85" s="149">
        <f>542.6*D85</f>
        <v>553.452</v>
      </c>
      <c r="G85" s="78"/>
      <c r="H85" s="78"/>
      <c r="I85" s="85"/>
      <c r="J85" s="85"/>
      <c r="K85" s="90" t="s">
        <v>43</v>
      </c>
    </row>
    <row r="86" spans="1:11" s="122" customFormat="1" ht="27.6" x14ac:dyDescent="0.25">
      <c r="A86" s="131"/>
      <c r="B86" s="132" t="s">
        <v>14</v>
      </c>
      <c r="C86" s="135" t="s">
        <v>3</v>
      </c>
      <c r="D86" s="136">
        <v>1.02</v>
      </c>
      <c r="E86" s="137">
        <v>0</v>
      </c>
      <c r="F86" s="149">
        <f>40.3*D86</f>
        <v>41.105999999999995</v>
      </c>
      <c r="G86" s="78"/>
      <c r="H86" s="78"/>
      <c r="I86" s="85"/>
      <c r="J86" s="85"/>
      <c r="K86" s="90" t="s">
        <v>43</v>
      </c>
    </row>
    <row r="87" spans="1:11" s="122" customFormat="1" ht="27.6" x14ac:dyDescent="0.25">
      <c r="A87" s="131"/>
      <c r="B87" s="132" t="s">
        <v>15</v>
      </c>
      <c r="C87" s="135" t="s">
        <v>3</v>
      </c>
      <c r="D87" s="136">
        <v>1.02</v>
      </c>
      <c r="E87" s="137">
        <v>0</v>
      </c>
      <c r="F87" s="149">
        <f>346*D87</f>
        <v>352.92</v>
      </c>
      <c r="G87" s="78"/>
      <c r="H87" s="78"/>
      <c r="I87" s="85"/>
      <c r="J87" s="85"/>
      <c r="K87" s="90" t="s">
        <v>43</v>
      </c>
    </row>
    <row r="88" spans="1:11" s="122" customFormat="1" ht="27.6" x14ac:dyDescent="0.25">
      <c r="A88" s="131"/>
      <c r="B88" s="132" t="s">
        <v>17</v>
      </c>
      <c r="C88" s="135" t="s">
        <v>3</v>
      </c>
      <c r="D88" s="136">
        <f>4.1/1.02</f>
        <v>4.0196078431372548</v>
      </c>
      <c r="E88" s="134" t="e">
        <f>SUM(#REF!)*D88/1000</f>
        <v>#REF!</v>
      </c>
      <c r="F88" s="134">
        <f>D88*SUM(F83:F87)/1000</f>
        <v>4.5202499999999999</v>
      </c>
      <c r="G88" s="134"/>
      <c r="H88" s="85"/>
      <c r="I88" s="85"/>
      <c r="J88" s="85"/>
      <c r="K88" s="90" t="s">
        <v>43</v>
      </c>
    </row>
    <row r="89" spans="1:11" s="3" customFormat="1" x14ac:dyDescent="0.25">
      <c r="A89" s="40"/>
      <c r="B89" s="124" t="s">
        <v>28</v>
      </c>
      <c r="C89" s="40"/>
      <c r="D89" s="40"/>
      <c r="E89" s="11"/>
      <c r="F89" s="78"/>
      <c r="G89" s="11"/>
      <c r="H89" s="11"/>
      <c r="I89" s="11"/>
      <c r="J89" s="11"/>
      <c r="K89" s="11"/>
    </row>
    <row r="90" spans="1:11" s="12" customFormat="1" x14ac:dyDescent="0.25">
      <c r="A90" s="88"/>
      <c r="B90" s="80" t="s">
        <v>109</v>
      </c>
      <c r="C90" s="76" t="s">
        <v>59</v>
      </c>
      <c r="D90" s="77"/>
      <c r="E90" s="78">
        <v>0</v>
      </c>
      <c r="F90" s="78">
        <f>8.8*3.5</f>
        <v>30.800000000000004</v>
      </c>
      <c r="G90" s="78"/>
      <c r="H90" s="78"/>
      <c r="I90" s="78"/>
      <c r="J90" s="78"/>
      <c r="K90" s="78"/>
    </row>
    <row r="91" spans="1:11" s="12" customFormat="1" ht="27.6" x14ac:dyDescent="0.25">
      <c r="A91" s="89"/>
      <c r="B91" s="82" t="s">
        <v>70</v>
      </c>
      <c r="C91" s="87" t="s">
        <v>59</v>
      </c>
      <c r="D91" s="84">
        <v>1.02</v>
      </c>
      <c r="E91" s="85">
        <v>0</v>
      </c>
      <c r="F91" s="85">
        <f>F90*D91</f>
        <v>31.416000000000004</v>
      </c>
      <c r="G91" s="85"/>
      <c r="H91" s="85"/>
      <c r="I91" s="85"/>
      <c r="J91" s="85"/>
      <c r="K91" s="90" t="s">
        <v>43</v>
      </c>
    </row>
    <row r="92" spans="1:11" s="3" customFormat="1" ht="54" x14ac:dyDescent="0.25">
      <c r="A92" s="96"/>
      <c r="B92" s="39" t="s">
        <v>120</v>
      </c>
      <c r="C92" s="40" t="s">
        <v>2</v>
      </c>
      <c r="D92" s="40"/>
      <c r="E92" s="11">
        <v>0</v>
      </c>
      <c r="F92" s="78">
        <v>123</v>
      </c>
      <c r="G92" s="11"/>
      <c r="H92" s="11"/>
      <c r="I92" s="11"/>
      <c r="J92" s="11"/>
      <c r="K92" s="11"/>
    </row>
    <row r="93" spans="1:11" s="3" customFormat="1" ht="36" x14ac:dyDescent="0.25">
      <c r="A93" s="91"/>
      <c r="B93" s="39" t="s">
        <v>83</v>
      </c>
      <c r="C93" s="40" t="s">
        <v>2</v>
      </c>
      <c r="D93" s="40"/>
      <c r="E93" s="11">
        <v>0</v>
      </c>
      <c r="F93" s="78">
        <v>5.39</v>
      </c>
      <c r="G93" s="78"/>
      <c r="H93" s="11"/>
      <c r="I93" s="11"/>
      <c r="J93" s="11"/>
      <c r="K93" s="11"/>
    </row>
    <row r="94" spans="1:11" s="3" customFormat="1" ht="27.6" x14ac:dyDescent="0.25">
      <c r="A94" s="91"/>
      <c r="B94" s="23" t="str">
        <f>B36</f>
        <v>Бетон С32/40 Р4 W8 F200</v>
      </c>
      <c r="C94" s="41" t="s">
        <v>2</v>
      </c>
      <c r="D94" s="41">
        <v>1.01</v>
      </c>
      <c r="E94" s="26">
        <f>E92*D94</f>
        <v>0</v>
      </c>
      <c r="F94" s="134">
        <f>F92*D94</f>
        <v>124.23</v>
      </c>
      <c r="G94" s="42"/>
      <c r="H94" s="1"/>
      <c r="I94" s="1"/>
      <c r="J94" s="11"/>
      <c r="K94" s="92" t="s">
        <v>43</v>
      </c>
    </row>
    <row r="95" spans="1:11" s="3" customFormat="1" ht="27.6" x14ac:dyDescent="0.25">
      <c r="A95" s="91"/>
      <c r="B95" s="23" t="s">
        <v>6</v>
      </c>
      <c r="C95" s="24" t="s">
        <v>3</v>
      </c>
      <c r="D95" s="25">
        <v>1.02</v>
      </c>
      <c r="E95" s="26">
        <f>250*E92</f>
        <v>0</v>
      </c>
      <c r="F95" s="134">
        <f>250*F92</f>
        <v>30750</v>
      </c>
      <c r="G95" s="42"/>
      <c r="H95" s="1"/>
      <c r="I95" s="1"/>
      <c r="J95" s="11"/>
      <c r="K95" s="92" t="s">
        <v>43</v>
      </c>
    </row>
    <row r="96" spans="1:11" s="3" customFormat="1" ht="27.6" x14ac:dyDescent="0.25">
      <c r="A96" s="91"/>
      <c r="B96" s="23" t="s">
        <v>30</v>
      </c>
      <c r="C96" s="24" t="s">
        <v>3</v>
      </c>
      <c r="D96" s="25">
        <f>4.1/1.02</f>
        <v>4.0196078431372548</v>
      </c>
      <c r="E96" s="26">
        <f>SUM(E95:E95)*D96/1000</f>
        <v>0</v>
      </c>
      <c r="F96" s="134">
        <f>D96*F95/1000</f>
        <v>123.60294117647059</v>
      </c>
      <c r="G96" s="42"/>
      <c r="H96" s="1"/>
      <c r="I96" s="1"/>
      <c r="J96" s="11"/>
      <c r="K96" s="92" t="s">
        <v>43</v>
      </c>
    </row>
    <row r="97" spans="1:12" s="12" customFormat="1" x14ac:dyDescent="0.25">
      <c r="A97" s="88"/>
      <c r="B97" s="80" t="s">
        <v>109</v>
      </c>
      <c r="C97" s="76" t="s">
        <v>59</v>
      </c>
      <c r="D97" s="77"/>
      <c r="E97" s="78">
        <v>0</v>
      </c>
      <c r="F97" s="78">
        <f>18.25*0.2</f>
        <v>3.6500000000000004</v>
      </c>
      <c r="G97" s="78"/>
      <c r="H97" s="78"/>
      <c r="I97" s="78"/>
      <c r="J97" s="78"/>
      <c r="K97" s="78"/>
    </row>
    <row r="98" spans="1:12" s="12" customFormat="1" ht="27.6" x14ac:dyDescent="0.25">
      <c r="A98" s="89"/>
      <c r="B98" s="82" t="s">
        <v>70</v>
      </c>
      <c r="C98" s="87" t="s">
        <v>59</v>
      </c>
      <c r="D98" s="84">
        <v>1.02</v>
      </c>
      <c r="E98" s="85">
        <v>0</v>
      </c>
      <c r="F98" s="85">
        <f>F97*D98</f>
        <v>3.7230000000000003</v>
      </c>
      <c r="G98" s="85"/>
      <c r="H98" s="85"/>
      <c r="I98" s="85"/>
      <c r="J98" s="85"/>
      <c r="K98" s="90" t="s">
        <v>43</v>
      </c>
    </row>
    <row r="99" spans="1:12" s="3" customFormat="1" ht="36" x14ac:dyDescent="0.25">
      <c r="A99" s="96"/>
      <c r="B99" s="39" t="s">
        <v>27</v>
      </c>
      <c r="C99" s="40" t="s">
        <v>2</v>
      </c>
      <c r="D99" s="40"/>
      <c r="E99" s="11">
        <v>0</v>
      </c>
      <c r="F99" s="78">
        <v>260</v>
      </c>
      <c r="G99" s="11"/>
      <c r="H99" s="11"/>
      <c r="I99" s="11"/>
      <c r="J99" s="11"/>
      <c r="K99" s="11"/>
    </row>
    <row r="100" spans="1:12" s="3" customFormat="1" x14ac:dyDescent="0.25">
      <c r="A100" s="91"/>
      <c r="B100" s="48" t="s">
        <v>78</v>
      </c>
      <c r="C100" s="40" t="s">
        <v>2</v>
      </c>
      <c r="D100" s="40"/>
      <c r="E100" s="11">
        <v>0</v>
      </c>
      <c r="F100" s="78">
        <v>3.08</v>
      </c>
      <c r="G100" s="78"/>
      <c r="H100" s="11"/>
      <c r="I100" s="11"/>
      <c r="J100" s="11"/>
      <c r="K100" s="11"/>
    </row>
    <row r="101" spans="1:12" s="3" customFormat="1" x14ac:dyDescent="0.25">
      <c r="A101" s="91"/>
      <c r="B101" s="48" t="s">
        <v>79</v>
      </c>
      <c r="C101" s="40" t="s">
        <v>2</v>
      </c>
      <c r="D101" s="40"/>
      <c r="E101" s="11">
        <v>0</v>
      </c>
      <c r="F101" s="78">
        <v>0.54</v>
      </c>
      <c r="G101" s="78"/>
      <c r="H101" s="11"/>
      <c r="I101" s="11"/>
      <c r="J101" s="11"/>
      <c r="K101" s="11"/>
    </row>
    <row r="102" spans="1:12" s="3" customFormat="1" ht="27.6" x14ac:dyDescent="0.25">
      <c r="A102" s="91"/>
      <c r="B102" s="23" t="s">
        <v>76</v>
      </c>
      <c r="C102" s="41" t="s">
        <v>2</v>
      </c>
      <c r="D102" s="41">
        <v>1.01</v>
      </c>
      <c r="E102" s="26">
        <f>E99*1.02</f>
        <v>0</v>
      </c>
      <c r="F102" s="134">
        <f>F99*D102</f>
        <v>262.60000000000002</v>
      </c>
      <c r="G102" s="42"/>
      <c r="H102" s="1"/>
      <c r="I102" s="1"/>
      <c r="J102" s="11"/>
      <c r="K102" s="92" t="s">
        <v>43</v>
      </c>
    </row>
    <row r="103" spans="1:12" s="3" customFormat="1" ht="27.6" x14ac:dyDescent="0.25">
      <c r="A103" s="91"/>
      <c r="B103" s="111" t="s">
        <v>6</v>
      </c>
      <c r="C103" s="24" t="s">
        <v>3</v>
      </c>
      <c r="D103" s="25">
        <v>1.02</v>
      </c>
      <c r="E103" s="26">
        <f>E99*D103*150</f>
        <v>0</v>
      </c>
      <c r="F103" s="134">
        <f>F99*D103*150</f>
        <v>39780</v>
      </c>
      <c r="G103" s="42"/>
      <c r="H103" s="1"/>
      <c r="I103" s="1"/>
      <c r="J103" s="11"/>
      <c r="K103" s="92" t="s">
        <v>43</v>
      </c>
    </row>
    <row r="104" spans="1:12" s="45" customFormat="1" ht="27.6" x14ac:dyDescent="0.25">
      <c r="A104" s="91"/>
      <c r="B104" s="23" t="s">
        <v>17</v>
      </c>
      <c r="C104" s="24" t="s">
        <v>3</v>
      </c>
      <c r="D104" s="25">
        <f>4.1/1.02</f>
        <v>4.0196078431372548</v>
      </c>
      <c r="E104" s="26">
        <f>E103*D104/1000</f>
        <v>0</v>
      </c>
      <c r="F104" s="134">
        <f>F103*D104/1000</f>
        <v>159.9</v>
      </c>
      <c r="G104" s="42"/>
      <c r="H104" s="1"/>
      <c r="I104" s="1"/>
      <c r="J104" s="11"/>
      <c r="K104" s="92" t="s">
        <v>43</v>
      </c>
      <c r="L104" s="3"/>
    </row>
    <row r="105" spans="1:12" s="3" customFormat="1" x14ac:dyDescent="0.25">
      <c r="A105" s="96"/>
      <c r="B105" s="125" t="s">
        <v>32</v>
      </c>
      <c r="C105" s="43"/>
      <c r="D105" s="43"/>
      <c r="E105" s="42"/>
      <c r="F105" s="151"/>
      <c r="G105" s="42"/>
      <c r="H105" s="11"/>
      <c r="I105" s="11"/>
      <c r="J105" s="11"/>
      <c r="K105" s="11"/>
      <c r="L105" s="45"/>
    </row>
    <row r="106" spans="1:12" s="12" customFormat="1" x14ac:dyDescent="0.25">
      <c r="A106" s="88"/>
      <c r="B106" s="80" t="s">
        <v>109</v>
      </c>
      <c r="C106" s="76" t="s">
        <v>59</v>
      </c>
      <c r="D106" s="77"/>
      <c r="E106" s="78">
        <v>0</v>
      </c>
      <c r="F106" s="78">
        <f>8.8*3.1*2</f>
        <v>54.560000000000009</v>
      </c>
      <c r="G106" s="78"/>
      <c r="H106" s="78"/>
      <c r="I106" s="78"/>
      <c r="J106" s="78"/>
      <c r="K106" s="78"/>
    </row>
    <row r="107" spans="1:12" s="12" customFormat="1" ht="27.6" x14ac:dyDescent="0.25">
      <c r="A107" s="89"/>
      <c r="B107" s="82" t="s">
        <v>70</v>
      </c>
      <c r="C107" s="87" t="s">
        <v>59</v>
      </c>
      <c r="D107" s="84">
        <v>1.02</v>
      </c>
      <c r="E107" s="85">
        <v>0</v>
      </c>
      <c r="F107" s="85">
        <f>F106*D107</f>
        <v>55.65120000000001</v>
      </c>
      <c r="G107" s="85"/>
      <c r="H107" s="85"/>
      <c r="I107" s="85"/>
      <c r="J107" s="85"/>
      <c r="K107" s="90" t="s">
        <v>43</v>
      </c>
    </row>
    <row r="108" spans="1:12" s="3" customFormat="1" ht="54" x14ac:dyDescent="0.25">
      <c r="A108" s="96"/>
      <c r="B108" s="39" t="s">
        <v>121</v>
      </c>
      <c r="C108" s="44"/>
      <c r="D108" s="44"/>
      <c r="E108" s="11">
        <v>0</v>
      </c>
      <c r="F108" s="78">
        <f>109.6*2</f>
        <v>219.2</v>
      </c>
      <c r="G108" s="11"/>
      <c r="H108" s="11"/>
      <c r="I108" s="11"/>
      <c r="J108" s="11"/>
      <c r="K108" s="11"/>
    </row>
    <row r="109" spans="1:12" s="3" customFormat="1" ht="36" x14ac:dyDescent="0.25">
      <c r="A109" s="91"/>
      <c r="B109" s="39" t="s">
        <v>83</v>
      </c>
      <c r="C109" s="40" t="s">
        <v>2</v>
      </c>
      <c r="D109" s="40"/>
      <c r="E109" s="11">
        <v>0</v>
      </c>
      <c r="F109" s="78">
        <f>5.39*2</f>
        <v>10.78</v>
      </c>
      <c r="G109" s="78"/>
      <c r="H109" s="11"/>
      <c r="I109" s="11"/>
      <c r="J109" s="11"/>
      <c r="K109" s="11"/>
    </row>
    <row r="110" spans="1:12" s="3" customFormat="1" ht="27.6" x14ac:dyDescent="0.25">
      <c r="A110" s="91"/>
      <c r="B110" s="23" t="str">
        <f>B94</f>
        <v>Бетон С32/40 Р4 W8 F200</v>
      </c>
      <c r="C110" s="41" t="s">
        <v>2</v>
      </c>
      <c r="D110" s="41">
        <v>1.01</v>
      </c>
      <c r="E110" s="26">
        <f>E108*1.02</f>
        <v>0</v>
      </c>
      <c r="F110" s="134">
        <f>F108*D110</f>
        <v>221.392</v>
      </c>
      <c r="G110" s="26"/>
      <c r="H110" s="22"/>
      <c r="I110" s="22"/>
      <c r="J110" s="1"/>
      <c r="K110" s="92" t="s">
        <v>43</v>
      </c>
    </row>
    <row r="111" spans="1:12" s="3" customFormat="1" ht="27.6" x14ac:dyDescent="0.25">
      <c r="A111" s="91"/>
      <c r="B111" s="23" t="s">
        <v>6</v>
      </c>
      <c r="C111" s="24" t="s">
        <v>3</v>
      </c>
      <c r="D111" s="25">
        <v>1.02</v>
      </c>
      <c r="E111" s="26">
        <f>E108*250*D111</f>
        <v>0</v>
      </c>
      <c r="F111" s="134">
        <f>F108*250*D111</f>
        <v>55896</v>
      </c>
      <c r="G111" s="42"/>
      <c r="H111" s="1"/>
      <c r="I111" s="1"/>
      <c r="J111" s="1"/>
      <c r="K111" s="92" t="s">
        <v>43</v>
      </c>
    </row>
    <row r="112" spans="1:12" s="3" customFormat="1" ht="27.6" x14ac:dyDescent="0.25">
      <c r="A112" s="91"/>
      <c r="B112" s="23" t="s">
        <v>30</v>
      </c>
      <c r="C112" s="24" t="s">
        <v>3</v>
      </c>
      <c r="D112" s="25">
        <f>4.1/1.02</f>
        <v>4.0196078431372548</v>
      </c>
      <c r="E112" s="26">
        <f>SUM(E111:E111)*D112/1000</f>
        <v>0</v>
      </c>
      <c r="F112" s="134">
        <f>D112*F111/1000</f>
        <v>224.68</v>
      </c>
      <c r="G112" s="42"/>
      <c r="H112" s="1"/>
      <c r="I112" s="1"/>
      <c r="J112" s="1"/>
      <c r="K112" s="92" t="s">
        <v>43</v>
      </c>
    </row>
    <row r="113" spans="1:11" s="12" customFormat="1" x14ac:dyDescent="0.25">
      <c r="A113" s="88"/>
      <c r="B113" s="80" t="s">
        <v>109</v>
      </c>
      <c r="C113" s="76" t="s">
        <v>59</v>
      </c>
      <c r="D113" s="77"/>
      <c r="E113" s="78">
        <v>0</v>
      </c>
      <c r="F113" s="78">
        <f>18.25*0.2*2</f>
        <v>7.3000000000000007</v>
      </c>
      <c r="G113" s="78"/>
      <c r="H113" s="78"/>
      <c r="I113" s="78"/>
      <c r="J113" s="78"/>
      <c r="K113" s="78"/>
    </row>
    <row r="114" spans="1:11" s="12" customFormat="1" ht="27.6" x14ac:dyDescent="0.25">
      <c r="A114" s="89"/>
      <c r="B114" s="82" t="s">
        <v>70</v>
      </c>
      <c r="C114" s="87" t="s">
        <v>59</v>
      </c>
      <c r="D114" s="84">
        <v>1.02</v>
      </c>
      <c r="E114" s="85">
        <v>0</v>
      </c>
      <c r="F114" s="85">
        <f>F113*D114</f>
        <v>7.4460000000000006</v>
      </c>
      <c r="G114" s="85"/>
      <c r="H114" s="85"/>
      <c r="I114" s="85"/>
      <c r="J114" s="85"/>
      <c r="K114" s="90" t="s">
        <v>43</v>
      </c>
    </row>
    <row r="115" spans="1:11" s="3" customFormat="1" ht="36" x14ac:dyDescent="0.25">
      <c r="A115" s="96"/>
      <c r="B115" s="39" t="s">
        <v>27</v>
      </c>
      <c r="C115" s="40" t="s">
        <v>2</v>
      </c>
      <c r="D115" s="40"/>
      <c r="E115" s="11">
        <v>0</v>
      </c>
      <c r="F115" s="78">
        <f>260*2</f>
        <v>520</v>
      </c>
      <c r="G115" s="11"/>
      <c r="H115" s="11"/>
      <c r="I115" s="11"/>
      <c r="J115" s="1"/>
      <c r="K115" s="11"/>
    </row>
    <row r="116" spans="1:11" s="3" customFormat="1" x14ac:dyDescent="0.25">
      <c r="A116" s="91"/>
      <c r="B116" s="48" t="s">
        <v>78</v>
      </c>
      <c r="C116" s="40" t="s">
        <v>2</v>
      </c>
      <c r="D116" s="40"/>
      <c r="E116" s="11">
        <v>0</v>
      </c>
      <c r="F116" s="78">
        <f>3.08*2</f>
        <v>6.16</v>
      </c>
      <c r="G116" s="78"/>
      <c r="H116" s="11"/>
      <c r="I116" s="11"/>
      <c r="J116" s="1"/>
      <c r="K116" s="11"/>
    </row>
    <row r="117" spans="1:11" s="3" customFormat="1" x14ac:dyDescent="0.25">
      <c r="A117" s="91"/>
      <c r="B117" s="48" t="s">
        <v>79</v>
      </c>
      <c r="C117" s="40" t="s">
        <v>2</v>
      </c>
      <c r="D117" s="40"/>
      <c r="E117" s="11">
        <v>0</v>
      </c>
      <c r="F117" s="78">
        <f>0.54*2</f>
        <v>1.08</v>
      </c>
      <c r="G117" s="78"/>
      <c r="H117" s="11"/>
      <c r="I117" s="11"/>
      <c r="J117" s="1"/>
      <c r="K117" s="11"/>
    </row>
    <row r="118" spans="1:11" s="3" customFormat="1" ht="27.6" x14ac:dyDescent="0.25">
      <c r="A118" s="91"/>
      <c r="B118" s="23" t="s">
        <v>76</v>
      </c>
      <c r="C118" s="41" t="s">
        <v>2</v>
      </c>
      <c r="D118" s="41">
        <v>1.01</v>
      </c>
      <c r="E118" s="26">
        <f>E115*1.02</f>
        <v>0</v>
      </c>
      <c r="F118" s="134">
        <f>F115*D118</f>
        <v>525.20000000000005</v>
      </c>
      <c r="G118" s="42"/>
      <c r="H118" s="1"/>
      <c r="I118" s="1"/>
      <c r="J118" s="1"/>
      <c r="K118" s="92" t="s">
        <v>43</v>
      </c>
    </row>
    <row r="119" spans="1:11" s="3" customFormat="1" ht="27.6" x14ac:dyDescent="0.25">
      <c r="A119" s="91"/>
      <c r="B119" s="111" t="s">
        <v>6</v>
      </c>
      <c r="C119" s="24" t="s">
        <v>3</v>
      </c>
      <c r="D119" s="25">
        <v>1.02</v>
      </c>
      <c r="E119" s="26">
        <f>E115*D119*150</f>
        <v>0</v>
      </c>
      <c r="F119" s="134">
        <f>F115*D119*150</f>
        <v>79560</v>
      </c>
      <c r="G119" s="42"/>
      <c r="H119" s="1"/>
      <c r="I119" s="1"/>
      <c r="J119" s="1"/>
      <c r="K119" s="92" t="s">
        <v>43</v>
      </c>
    </row>
    <row r="120" spans="1:11" s="3" customFormat="1" ht="27.6" x14ac:dyDescent="0.25">
      <c r="A120" s="91"/>
      <c r="B120" s="111" t="s">
        <v>17</v>
      </c>
      <c r="C120" s="24" t="s">
        <v>3</v>
      </c>
      <c r="D120" s="25">
        <f>4.1/1.02</f>
        <v>4.0196078431372548</v>
      </c>
      <c r="E120" s="26">
        <f>E119*D120/1000</f>
        <v>0</v>
      </c>
      <c r="F120" s="134">
        <f>F119*D120/1000</f>
        <v>319.8</v>
      </c>
      <c r="G120" s="42"/>
      <c r="H120" s="1"/>
      <c r="I120" s="1"/>
      <c r="J120" s="1"/>
      <c r="K120" s="92" t="s">
        <v>43</v>
      </c>
    </row>
    <row r="121" spans="1:11" s="3" customFormat="1" x14ac:dyDescent="0.25">
      <c r="A121" s="96"/>
      <c r="B121" s="125" t="s">
        <v>33</v>
      </c>
      <c r="C121" s="43"/>
      <c r="D121" s="43"/>
      <c r="E121" s="42"/>
      <c r="F121" s="151"/>
      <c r="G121" s="42"/>
      <c r="H121" s="1"/>
      <c r="I121" s="1"/>
      <c r="J121" s="1"/>
      <c r="K121" s="1"/>
    </row>
    <row r="122" spans="1:11" s="12" customFormat="1" x14ac:dyDescent="0.25">
      <c r="A122" s="88"/>
      <c r="B122" s="80" t="s">
        <v>109</v>
      </c>
      <c r="C122" s="76" t="s">
        <v>59</v>
      </c>
      <c r="D122" s="77"/>
      <c r="E122" s="78">
        <v>0</v>
      </c>
      <c r="F122" s="78">
        <f>8.8*3.1*3</f>
        <v>81.840000000000018</v>
      </c>
      <c r="G122" s="78"/>
      <c r="H122" s="78"/>
      <c r="I122" s="78"/>
      <c r="J122" s="78"/>
      <c r="K122" s="78"/>
    </row>
    <row r="123" spans="1:11" s="12" customFormat="1" ht="27.6" x14ac:dyDescent="0.25">
      <c r="A123" s="89"/>
      <c r="B123" s="82" t="s">
        <v>70</v>
      </c>
      <c r="C123" s="87" t="s">
        <v>59</v>
      </c>
      <c r="D123" s="84">
        <v>1.02</v>
      </c>
      <c r="E123" s="85">
        <v>0</v>
      </c>
      <c r="F123" s="85">
        <f>F122*D123</f>
        <v>83.476800000000026</v>
      </c>
      <c r="G123" s="85"/>
      <c r="H123" s="85"/>
      <c r="I123" s="85"/>
      <c r="J123" s="85"/>
      <c r="K123" s="90" t="s">
        <v>43</v>
      </c>
    </row>
    <row r="124" spans="1:11" s="3" customFormat="1" ht="54" x14ac:dyDescent="0.25">
      <c r="A124" s="96"/>
      <c r="B124" s="39" t="s">
        <v>121</v>
      </c>
      <c r="C124" s="44"/>
      <c r="D124" s="44"/>
      <c r="E124" s="11">
        <v>0</v>
      </c>
      <c r="F124" s="78">
        <f>109.6*3</f>
        <v>328.79999999999995</v>
      </c>
      <c r="G124" s="11"/>
      <c r="H124" s="11"/>
      <c r="I124" s="11"/>
      <c r="J124" s="11"/>
      <c r="K124" s="11"/>
    </row>
    <row r="125" spans="1:11" s="3" customFormat="1" ht="36" x14ac:dyDescent="0.25">
      <c r="A125" s="91"/>
      <c r="B125" s="39" t="s">
        <v>83</v>
      </c>
      <c r="C125" s="40" t="s">
        <v>2</v>
      </c>
      <c r="D125" s="40"/>
      <c r="E125" s="11">
        <v>0</v>
      </c>
      <c r="F125" s="78">
        <f>5.39*3</f>
        <v>16.169999999999998</v>
      </c>
      <c r="G125" s="78"/>
      <c r="H125" s="11"/>
      <c r="I125" s="11"/>
      <c r="J125" s="11"/>
      <c r="K125" s="11"/>
    </row>
    <row r="126" spans="1:11" s="3" customFormat="1" ht="27.6" x14ac:dyDescent="0.25">
      <c r="A126" s="91"/>
      <c r="B126" s="23" t="s">
        <v>76</v>
      </c>
      <c r="C126" s="46" t="s">
        <v>2</v>
      </c>
      <c r="D126" s="41">
        <v>1.01</v>
      </c>
      <c r="E126" s="26">
        <f>E124*1.02</f>
        <v>0</v>
      </c>
      <c r="F126" s="134">
        <f>F124*D126</f>
        <v>332.08799999999997</v>
      </c>
      <c r="G126" s="42"/>
      <c r="H126" s="1"/>
      <c r="I126" s="1"/>
      <c r="J126" s="1"/>
      <c r="K126" s="92" t="s">
        <v>43</v>
      </c>
    </row>
    <row r="127" spans="1:11" s="3" customFormat="1" ht="27.6" x14ac:dyDescent="0.25">
      <c r="A127" s="91"/>
      <c r="B127" s="23" t="s">
        <v>6</v>
      </c>
      <c r="C127" s="24" t="s">
        <v>3</v>
      </c>
      <c r="D127" s="25">
        <v>1.02</v>
      </c>
      <c r="E127" s="26">
        <f>E124*200*D127</f>
        <v>0</v>
      </c>
      <c r="F127" s="134">
        <f>F124*200*D127</f>
        <v>67075.199999999983</v>
      </c>
      <c r="G127" s="42"/>
      <c r="H127" s="1"/>
      <c r="I127" s="1"/>
      <c r="J127" s="1"/>
      <c r="K127" s="92" t="s">
        <v>43</v>
      </c>
    </row>
    <row r="128" spans="1:11" s="3" customFormat="1" ht="27.6" x14ac:dyDescent="0.25">
      <c r="A128" s="91"/>
      <c r="B128" s="23" t="s">
        <v>30</v>
      </c>
      <c r="C128" s="24" t="s">
        <v>3</v>
      </c>
      <c r="D128" s="25">
        <f>4.1/1.02</f>
        <v>4.0196078431372548</v>
      </c>
      <c r="E128" s="26">
        <f>SUM(E127:E127)*D128/1000</f>
        <v>0</v>
      </c>
      <c r="F128" s="134">
        <f>D128*F127/1000</f>
        <v>269.61599999999993</v>
      </c>
      <c r="G128" s="42"/>
      <c r="H128" s="1"/>
      <c r="I128" s="1"/>
      <c r="J128" s="1"/>
      <c r="K128" s="92" t="s">
        <v>43</v>
      </c>
    </row>
    <row r="129" spans="1:11" s="12" customFormat="1" x14ac:dyDescent="0.25">
      <c r="A129" s="88"/>
      <c r="B129" s="80" t="s">
        <v>109</v>
      </c>
      <c r="C129" s="76" t="s">
        <v>59</v>
      </c>
      <c r="D129" s="77"/>
      <c r="E129" s="78">
        <v>0</v>
      </c>
      <c r="F129" s="78">
        <f>18.25*0.2*3</f>
        <v>10.950000000000001</v>
      </c>
      <c r="G129" s="78"/>
      <c r="H129" s="78"/>
      <c r="I129" s="78"/>
      <c r="J129" s="78"/>
      <c r="K129" s="78"/>
    </row>
    <row r="130" spans="1:11" s="12" customFormat="1" ht="27.6" x14ac:dyDescent="0.25">
      <c r="A130" s="89"/>
      <c r="B130" s="82" t="s">
        <v>70</v>
      </c>
      <c r="C130" s="87" t="s">
        <v>59</v>
      </c>
      <c r="D130" s="84">
        <v>1.02</v>
      </c>
      <c r="E130" s="85">
        <v>0</v>
      </c>
      <c r="F130" s="85">
        <f>F129*D130</f>
        <v>11.169</v>
      </c>
      <c r="G130" s="85"/>
      <c r="H130" s="85"/>
      <c r="I130" s="85"/>
      <c r="J130" s="85"/>
      <c r="K130" s="90" t="s">
        <v>43</v>
      </c>
    </row>
    <row r="131" spans="1:11" s="3" customFormat="1" ht="36" x14ac:dyDescent="0.25">
      <c r="A131" s="96"/>
      <c r="B131" s="39" t="s">
        <v>27</v>
      </c>
      <c r="C131" s="40" t="s">
        <v>2</v>
      </c>
      <c r="D131" s="40"/>
      <c r="E131" s="11">
        <v>0</v>
      </c>
      <c r="F131" s="78">
        <f>260*3</f>
        <v>780</v>
      </c>
      <c r="G131" s="11"/>
      <c r="H131" s="11"/>
      <c r="I131" s="11"/>
      <c r="J131" s="1"/>
      <c r="K131" s="11"/>
    </row>
    <row r="132" spans="1:11" s="3" customFormat="1" x14ac:dyDescent="0.25">
      <c r="A132" s="91"/>
      <c r="B132" s="48" t="s">
        <v>78</v>
      </c>
      <c r="C132" s="40" t="s">
        <v>2</v>
      </c>
      <c r="D132" s="40"/>
      <c r="E132" s="11">
        <v>0</v>
      </c>
      <c r="F132" s="78">
        <f>3.08*2</f>
        <v>6.16</v>
      </c>
      <c r="G132" s="78"/>
      <c r="H132" s="11"/>
      <c r="I132" s="11"/>
      <c r="J132" s="1"/>
      <c r="K132" s="11"/>
    </row>
    <row r="133" spans="1:11" s="3" customFormat="1" x14ac:dyDescent="0.25">
      <c r="A133" s="91"/>
      <c r="B133" s="48" t="s">
        <v>79</v>
      </c>
      <c r="C133" s="40" t="s">
        <v>2</v>
      </c>
      <c r="D133" s="40"/>
      <c r="E133" s="11">
        <v>0</v>
      </c>
      <c r="F133" s="78">
        <f>0.54*2</f>
        <v>1.08</v>
      </c>
      <c r="G133" s="78"/>
      <c r="H133" s="11"/>
      <c r="I133" s="11"/>
      <c r="J133" s="1"/>
      <c r="K133" s="11"/>
    </row>
    <row r="134" spans="1:11" s="3" customFormat="1" ht="27.6" x14ac:dyDescent="0.25">
      <c r="A134" s="91"/>
      <c r="B134" s="23" t="s">
        <v>76</v>
      </c>
      <c r="C134" s="41" t="s">
        <v>2</v>
      </c>
      <c r="D134" s="41">
        <v>1.01</v>
      </c>
      <c r="E134" s="26">
        <f>E131*1.02</f>
        <v>0</v>
      </c>
      <c r="F134" s="134">
        <f>F131*D134</f>
        <v>787.8</v>
      </c>
      <c r="G134" s="26"/>
      <c r="H134" s="22"/>
      <c r="I134" s="22"/>
      <c r="J134" s="1"/>
      <c r="K134" s="92" t="s">
        <v>43</v>
      </c>
    </row>
    <row r="135" spans="1:11" s="3" customFormat="1" ht="27.6" x14ac:dyDescent="0.25">
      <c r="A135" s="91"/>
      <c r="B135" s="23" t="s">
        <v>6</v>
      </c>
      <c r="C135" s="24" t="s">
        <v>3</v>
      </c>
      <c r="D135" s="25">
        <v>1.02</v>
      </c>
      <c r="E135" s="26">
        <f>E131*D135*150</f>
        <v>0</v>
      </c>
      <c r="F135" s="134">
        <f>F131*D135*150</f>
        <v>119340</v>
      </c>
      <c r="G135" s="26"/>
      <c r="H135" s="22"/>
      <c r="I135" s="22"/>
      <c r="J135" s="1"/>
      <c r="K135" s="92" t="s">
        <v>43</v>
      </c>
    </row>
    <row r="136" spans="1:11" s="3" customFormat="1" ht="27.6" x14ac:dyDescent="0.25">
      <c r="A136" s="91"/>
      <c r="B136" s="23" t="s">
        <v>17</v>
      </c>
      <c r="C136" s="24" t="s">
        <v>3</v>
      </c>
      <c r="D136" s="25">
        <f>4.1/1.02</f>
        <v>4.0196078431372548</v>
      </c>
      <c r="E136" s="26">
        <f>E135*D136/1000</f>
        <v>0</v>
      </c>
      <c r="F136" s="134">
        <f>F135*D136/1000</f>
        <v>479.7</v>
      </c>
      <c r="G136" s="26"/>
      <c r="H136" s="22"/>
      <c r="I136" s="22"/>
      <c r="J136" s="1"/>
      <c r="K136" s="92" t="s">
        <v>43</v>
      </c>
    </row>
    <row r="137" spans="1:11" s="3" customFormat="1" x14ac:dyDescent="0.25">
      <c r="A137" s="96"/>
      <c r="B137" s="125" t="s">
        <v>34</v>
      </c>
      <c r="C137" s="43"/>
      <c r="D137" s="43"/>
      <c r="E137" s="42"/>
      <c r="F137" s="151"/>
      <c r="G137" s="47"/>
      <c r="H137" s="47"/>
      <c r="I137" s="47"/>
      <c r="J137" s="47"/>
      <c r="K137" s="47"/>
    </row>
    <row r="138" spans="1:11" s="12" customFormat="1" x14ac:dyDescent="0.25">
      <c r="A138" s="88"/>
      <c r="B138" s="80" t="s">
        <v>109</v>
      </c>
      <c r="C138" s="76" t="s">
        <v>59</v>
      </c>
      <c r="D138" s="77"/>
      <c r="E138" s="78">
        <v>0</v>
      </c>
      <c r="F138" s="78">
        <f>8.8*3.1*2</f>
        <v>54.560000000000009</v>
      </c>
      <c r="G138" s="78"/>
      <c r="H138" s="78"/>
      <c r="I138" s="78"/>
      <c r="J138" s="78"/>
      <c r="K138" s="78"/>
    </row>
    <row r="139" spans="1:11" s="12" customFormat="1" ht="27.6" x14ac:dyDescent="0.25">
      <c r="A139" s="89"/>
      <c r="B139" s="82" t="s">
        <v>70</v>
      </c>
      <c r="C139" s="87" t="s">
        <v>59</v>
      </c>
      <c r="D139" s="84">
        <v>1.02</v>
      </c>
      <c r="E139" s="85">
        <v>0</v>
      </c>
      <c r="F139" s="85">
        <f>F138*D139</f>
        <v>55.65120000000001</v>
      </c>
      <c r="G139" s="85"/>
      <c r="H139" s="85"/>
      <c r="I139" s="85"/>
      <c r="J139" s="85"/>
      <c r="K139" s="90" t="s">
        <v>43</v>
      </c>
    </row>
    <row r="140" spans="1:11" s="3" customFormat="1" ht="54" x14ac:dyDescent="0.25">
      <c r="A140" s="96"/>
      <c r="B140" s="39" t="s">
        <v>121</v>
      </c>
      <c r="C140" s="44"/>
      <c r="D140" s="44"/>
      <c r="E140" s="11">
        <v>0</v>
      </c>
      <c r="F140" s="78">
        <f>109.6*2</f>
        <v>219.2</v>
      </c>
      <c r="G140" s="11"/>
      <c r="H140" s="11"/>
      <c r="I140" s="11"/>
      <c r="J140" s="11"/>
      <c r="K140" s="11"/>
    </row>
    <row r="141" spans="1:11" s="3" customFormat="1" ht="36" x14ac:dyDescent="0.25">
      <c r="A141" s="96"/>
      <c r="B141" s="39" t="s">
        <v>83</v>
      </c>
      <c r="C141" s="40" t="s">
        <v>2</v>
      </c>
      <c r="D141" s="40"/>
      <c r="E141" s="11">
        <v>0</v>
      </c>
      <c r="F141" s="78">
        <f>5.39*2</f>
        <v>10.78</v>
      </c>
      <c r="G141" s="78"/>
      <c r="H141" s="11"/>
      <c r="I141" s="11"/>
      <c r="J141" s="11"/>
      <c r="K141" s="11"/>
    </row>
    <row r="142" spans="1:11" s="3" customFormat="1" ht="27.6" x14ac:dyDescent="0.25">
      <c r="A142" s="91"/>
      <c r="B142" s="23" t="s">
        <v>76</v>
      </c>
      <c r="C142" s="41" t="s">
        <v>2</v>
      </c>
      <c r="D142" s="41">
        <v>1.01</v>
      </c>
      <c r="E142" s="26">
        <f>E140*1.02</f>
        <v>0</v>
      </c>
      <c r="F142" s="134">
        <f>F140*D142</f>
        <v>221.392</v>
      </c>
      <c r="G142" s="47"/>
      <c r="H142" s="47"/>
      <c r="I142" s="47"/>
      <c r="J142" s="1"/>
      <c r="K142" s="92" t="s">
        <v>43</v>
      </c>
    </row>
    <row r="143" spans="1:11" s="3" customFormat="1" ht="27.6" x14ac:dyDescent="0.25">
      <c r="A143" s="91"/>
      <c r="B143" s="111" t="s">
        <v>6</v>
      </c>
      <c r="C143" s="24" t="s">
        <v>3</v>
      </c>
      <c r="D143" s="25">
        <v>1.02</v>
      </c>
      <c r="E143" s="26">
        <f>E140*150*D143</f>
        <v>0</v>
      </c>
      <c r="F143" s="134">
        <f>F140*150*D143</f>
        <v>33537.599999999999</v>
      </c>
      <c r="G143" s="47"/>
      <c r="H143" s="47"/>
      <c r="I143" s="47"/>
      <c r="J143" s="1"/>
      <c r="K143" s="92" t="s">
        <v>43</v>
      </c>
    </row>
    <row r="144" spans="1:11" s="3" customFormat="1" ht="27.6" x14ac:dyDescent="0.25">
      <c r="A144" s="91"/>
      <c r="B144" s="23" t="s">
        <v>30</v>
      </c>
      <c r="C144" s="24" t="s">
        <v>3</v>
      </c>
      <c r="D144" s="25">
        <f>4.1/1.02</f>
        <v>4.0196078431372548</v>
      </c>
      <c r="E144" s="26">
        <f>SUM(E143:E143)*D144/1000</f>
        <v>0</v>
      </c>
      <c r="F144" s="134">
        <f>D144*F143/1000</f>
        <v>134.80799999999999</v>
      </c>
      <c r="G144" s="47"/>
      <c r="H144" s="47"/>
      <c r="I144" s="47"/>
      <c r="J144" s="1"/>
      <c r="K144" s="92" t="s">
        <v>43</v>
      </c>
    </row>
    <row r="145" spans="1:11" s="12" customFormat="1" x14ac:dyDescent="0.25">
      <c r="A145" s="88"/>
      <c r="B145" s="80" t="s">
        <v>109</v>
      </c>
      <c r="C145" s="76" t="s">
        <v>59</v>
      </c>
      <c r="D145" s="77"/>
      <c r="E145" s="78">
        <v>0</v>
      </c>
      <c r="F145" s="78">
        <f>18.25*0.2*2</f>
        <v>7.3000000000000007</v>
      </c>
      <c r="G145" s="78"/>
      <c r="H145" s="78"/>
      <c r="I145" s="78"/>
      <c r="J145" s="78"/>
      <c r="K145" s="78"/>
    </row>
    <row r="146" spans="1:11" s="12" customFormat="1" ht="27.6" x14ac:dyDescent="0.25">
      <c r="A146" s="89"/>
      <c r="B146" s="82" t="s">
        <v>70</v>
      </c>
      <c r="C146" s="87" t="s">
        <v>59</v>
      </c>
      <c r="D146" s="84">
        <v>1.02</v>
      </c>
      <c r="E146" s="85">
        <v>0</v>
      </c>
      <c r="F146" s="85">
        <f>F145*D146</f>
        <v>7.4460000000000006</v>
      </c>
      <c r="G146" s="85"/>
      <c r="H146" s="85"/>
      <c r="I146" s="85"/>
      <c r="J146" s="85"/>
      <c r="K146" s="90" t="s">
        <v>43</v>
      </c>
    </row>
    <row r="147" spans="1:11" s="3" customFormat="1" ht="36" x14ac:dyDescent="0.25">
      <c r="A147" s="96"/>
      <c r="B147" s="48" t="s">
        <v>27</v>
      </c>
      <c r="C147" s="40" t="s">
        <v>2</v>
      </c>
      <c r="D147" s="40"/>
      <c r="E147" s="11">
        <v>0</v>
      </c>
      <c r="F147" s="78">
        <f>260*2</f>
        <v>520</v>
      </c>
      <c r="G147" s="11"/>
      <c r="H147" s="11"/>
      <c r="I147" s="11"/>
      <c r="J147" s="11"/>
      <c r="K147" s="11"/>
    </row>
    <row r="148" spans="1:11" s="3" customFormat="1" x14ac:dyDescent="0.25">
      <c r="A148" s="91"/>
      <c r="B148" s="48" t="s">
        <v>78</v>
      </c>
      <c r="C148" s="40" t="s">
        <v>2</v>
      </c>
      <c r="D148" s="40"/>
      <c r="E148" s="11">
        <v>0</v>
      </c>
      <c r="F148" s="78">
        <f>3.08*2</f>
        <v>6.16</v>
      </c>
      <c r="G148" s="78"/>
      <c r="H148" s="11"/>
      <c r="I148" s="11"/>
      <c r="J148" s="1"/>
      <c r="K148" s="11"/>
    </row>
    <row r="149" spans="1:11" s="3" customFormat="1" x14ac:dyDescent="0.25">
      <c r="A149" s="91"/>
      <c r="B149" s="48" t="s">
        <v>79</v>
      </c>
      <c r="C149" s="40" t="s">
        <v>2</v>
      </c>
      <c r="D149" s="40"/>
      <c r="E149" s="11">
        <v>0</v>
      </c>
      <c r="F149" s="78">
        <f>0.54*2</f>
        <v>1.08</v>
      </c>
      <c r="G149" s="78"/>
      <c r="H149" s="11"/>
      <c r="I149" s="11"/>
      <c r="J149" s="1"/>
      <c r="K149" s="11"/>
    </row>
    <row r="150" spans="1:11" s="3" customFormat="1" ht="27.6" x14ac:dyDescent="0.25">
      <c r="A150" s="91"/>
      <c r="B150" s="111" t="s">
        <v>76</v>
      </c>
      <c r="C150" s="41" t="s">
        <v>2</v>
      </c>
      <c r="D150" s="41">
        <v>1.01</v>
      </c>
      <c r="E150" s="26">
        <f>E147*1.02</f>
        <v>0</v>
      </c>
      <c r="F150" s="134">
        <f>F147*D150</f>
        <v>525.20000000000005</v>
      </c>
      <c r="G150" s="49"/>
      <c r="H150" s="49"/>
      <c r="I150" s="50"/>
      <c r="J150" s="1"/>
      <c r="K150" s="92" t="s">
        <v>43</v>
      </c>
    </row>
    <row r="151" spans="1:11" s="3" customFormat="1" ht="27.6" x14ac:dyDescent="0.25">
      <c r="A151" s="91"/>
      <c r="B151" s="111" t="s">
        <v>6</v>
      </c>
      <c r="C151" s="24" t="s">
        <v>3</v>
      </c>
      <c r="D151" s="25">
        <v>1.02</v>
      </c>
      <c r="E151" s="26">
        <f>E147*D151*150</f>
        <v>0</v>
      </c>
      <c r="F151" s="134">
        <f>F147*D151*150</f>
        <v>79560</v>
      </c>
      <c r="G151" s="49"/>
      <c r="H151" s="49"/>
      <c r="I151" s="50"/>
      <c r="J151" s="1"/>
      <c r="K151" s="92" t="s">
        <v>43</v>
      </c>
    </row>
    <row r="152" spans="1:11" s="3" customFormat="1" ht="27.6" x14ac:dyDescent="0.25">
      <c r="A152" s="91"/>
      <c r="B152" s="111" t="s">
        <v>17</v>
      </c>
      <c r="C152" s="24" t="s">
        <v>3</v>
      </c>
      <c r="D152" s="25">
        <f>4.1/1.02</f>
        <v>4.0196078431372548</v>
      </c>
      <c r="E152" s="26">
        <f>E151*D152/1000</f>
        <v>0</v>
      </c>
      <c r="F152" s="134">
        <f>F151*D152/1000</f>
        <v>319.8</v>
      </c>
      <c r="G152" s="49"/>
      <c r="H152" s="49"/>
      <c r="I152" s="50"/>
      <c r="J152" s="1"/>
      <c r="K152" s="92" t="s">
        <v>43</v>
      </c>
    </row>
    <row r="153" spans="1:11" s="3" customFormat="1" x14ac:dyDescent="0.25">
      <c r="A153" s="96"/>
      <c r="B153" s="125" t="s">
        <v>35</v>
      </c>
      <c r="C153" s="43"/>
      <c r="D153" s="43"/>
      <c r="E153" s="42"/>
      <c r="F153" s="151"/>
      <c r="G153" s="47"/>
      <c r="H153" s="47"/>
      <c r="I153" s="47"/>
      <c r="J153" s="47"/>
      <c r="K153" s="47"/>
    </row>
    <row r="154" spans="1:11" s="12" customFormat="1" x14ac:dyDescent="0.25">
      <c r="A154" s="88"/>
      <c r="B154" s="80" t="s">
        <v>109</v>
      </c>
      <c r="C154" s="76" t="s">
        <v>59</v>
      </c>
      <c r="D154" s="77"/>
      <c r="E154" s="78">
        <v>0</v>
      </c>
      <c r="F154" s="78">
        <f>8.8*3.1*9</f>
        <v>245.52000000000004</v>
      </c>
      <c r="G154" s="78"/>
      <c r="H154" s="78"/>
      <c r="I154" s="78"/>
      <c r="J154" s="78"/>
      <c r="K154" s="78"/>
    </row>
    <row r="155" spans="1:11" s="12" customFormat="1" ht="27.6" x14ac:dyDescent="0.25">
      <c r="A155" s="89"/>
      <c r="B155" s="82" t="s">
        <v>70</v>
      </c>
      <c r="C155" s="87" t="s">
        <v>59</v>
      </c>
      <c r="D155" s="84">
        <v>1.02</v>
      </c>
      <c r="E155" s="85">
        <v>0</v>
      </c>
      <c r="F155" s="85">
        <f>F154*D155</f>
        <v>250.43040000000005</v>
      </c>
      <c r="G155" s="85"/>
      <c r="H155" s="85"/>
      <c r="I155" s="85"/>
      <c r="J155" s="85"/>
      <c r="K155" s="90" t="s">
        <v>43</v>
      </c>
    </row>
    <row r="156" spans="1:11" s="3" customFormat="1" ht="54" x14ac:dyDescent="0.25">
      <c r="A156" s="96"/>
      <c r="B156" s="39" t="s">
        <v>121</v>
      </c>
      <c r="C156" s="40" t="s">
        <v>2</v>
      </c>
      <c r="D156" s="44"/>
      <c r="E156" s="11">
        <v>0</v>
      </c>
      <c r="F156" s="78">
        <f>109.6*9</f>
        <v>986.4</v>
      </c>
      <c r="G156" s="11"/>
      <c r="H156" s="11"/>
      <c r="I156" s="11"/>
      <c r="J156" s="11"/>
      <c r="K156" s="11"/>
    </row>
    <row r="157" spans="1:11" s="3" customFormat="1" ht="36" x14ac:dyDescent="0.25">
      <c r="A157" s="91"/>
      <c r="B157" s="39" t="s">
        <v>83</v>
      </c>
      <c r="C157" s="40" t="s">
        <v>2</v>
      </c>
      <c r="D157" s="40"/>
      <c r="E157" s="11">
        <v>0</v>
      </c>
      <c r="F157" s="78">
        <f>5.39*9</f>
        <v>48.51</v>
      </c>
      <c r="G157" s="78"/>
      <c r="H157" s="11"/>
      <c r="I157" s="11"/>
      <c r="J157" s="11"/>
      <c r="K157" s="11"/>
    </row>
    <row r="158" spans="1:11" s="3" customFormat="1" ht="27.6" x14ac:dyDescent="0.25">
      <c r="A158" s="91"/>
      <c r="B158" s="23" t="s">
        <v>76</v>
      </c>
      <c r="C158" s="46" t="s">
        <v>2</v>
      </c>
      <c r="D158" s="41">
        <v>1.01</v>
      </c>
      <c r="E158" s="26">
        <f>E156*1.02</f>
        <v>0</v>
      </c>
      <c r="F158" s="134">
        <f>F156*D158</f>
        <v>996.26400000000001</v>
      </c>
      <c r="G158" s="49"/>
      <c r="H158" s="49"/>
      <c r="I158" s="50"/>
      <c r="J158" s="1"/>
      <c r="K158" s="92" t="s">
        <v>43</v>
      </c>
    </row>
    <row r="159" spans="1:11" s="3" customFormat="1" ht="27.6" x14ac:dyDescent="0.25">
      <c r="A159" s="91"/>
      <c r="B159" s="23" t="s">
        <v>6</v>
      </c>
      <c r="C159" s="24" t="s">
        <v>3</v>
      </c>
      <c r="D159" s="25">
        <v>1.02</v>
      </c>
      <c r="E159" s="26">
        <f>E156*120*D159</f>
        <v>0</v>
      </c>
      <c r="F159" s="134">
        <f>F156*120*D159</f>
        <v>120735.36</v>
      </c>
      <c r="G159" s="49"/>
      <c r="H159" s="49"/>
      <c r="I159" s="50"/>
      <c r="J159" s="1"/>
      <c r="K159" s="92" t="s">
        <v>43</v>
      </c>
    </row>
    <row r="160" spans="1:11" s="3" customFormat="1" ht="27.6" x14ac:dyDescent="0.25">
      <c r="A160" s="91"/>
      <c r="B160" s="23" t="s">
        <v>30</v>
      </c>
      <c r="C160" s="24" t="s">
        <v>3</v>
      </c>
      <c r="D160" s="25">
        <f>4.1/1.02</f>
        <v>4.0196078431372548</v>
      </c>
      <c r="E160" s="26">
        <f>SUM(E159:E159)*D160/1000</f>
        <v>0</v>
      </c>
      <c r="F160" s="134">
        <f>D160*F159/1000</f>
        <v>485.30879999999996</v>
      </c>
      <c r="G160" s="49"/>
      <c r="H160" s="49"/>
      <c r="I160" s="50"/>
      <c r="J160" s="1"/>
      <c r="K160" s="92" t="s">
        <v>43</v>
      </c>
    </row>
    <row r="161" spans="1:12" s="12" customFormat="1" x14ac:dyDescent="0.25">
      <c r="A161" s="88"/>
      <c r="B161" s="80" t="s">
        <v>109</v>
      </c>
      <c r="C161" s="76" t="s">
        <v>59</v>
      </c>
      <c r="D161" s="77"/>
      <c r="E161" s="78">
        <v>0</v>
      </c>
      <c r="F161" s="78">
        <f>18.25*0.2*9</f>
        <v>32.85</v>
      </c>
      <c r="G161" s="78"/>
      <c r="H161" s="78"/>
      <c r="I161" s="78"/>
      <c r="J161" s="78"/>
      <c r="K161" s="78"/>
    </row>
    <row r="162" spans="1:12" s="12" customFormat="1" ht="27.6" x14ac:dyDescent="0.25">
      <c r="A162" s="89"/>
      <c r="B162" s="82" t="s">
        <v>70</v>
      </c>
      <c r="C162" s="87" t="s">
        <v>59</v>
      </c>
      <c r="D162" s="84">
        <v>1.02</v>
      </c>
      <c r="E162" s="85">
        <v>0</v>
      </c>
      <c r="F162" s="85">
        <f>F161*D162</f>
        <v>33.507000000000005</v>
      </c>
      <c r="G162" s="85"/>
      <c r="H162" s="85"/>
      <c r="I162" s="85"/>
      <c r="J162" s="85"/>
      <c r="K162" s="90" t="s">
        <v>43</v>
      </c>
    </row>
    <row r="163" spans="1:12" s="3" customFormat="1" ht="36" x14ac:dyDescent="0.25">
      <c r="A163" s="96"/>
      <c r="B163" s="39" t="s">
        <v>27</v>
      </c>
      <c r="C163" s="40" t="s">
        <v>2</v>
      </c>
      <c r="D163" s="40"/>
      <c r="E163" s="11">
        <v>0</v>
      </c>
      <c r="F163" s="78">
        <f>260*9</f>
        <v>2340</v>
      </c>
      <c r="G163" s="11"/>
      <c r="H163" s="11"/>
      <c r="I163" s="11"/>
      <c r="J163" s="11"/>
      <c r="K163" s="11"/>
    </row>
    <row r="164" spans="1:12" s="3" customFormat="1" x14ac:dyDescent="0.25">
      <c r="A164" s="91"/>
      <c r="B164" s="48" t="s">
        <v>78</v>
      </c>
      <c r="C164" s="40" t="s">
        <v>2</v>
      </c>
      <c r="D164" s="40"/>
      <c r="E164" s="11">
        <v>0</v>
      </c>
      <c r="F164" s="78">
        <f>3.08*9</f>
        <v>27.72</v>
      </c>
      <c r="G164" s="78"/>
      <c r="H164" s="11"/>
      <c r="I164" s="11"/>
      <c r="J164" s="1"/>
      <c r="K164" s="11"/>
    </row>
    <row r="165" spans="1:12" s="3" customFormat="1" x14ac:dyDescent="0.25">
      <c r="A165" s="91"/>
      <c r="B165" s="48" t="s">
        <v>79</v>
      </c>
      <c r="C165" s="40" t="s">
        <v>2</v>
      </c>
      <c r="D165" s="40"/>
      <c r="E165" s="11">
        <v>0</v>
      </c>
      <c r="F165" s="78">
        <f>0.54*9</f>
        <v>4.8600000000000003</v>
      </c>
      <c r="G165" s="78"/>
      <c r="H165" s="11"/>
      <c r="I165" s="11"/>
      <c r="J165" s="1"/>
      <c r="K165" s="11"/>
    </row>
    <row r="166" spans="1:12" s="3" customFormat="1" ht="27.6" x14ac:dyDescent="0.25">
      <c r="A166" s="91"/>
      <c r="B166" s="111" t="s">
        <v>76</v>
      </c>
      <c r="C166" s="41" t="s">
        <v>2</v>
      </c>
      <c r="D166" s="41">
        <v>1.01</v>
      </c>
      <c r="E166" s="26">
        <f>E163*1.02</f>
        <v>0</v>
      </c>
      <c r="F166" s="134">
        <f>F163*D166</f>
        <v>2363.4</v>
      </c>
      <c r="G166" s="47"/>
      <c r="H166" s="47"/>
      <c r="I166" s="47"/>
      <c r="J166" s="1"/>
      <c r="K166" s="92" t="s">
        <v>43</v>
      </c>
    </row>
    <row r="167" spans="1:12" s="3" customFormat="1" ht="27.6" x14ac:dyDescent="0.25">
      <c r="A167" s="91"/>
      <c r="B167" s="111" t="s">
        <v>6</v>
      </c>
      <c r="C167" s="24" t="s">
        <v>3</v>
      </c>
      <c r="D167" s="25">
        <v>1.02</v>
      </c>
      <c r="E167" s="26">
        <f>E163*D167*150</f>
        <v>0</v>
      </c>
      <c r="F167" s="134">
        <f>F163*D167*150</f>
        <v>358020</v>
      </c>
      <c r="G167" s="47"/>
      <c r="H167" s="47"/>
      <c r="I167" s="47"/>
      <c r="J167" s="1"/>
      <c r="K167" s="92" t="s">
        <v>43</v>
      </c>
    </row>
    <row r="168" spans="1:12" s="3" customFormat="1" ht="27.6" x14ac:dyDescent="0.25">
      <c r="A168" s="91"/>
      <c r="B168" s="111" t="s">
        <v>17</v>
      </c>
      <c r="C168" s="24" t="s">
        <v>3</v>
      </c>
      <c r="D168" s="25">
        <f>4.1/1.02</f>
        <v>4.0196078431372548</v>
      </c>
      <c r="E168" s="26">
        <f>E167*D168/1000</f>
        <v>0</v>
      </c>
      <c r="F168" s="134">
        <f>F167*D168/1000</f>
        <v>1439.1</v>
      </c>
      <c r="G168" s="47"/>
      <c r="H168" s="47"/>
      <c r="I168" s="47"/>
      <c r="J168" s="1"/>
      <c r="K168" s="92" t="s">
        <v>43</v>
      </c>
    </row>
    <row r="169" spans="1:12" s="45" customFormat="1" x14ac:dyDescent="0.25">
      <c r="A169" s="96"/>
      <c r="B169" s="51" t="s">
        <v>36</v>
      </c>
      <c r="C169" s="44" t="s">
        <v>2</v>
      </c>
      <c r="D169" s="44"/>
      <c r="E169" s="11">
        <v>0</v>
      </c>
      <c r="F169" s="78">
        <f>109.6/2</f>
        <v>54.8</v>
      </c>
      <c r="G169" s="11"/>
      <c r="H169" s="11"/>
      <c r="I169" s="11"/>
      <c r="J169" s="11"/>
      <c r="K169" s="11"/>
      <c r="L169" s="3"/>
    </row>
    <row r="170" spans="1:12" s="3" customFormat="1" ht="27.6" x14ac:dyDescent="0.25">
      <c r="A170" s="91"/>
      <c r="B170" s="23" t="s">
        <v>75</v>
      </c>
      <c r="C170" s="41" t="s">
        <v>2</v>
      </c>
      <c r="D170" s="41">
        <v>1.01</v>
      </c>
      <c r="E170" s="26">
        <f>E169*1.02</f>
        <v>0</v>
      </c>
      <c r="F170" s="134">
        <f>F169*D170</f>
        <v>55.347999999999999</v>
      </c>
      <c r="G170" s="52"/>
      <c r="H170" s="11"/>
      <c r="I170" s="1"/>
      <c r="J170" s="1"/>
      <c r="K170" s="92" t="s">
        <v>43</v>
      </c>
    </row>
    <row r="171" spans="1:12" s="3" customFormat="1" ht="27.6" x14ac:dyDescent="0.25">
      <c r="A171" s="91"/>
      <c r="B171" s="23" t="s">
        <v>6</v>
      </c>
      <c r="C171" s="24" t="s">
        <v>3</v>
      </c>
      <c r="D171" s="25">
        <v>1.02</v>
      </c>
      <c r="E171" s="26">
        <f>E169*120*D171</f>
        <v>0</v>
      </c>
      <c r="F171" s="134">
        <f>F169*120*D171</f>
        <v>6707.52</v>
      </c>
      <c r="G171" s="52"/>
      <c r="H171" s="11"/>
      <c r="I171" s="1"/>
      <c r="J171" s="1"/>
      <c r="K171" s="92" t="s">
        <v>43</v>
      </c>
    </row>
    <row r="172" spans="1:12" s="3" customFormat="1" ht="27.6" x14ac:dyDescent="0.25">
      <c r="A172" s="91"/>
      <c r="B172" s="23" t="s">
        <v>30</v>
      </c>
      <c r="C172" s="24" t="s">
        <v>3</v>
      </c>
      <c r="D172" s="25">
        <f>4.1/1.02</f>
        <v>4.0196078431372548</v>
      </c>
      <c r="E172" s="26">
        <f>SUM(E171:E171)*D172/1000</f>
        <v>0</v>
      </c>
      <c r="F172" s="134">
        <f>D172*F171/1000</f>
        <v>26.961600000000001</v>
      </c>
      <c r="G172" s="52"/>
      <c r="H172" s="11"/>
      <c r="I172" s="1"/>
      <c r="J172" s="1"/>
      <c r="K172" s="92" t="s">
        <v>43</v>
      </c>
      <c r="L172" s="45"/>
    </row>
    <row r="173" spans="1:12" s="3" customFormat="1" x14ac:dyDescent="0.25">
      <c r="A173" s="96"/>
      <c r="B173" s="17" t="s">
        <v>37</v>
      </c>
      <c r="C173" s="15" t="s">
        <v>2</v>
      </c>
      <c r="D173" s="10"/>
      <c r="E173" s="11">
        <v>0</v>
      </c>
      <c r="F173" s="78">
        <v>25</v>
      </c>
      <c r="G173" s="11"/>
      <c r="H173" s="11"/>
      <c r="I173" s="11"/>
      <c r="J173" s="11"/>
      <c r="K173" s="11"/>
    </row>
    <row r="174" spans="1:12" s="3" customFormat="1" ht="27.6" x14ac:dyDescent="0.25">
      <c r="A174" s="91"/>
      <c r="B174" s="53" t="s">
        <v>75</v>
      </c>
      <c r="C174" s="41" t="s">
        <v>2</v>
      </c>
      <c r="D174" s="41">
        <v>1.01</v>
      </c>
      <c r="E174" s="26">
        <f>E173*D174</f>
        <v>0</v>
      </c>
      <c r="F174" s="134">
        <f>F173*D174</f>
        <v>25.25</v>
      </c>
      <c r="G174" s="26"/>
      <c r="H174" s="22"/>
      <c r="I174" s="22"/>
      <c r="J174" s="1"/>
      <c r="K174" s="92" t="s">
        <v>43</v>
      </c>
    </row>
    <row r="175" spans="1:12" s="3" customFormat="1" ht="27.6" x14ac:dyDescent="0.25">
      <c r="A175" s="91"/>
      <c r="B175" s="23" t="s">
        <v>6</v>
      </c>
      <c r="C175" s="24" t="s">
        <v>3</v>
      </c>
      <c r="D175" s="25">
        <v>1.02</v>
      </c>
      <c r="E175" s="26">
        <v>0</v>
      </c>
      <c r="F175" s="134">
        <f>2.9*D175*1000</f>
        <v>2957.9999999999995</v>
      </c>
      <c r="G175" s="26"/>
      <c r="H175" s="22"/>
      <c r="I175" s="22"/>
      <c r="J175" s="1"/>
      <c r="K175" s="92" t="s">
        <v>43</v>
      </c>
    </row>
    <row r="176" spans="1:12" s="3" customFormat="1" ht="27.6" x14ac:dyDescent="0.25">
      <c r="A176" s="91"/>
      <c r="B176" s="23" t="s">
        <v>31</v>
      </c>
      <c r="C176" s="24" t="s">
        <v>3</v>
      </c>
      <c r="D176" s="25">
        <f>4.1/1.02</f>
        <v>4.0196078431372548</v>
      </c>
      <c r="E176" s="26">
        <f>E175*D176/1000</f>
        <v>0</v>
      </c>
      <c r="F176" s="134">
        <f>F175*D176/1000</f>
        <v>11.889999999999999</v>
      </c>
      <c r="G176" s="26"/>
      <c r="H176" s="22"/>
      <c r="I176" s="22"/>
      <c r="J176" s="1"/>
      <c r="K176" s="92" t="s">
        <v>43</v>
      </c>
    </row>
    <row r="177" spans="1:12" s="3" customFormat="1" x14ac:dyDescent="0.25">
      <c r="A177" s="97"/>
      <c r="B177" s="51" t="s">
        <v>38</v>
      </c>
      <c r="C177" s="40" t="s">
        <v>4</v>
      </c>
      <c r="D177" s="40"/>
      <c r="E177" s="54"/>
      <c r="F177" s="152">
        <v>64</v>
      </c>
      <c r="G177" s="55"/>
      <c r="H177" s="11"/>
      <c r="I177" s="11"/>
      <c r="J177" s="11"/>
      <c r="K177" s="11"/>
    </row>
    <row r="178" spans="1:12" s="3" customFormat="1" ht="36" x14ac:dyDescent="0.25">
      <c r="A178" s="98"/>
      <c r="B178" s="56" t="s">
        <v>49</v>
      </c>
      <c r="C178" s="57" t="s">
        <v>4</v>
      </c>
      <c r="D178" s="40"/>
      <c r="E178" s="54"/>
      <c r="F178" s="153">
        <v>64</v>
      </c>
      <c r="G178" s="55"/>
      <c r="H178" s="11"/>
      <c r="I178" s="22"/>
      <c r="J178" s="1"/>
      <c r="K178" s="92" t="s">
        <v>43</v>
      </c>
    </row>
    <row r="179" spans="1:12" s="3" customFormat="1" ht="27.6" x14ac:dyDescent="0.25">
      <c r="A179" s="98"/>
      <c r="B179" s="59" t="s">
        <v>53</v>
      </c>
      <c r="C179" s="60" t="s">
        <v>4</v>
      </c>
      <c r="D179" s="61"/>
      <c r="E179" s="62"/>
      <c r="F179" s="153">
        <f>64+2</f>
        <v>66</v>
      </c>
      <c r="G179" s="63"/>
      <c r="H179" s="1"/>
      <c r="I179" s="22"/>
      <c r="J179" s="1"/>
      <c r="K179" s="92" t="s">
        <v>43</v>
      </c>
    </row>
    <row r="180" spans="1:12" s="3" customFormat="1" ht="27.6" x14ac:dyDescent="0.25">
      <c r="A180" s="98"/>
      <c r="B180" s="59" t="s">
        <v>48</v>
      </c>
      <c r="C180" s="60" t="s">
        <v>2</v>
      </c>
      <c r="D180" s="61">
        <f>F180/F178</f>
        <v>5.1249999999999997E-2</v>
      </c>
      <c r="E180" s="62"/>
      <c r="F180" s="58">
        <v>3.28</v>
      </c>
      <c r="G180" s="63"/>
      <c r="H180" s="1"/>
      <c r="I180" s="22"/>
      <c r="J180" s="1"/>
      <c r="K180" s="92" t="s">
        <v>43</v>
      </c>
    </row>
    <row r="181" spans="1:12" s="3" customFormat="1" x14ac:dyDescent="0.25">
      <c r="A181" s="65"/>
      <c r="B181" s="64" t="s">
        <v>52</v>
      </c>
      <c r="C181" s="65" t="s">
        <v>4</v>
      </c>
      <c r="D181" s="66" t="s">
        <v>29</v>
      </c>
      <c r="E181" s="67"/>
      <c r="F181" s="68">
        <f>F182+F183</f>
        <v>570</v>
      </c>
      <c r="G181" s="55"/>
      <c r="H181" s="11"/>
      <c r="I181" s="11"/>
      <c r="J181" s="11"/>
      <c r="K181" s="11"/>
    </row>
    <row r="182" spans="1:12" s="3" customFormat="1" ht="27.6" x14ac:dyDescent="0.25">
      <c r="A182" s="99"/>
      <c r="B182" s="59" t="s">
        <v>45</v>
      </c>
      <c r="C182" s="60" t="s">
        <v>47</v>
      </c>
      <c r="D182" s="72">
        <v>1</v>
      </c>
      <c r="E182" s="67"/>
      <c r="F182" s="69">
        <f>2*15</f>
        <v>30</v>
      </c>
      <c r="G182" s="55"/>
      <c r="H182" s="11"/>
      <c r="I182" s="22"/>
      <c r="J182" s="1"/>
      <c r="K182" s="92" t="s">
        <v>43</v>
      </c>
    </row>
    <row r="183" spans="1:12" s="12" customFormat="1" ht="27.6" x14ac:dyDescent="0.25">
      <c r="A183" s="99"/>
      <c r="B183" s="59" t="s">
        <v>46</v>
      </c>
      <c r="C183" s="60" t="s">
        <v>4</v>
      </c>
      <c r="D183" s="72">
        <v>1</v>
      </c>
      <c r="E183" s="67"/>
      <c r="F183" s="69">
        <f>36*15</f>
        <v>540</v>
      </c>
      <c r="G183" s="55"/>
      <c r="H183" s="11"/>
      <c r="I183" s="22"/>
      <c r="J183" s="1"/>
      <c r="K183" s="92" t="s">
        <v>43</v>
      </c>
      <c r="L183" s="3"/>
    </row>
    <row r="184" spans="1:12" s="12" customFormat="1" ht="27.6" x14ac:dyDescent="0.25">
      <c r="A184" s="99"/>
      <c r="B184" s="59" t="s">
        <v>50</v>
      </c>
      <c r="C184" s="60" t="s">
        <v>51</v>
      </c>
      <c r="D184" s="61">
        <v>1.05</v>
      </c>
      <c r="E184" s="67"/>
      <c r="F184" s="69">
        <f>(F183*3.02)+(F182*2.72)*D184</f>
        <v>1716.48</v>
      </c>
      <c r="G184" s="55"/>
      <c r="H184" s="11"/>
      <c r="I184" s="22"/>
      <c r="J184" s="1"/>
      <c r="K184" s="92" t="s">
        <v>43</v>
      </c>
      <c r="L184" s="3"/>
    </row>
    <row r="185" spans="1:12" s="12" customFormat="1" ht="27.6" x14ac:dyDescent="0.25">
      <c r="A185" s="99"/>
      <c r="B185" s="59" t="s">
        <v>48</v>
      </c>
      <c r="C185" s="60" t="s">
        <v>2</v>
      </c>
      <c r="D185" s="100">
        <v>0.01</v>
      </c>
      <c r="E185" s="67"/>
      <c r="F185" s="101">
        <f>F181*D185</f>
        <v>5.7</v>
      </c>
      <c r="G185" s="55"/>
      <c r="H185" s="11"/>
      <c r="I185" s="22"/>
      <c r="J185" s="1"/>
      <c r="K185" s="92" t="s">
        <v>43</v>
      </c>
      <c r="L185" s="3"/>
    </row>
    <row r="186" spans="1:12" s="12" customFormat="1" x14ac:dyDescent="0.35">
      <c r="A186" s="114"/>
      <c r="B186" s="113" t="s">
        <v>99</v>
      </c>
      <c r="C186" s="115"/>
      <c r="D186" s="116"/>
      <c r="E186" s="116"/>
      <c r="F186" s="116"/>
      <c r="G186" s="117"/>
      <c r="H186" s="118"/>
      <c r="I186" s="118"/>
      <c r="J186" s="118"/>
      <c r="K186" s="118"/>
    </row>
    <row r="187" spans="1:12" s="12" customFormat="1" x14ac:dyDescent="0.35">
      <c r="A187" s="14"/>
      <c r="B187" s="79" t="s">
        <v>12</v>
      </c>
      <c r="C187" s="4"/>
      <c r="D187" s="6"/>
      <c r="E187" s="6"/>
      <c r="F187" s="6"/>
      <c r="G187" s="7"/>
      <c r="H187" s="10"/>
      <c r="I187" s="10"/>
      <c r="J187" s="10"/>
      <c r="K187" s="10"/>
    </row>
    <row r="188" spans="1:12" s="12" customFormat="1" x14ac:dyDescent="0.25">
      <c r="A188" s="5"/>
      <c r="B188" s="8" t="s">
        <v>100</v>
      </c>
      <c r="C188" s="9" t="s">
        <v>2</v>
      </c>
      <c r="D188" s="10"/>
      <c r="E188" s="11">
        <v>0</v>
      </c>
      <c r="F188" s="78">
        <v>819</v>
      </c>
      <c r="G188" s="11"/>
      <c r="H188" s="11"/>
      <c r="I188" s="13"/>
      <c r="J188" s="28"/>
      <c r="K188" s="28"/>
    </row>
    <row r="189" spans="1:12" s="12" customFormat="1" ht="36" x14ac:dyDescent="0.25">
      <c r="A189" s="5"/>
      <c r="B189" s="8" t="s">
        <v>101</v>
      </c>
      <c r="C189" s="9" t="s">
        <v>59</v>
      </c>
      <c r="D189" s="10"/>
      <c r="E189" s="11">
        <v>0</v>
      </c>
      <c r="F189" s="78">
        <v>223.85</v>
      </c>
      <c r="G189" s="11"/>
      <c r="H189" s="11"/>
      <c r="I189" s="13"/>
      <c r="J189" s="28"/>
      <c r="K189" s="28"/>
    </row>
    <row r="190" spans="1:12" s="12" customFormat="1" x14ac:dyDescent="0.25">
      <c r="A190" s="16"/>
      <c r="B190" s="17" t="s">
        <v>18</v>
      </c>
      <c r="C190" s="15" t="s">
        <v>2</v>
      </c>
      <c r="D190" s="10"/>
      <c r="E190" s="11"/>
      <c r="F190" s="78">
        <v>22.4</v>
      </c>
      <c r="G190" s="11"/>
      <c r="H190" s="11"/>
      <c r="I190" s="11"/>
      <c r="J190" s="11"/>
      <c r="K190" s="11"/>
    </row>
    <row r="191" spans="1:12" s="12" customFormat="1" ht="27.6" x14ac:dyDescent="0.25">
      <c r="A191" s="70"/>
      <c r="B191" s="19" t="s">
        <v>74</v>
      </c>
      <c r="C191" s="20" t="s">
        <v>2</v>
      </c>
      <c r="D191" s="21">
        <v>1.02</v>
      </c>
      <c r="E191" s="22"/>
      <c r="F191" s="85">
        <f>F190*D191</f>
        <v>22.847999999999999</v>
      </c>
      <c r="G191" s="22"/>
      <c r="H191" s="22"/>
      <c r="I191" s="85"/>
      <c r="J191" s="22"/>
      <c r="K191" s="92" t="s">
        <v>43</v>
      </c>
    </row>
    <row r="192" spans="1:12" s="12" customFormat="1" x14ac:dyDescent="0.25">
      <c r="A192" s="16"/>
      <c r="B192" s="17" t="s">
        <v>64</v>
      </c>
      <c r="C192" s="15" t="s">
        <v>19</v>
      </c>
      <c r="D192" s="27"/>
      <c r="E192" s="28"/>
      <c r="F192" s="154">
        <v>18.25</v>
      </c>
      <c r="G192" s="11"/>
      <c r="H192" s="29"/>
      <c r="I192" s="29"/>
      <c r="J192" s="22"/>
      <c r="K192" s="29"/>
    </row>
    <row r="193" spans="1:11" s="12" customFormat="1" ht="27.6" x14ac:dyDescent="0.25">
      <c r="A193" s="18"/>
      <c r="B193" s="19" t="s">
        <v>65</v>
      </c>
      <c r="C193" s="20" t="s">
        <v>19</v>
      </c>
      <c r="D193" s="21">
        <v>1.02</v>
      </c>
      <c r="E193" s="28"/>
      <c r="F193" s="155">
        <f>F192*D193</f>
        <v>18.615000000000002</v>
      </c>
      <c r="G193" s="22"/>
      <c r="H193" s="22"/>
      <c r="I193" s="22"/>
      <c r="J193" s="22"/>
      <c r="K193" s="92" t="s">
        <v>43</v>
      </c>
    </row>
    <row r="194" spans="1:11" s="12" customFormat="1" ht="27.6" x14ac:dyDescent="0.25">
      <c r="A194" s="18"/>
      <c r="B194" s="19" t="s">
        <v>66</v>
      </c>
      <c r="C194" s="20" t="s">
        <v>4</v>
      </c>
      <c r="D194" s="21">
        <v>1</v>
      </c>
      <c r="E194" s="28"/>
      <c r="F194" s="156">
        <f>(F192/0.5+1)*2</f>
        <v>75</v>
      </c>
      <c r="G194" s="22"/>
      <c r="H194" s="22"/>
      <c r="I194" s="22"/>
      <c r="J194" s="22"/>
      <c r="K194" s="92" t="s">
        <v>43</v>
      </c>
    </row>
    <row r="195" spans="1:11" s="12" customFormat="1" ht="36" x14ac:dyDescent="0.25">
      <c r="A195" s="18"/>
      <c r="B195" s="19" t="s">
        <v>67</v>
      </c>
      <c r="C195" s="20" t="s">
        <v>4</v>
      </c>
      <c r="D195" s="21">
        <v>1.02</v>
      </c>
      <c r="E195" s="28"/>
      <c r="F195" s="156">
        <f>F192*D195</f>
        <v>18.615000000000002</v>
      </c>
      <c r="G195" s="22"/>
      <c r="H195" s="22"/>
      <c r="I195" s="22"/>
      <c r="J195" s="22"/>
      <c r="K195" s="92" t="s">
        <v>43</v>
      </c>
    </row>
    <row r="196" spans="1:11" s="12" customFormat="1" x14ac:dyDescent="0.25">
      <c r="A196" s="16"/>
      <c r="B196" s="17" t="s">
        <v>68</v>
      </c>
      <c r="C196" s="15" t="s">
        <v>59</v>
      </c>
      <c r="D196" s="27"/>
      <c r="E196" s="28"/>
      <c r="F196" s="154">
        <f>18.25*0.35</f>
        <v>6.3874999999999993</v>
      </c>
      <c r="G196" s="11"/>
      <c r="H196" s="29"/>
      <c r="I196" s="29"/>
      <c r="J196" s="22"/>
      <c r="K196" s="29"/>
    </row>
    <row r="197" spans="1:11" s="12" customFormat="1" ht="27.6" x14ac:dyDescent="0.25">
      <c r="A197" s="18"/>
      <c r="B197" s="19" t="s">
        <v>69</v>
      </c>
      <c r="C197" s="20" t="s">
        <v>59</v>
      </c>
      <c r="D197" s="21">
        <v>1.1499999999999999</v>
      </c>
      <c r="E197" s="28"/>
      <c r="F197" s="155">
        <f>F196*D197*2</f>
        <v>14.691249999999997</v>
      </c>
      <c r="G197" s="22"/>
      <c r="H197" s="22"/>
      <c r="I197" s="22"/>
      <c r="J197" s="22"/>
      <c r="K197" s="92" t="s">
        <v>43</v>
      </c>
    </row>
    <row r="198" spans="1:11" s="12" customFormat="1" ht="27.6" x14ac:dyDescent="0.25">
      <c r="A198" s="18"/>
      <c r="B198" s="19" t="s">
        <v>72</v>
      </c>
      <c r="C198" s="20" t="s">
        <v>73</v>
      </c>
      <c r="D198" s="21">
        <v>0.4</v>
      </c>
      <c r="E198" s="28"/>
      <c r="F198" s="156">
        <f>F196*D198*2</f>
        <v>5.1099999999999994</v>
      </c>
      <c r="G198" s="22"/>
      <c r="H198" s="22"/>
      <c r="I198" s="22"/>
      <c r="J198" s="22"/>
      <c r="K198" s="92" t="s">
        <v>43</v>
      </c>
    </row>
    <row r="199" spans="1:11" s="12" customFormat="1" x14ac:dyDescent="0.25">
      <c r="A199" s="16"/>
      <c r="B199" s="17" t="s">
        <v>71</v>
      </c>
      <c r="C199" s="15" t="s">
        <v>19</v>
      </c>
      <c r="D199" s="10"/>
      <c r="E199" s="11">
        <v>0</v>
      </c>
      <c r="F199" s="78">
        <v>18.25</v>
      </c>
      <c r="G199" s="11"/>
      <c r="H199" s="11"/>
      <c r="I199" s="11"/>
      <c r="J199" s="22"/>
      <c r="K199" s="11"/>
    </row>
    <row r="200" spans="1:11" s="12" customFormat="1" ht="27.6" x14ac:dyDescent="0.25">
      <c r="A200" s="18"/>
      <c r="B200" s="19" t="s">
        <v>70</v>
      </c>
      <c r="C200" s="9" t="s">
        <v>59</v>
      </c>
      <c r="D200" s="21">
        <v>1.02</v>
      </c>
      <c r="E200" s="22">
        <v>0</v>
      </c>
      <c r="F200" s="85">
        <f>F199*0.4*D200</f>
        <v>7.4460000000000006</v>
      </c>
      <c r="G200" s="22"/>
      <c r="H200" s="22"/>
      <c r="I200" s="22"/>
      <c r="J200" s="22"/>
      <c r="K200" s="92" t="s">
        <v>43</v>
      </c>
    </row>
    <row r="201" spans="1:11" s="12" customFormat="1" ht="36" x14ac:dyDescent="0.35">
      <c r="A201" s="16"/>
      <c r="B201" s="30" t="s">
        <v>102</v>
      </c>
      <c r="C201" s="15" t="s">
        <v>2</v>
      </c>
      <c r="D201" s="10"/>
      <c r="E201" s="11">
        <v>0</v>
      </c>
      <c r="F201" s="78">
        <v>65.2</v>
      </c>
      <c r="G201" s="11"/>
      <c r="H201" s="11"/>
      <c r="I201" s="11"/>
      <c r="J201" s="22"/>
      <c r="K201" s="11"/>
    </row>
    <row r="202" spans="1:11" s="12" customFormat="1" ht="27.6" x14ac:dyDescent="0.25">
      <c r="A202" s="31"/>
      <c r="B202" s="23" t="s">
        <v>22</v>
      </c>
      <c r="C202" s="24" t="s">
        <v>2</v>
      </c>
      <c r="D202" s="25">
        <v>1</v>
      </c>
      <c r="E202" s="32">
        <v>0</v>
      </c>
      <c r="F202" s="149">
        <f>F201*D202</f>
        <v>65.2</v>
      </c>
      <c r="G202" s="11"/>
      <c r="H202" s="11"/>
      <c r="I202" s="22"/>
      <c r="J202" s="22"/>
      <c r="K202" s="92" t="s">
        <v>43</v>
      </c>
    </row>
    <row r="203" spans="1:11" s="12" customFormat="1" ht="27.6" x14ac:dyDescent="0.25">
      <c r="A203" s="31"/>
      <c r="B203" s="23" t="s">
        <v>56</v>
      </c>
      <c r="C203" s="24" t="s">
        <v>3</v>
      </c>
      <c r="D203" s="25">
        <v>1.02</v>
      </c>
      <c r="E203" s="32">
        <v>0</v>
      </c>
      <c r="F203" s="149">
        <f>510.5*D203</f>
        <v>520.71</v>
      </c>
      <c r="G203" s="11"/>
      <c r="H203" s="11"/>
      <c r="I203" s="22"/>
      <c r="J203" s="22"/>
      <c r="K203" s="92" t="s">
        <v>43</v>
      </c>
    </row>
    <row r="204" spans="1:11" s="12" customFormat="1" ht="27.6" x14ac:dyDescent="0.25">
      <c r="A204" s="31"/>
      <c r="B204" s="23" t="s">
        <v>13</v>
      </c>
      <c r="C204" s="24" t="s">
        <v>3</v>
      </c>
      <c r="D204" s="25">
        <v>1.02</v>
      </c>
      <c r="E204" s="32">
        <v>0</v>
      </c>
      <c r="F204" s="149">
        <f>6489.8*D204</f>
        <v>6619.5960000000005</v>
      </c>
      <c r="G204" s="11"/>
      <c r="H204" s="11"/>
      <c r="I204" s="22"/>
      <c r="J204" s="22"/>
      <c r="K204" s="92" t="s">
        <v>43</v>
      </c>
    </row>
    <row r="205" spans="1:11" s="12" customFormat="1" ht="27.6" x14ac:dyDescent="0.25">
      <c r="A205" s="31"/>
      <c r="B205" s="23" t="s">
        <v>14</v>
      </c>
      <c r="C205" s="24" t="s">
        <v>3</v>
      </c>
      <c r="D205" s="25">
        <v>1.02</v>
      </c>
      <c r="E205" s="32">
        <v>0</v>
      </c>
      <c r="F205" s="149">
        <f>477.7*D205</f>
        <v>487.25400000000002</v>
      </c>
      <c r="G205" s="11"/>
      <c r="H205" s="11"/>
      <c r="I205" s="22"/>
      <c r="J205" s="22"/>
      <c r="K205" s="92" t="s">
        <v>43</v>
      </c>
    </row>
    <row r="206" spans="1:11" s="12" customFormat="1" ht="27.6" x14ac:dyDescent="0.25">
      <c r="A206" s="31"/>
      <c r="B206" s="23" t="s">
        <v>17</v>
      </c>
      <c r="C206" s="24" t="s">
        <v>3</v>
      </c>
      <c r="D206" s="25">
        <f>4.1/1.02</f>
        <v>4.0196078431372548</v>
      </c>
      <c r="E206" s="32">
        <v>0</v>
      </c>
      <c r="F206" s="149">
        <f>SUM(F203:F205)*D206/1000</f>
        <v>30.659800000000001</v>
      </c>
      <c r="G206" s="11"/>
      <c r="H206" s="11"/>
      <c r="I206" s="22"/>
      <c r="J206" s="22"/>
      <c r="K206" s="92" t="s">
        <v>43</v>
      </c>
    </row>
    <row r="207" spans="1:11" s="12" customFormat="1" x14ac:dyDescent="0.25">
      <c r="A207" s="37"/>
      <c r="B207" s="112" t="s">
        <v>57</v>
      </c>
      <c r="C207" s="9"/>
      <c r="D207" s="10"/>
      <c r="E207" s="11"/>
      <c r="F207" s="78"/>
      <c r="G207" s="11"/>
      <c r="H207" s="11"/>
      <c r="I207" s="11"/>
      <c r="J207" s="22"/>
      <c r="K207" s="11"/>
    </row>
    <row r="208" spans="1:11" s="12" customFormat="1" x14ac:dyDescent="0.25">
      <c r="A208" s="16"/>
      <c r="B208" s="17" t="s">
        <v>77</v>
      </c>
      <c r="C208" s="15" t="s">
        <v>19</v>
      </c>
      <c r="D208" s="10"/>
      <c r="E208" s="11">
        <v>0</v>
      </c>
      <c r="F208" s="78">
        <v>59.4</v>
      </c>
      <c r="G208" s="11"/>
      <c r="H208" s="11"/>
      <c r="I208" s="11"/>
      <c r="J208" s="22"/>
      <c r="K208" s="11"/>
    </row>
    <row r="209" spans="1:11" s="12" customFormat="1" ht="27.6" x14ac:dyDescent="0.25">
      <c r="A209" s="18"/>
      <c r="B209" s="19" t="s">
        <v>20</v>
      </c>
      <c r="C209" s="9" t="s">
        <v>19</v>
      </c>
      <c r="D209" s="21">
        <v>1</v>
      </c>
      <c r="E209" s="22">
        <v>0</v>
      </c>
      <c r="F209" s="85">
        <f>F208*D209</f>
        <v>59.4</v>
      </c>
      <c r="G209" s="22"/>
      <c r="H209" s="22"/>
      <c r="I209" s="22"/>
      <c r="J209" s="22"/>
      <c r="K209" s="92" t="s">
        <v>43</v>
      </c>
    </row>
    <row r="210" spans="1:11" s="12" customFormat="1" ht="36" x14ac:dyDescent="0.25">
      <c r="A210" s="38"/>
      <c r="B210" s="39" t="s">
        <v>103</v>
      </c>
      <c r="C210" s="40" t="s">
        <v>2</v>
      </c>
      <c r="D210" s="40"/>
      <c r="E210" s="11">
        <v>0</v>
      </c>
      <c r="F210" s="78">
        <v>68.3</v>
      </c>
      <c r="G210" s="11"/>
      <c r="H210" s="11"/>
      <c r="I210" s="11"/>
      <c r="J210" s="22"/>
      <c r="K210" s="11"/>
    </row>
    <row r="211" spans="1:11" s="12" customFormat="1" ht="27.6" x14ac:dyDescent="0.25">
      <c r="A211" s="31"/>
      <c r="B211" s="23" t="s">
        <v>75</v>
      </c>
      <c r="C211" s="41" t="s">
        <v>2</v>
      </c>
      <c r="D211" s="41">
        <v>1.01</v>
      </c>
      <c r="E211" s="26">
        <f>E210*1.02</f>
        <v>0</v>
      </c>
      <c r="F211" s="134">
        <f>F210*D211</f>
        <v>68.983000000000004</v>
      </c>
      <c r="G211" s="26"/>
      <c r="H211" s="22"/>
      <c r="I211" s="22"/>
      <c r="J211" s="22"/>
      <c r="K211" s="92" t="s">
        <v>43</v>
      </c>
    </row>
    <row r="212" spans="1:11" s="12" customFormat="1" ht="27.6" x14ac:dyDescent="0.25">
      <c r="A212" s="31"/>
      <c r="B212" s="23" t="s">
        <v>98</v>
      </c>
      <c r="C212" s="24" t="s">
        <v>3</v>
      </c>
      <c r="D212" s="25">
        <v>1.02</v>
      </c>
      <c r="E212" s="32">
        <v>0</v>
      </c>
      <c r="F212" s="149">
        <f>313.1*D212</f>
        <v>319.36200000000002</v>
      </c>
      <c r="G212" s="11"/>
      <c r="H212" s="11"/>
      <c r="I212" s="22"/>
      <c r="J212" s="22"/>
      <c r="K212" s="92" t="s">
        <v>43</v>
      </c>
    </row>
    <row r="213" spans="1:11" s="12" customFormat="1" ht="27.6" x14ac:dyDescent="0.25">
      <c r="A213" s="31"/>
      <c r="B213" s="23" t="s">
        <v>13</v>
      </c>
      <c r="C213" s="24" t="s">
        <v>3</v>
      </c>
      <c r="D213" s="25">
        <v>1.02</v>
      </c>
      <c r="E213" s="32">
        <v>0</v>
      </c>
      <c r="F213" s="149">
        <f>7153.7*D213</f>
        <v>7296.7740000000003</v>
      </c>
      <c r="G213" s="11"/>
      <c r="H213" s="11"/>
      <c r="I213" s="22"/>
      <c r="J213" s="22"/>
      <c r="K213" s="92" t="s">
        <v>43</v>
      </c>
    </row>
    <row r="214" spans="1:11" s="12" customFormat="1" ht="27.6" x14ac:dyDescent="0.25">
      <c r="A214" s="31"/>
      <c r="B214" s="23" t="s">
        <v>14</v>
      </c>
      <c r="C214" s="24" t="s">
        <v>3</v>
      </c>
      <c r="D214" s="25">
        <v>1.02</v>
      </c>
      <c r="E214" s="32">
        <v>0</v>
      </c>
      <c r="F214" s="149">
        <f>236.7*D214</f>
        <v>241.434</v>
      </c>
      <c r="G214" s="11"/>
      <c r="H214" s="11"/>
      <c r="I214" s="22"/>
      <c r="J214" s="22"/>
      <c r="K214" s="92" t="s">
        <v>43</v>
      </c>
    </row>
    <row r="215" spans="1:11" s="12" customFormat="1" ht="27.6" x14ac:dyDescent="0.25">
      <c r="A215" s="31"/>
      <c r="B215" s="23" t="s">
        <v>17</v>
      </c>
      <c r="C215" s="24" t="s">
        <v>3</v>
      </c>
      <c r="D215" s="25">
        <f>4.1/1.02</f>
        <v>4.0196078431372548</v>
      </c>
      <c r="E215" s="26" t="e">
        <f>SUM(#REF!)*D215/1000</f>
        <v>#REF!</v>
      </c>
      <c r="F215" s="134">
        <f>D215*SUM(F212:F214)/1000</f>
        <v>31.584350000000001</v>
      </c>
      <c r="G215" s="26"/>
      <c r="H215" s="22"/>
      <c r="I215" s="22"/>
      <c r="J215" s="22"/>
      <c r="K215" s="92" t="s">
        <v>43</v>
      </c>
    </row>
    <row r="216" spans="1:11" s="12" customFormat="1" x14ac:dyDescent="0.25">
      <c r="A216" s="38"/>
      <c r="B216" s="39" t="s">
        <v>104</v>
      </c>
      <c r="C216" s="40" t="s">
        <v>2</v>
      </c>
      <c r="D216" s="40"/>
      <c r="E216" s="11">
        <v>0</v>
      </c>
      <c r="F216" s="78">
        <f>25.4*1.73+24.8*1.33+25.12*0.94+19.32*0.55+8.78*0.17</f>
        <v>112.65740000000001</v>
      </c>
      <c r="G216" s="11"/>
      <c r="H216" s="11"/>
      <c r="I216" s="11"/>
      <c r="J216" s="22"/>
      <c r="K216" s="11"/>
    </row>
    <row r="217" spans="1:11" s="12" customFormat="1" ht="36" x14ac:dyDescent="0.25">
      <c r="A217" s="38"/>
      <c r="B217" s="39" t="s">
        <v>58</v>
      </c>
      <c r="C217" s="40" t="s">
        <v>59</v>
      </c>
      <c r="D217" s="40"/>
      <c r="E217" s="11">
        <v>0</v>
      </c>
      <c r="F217" s="78">
        <f>5.7/0.05</f>
        <v>114</v>
      </c>
      <c r="G217" s="11"/>
      <c r="H217" s="11"/>
      <c r="I217" s="11"/>
      <c r="J217" s="22"/>
      <c r="K217" s="11"/>
    </row>
    <row r="218" spans="1:11" s="12" customFormat="1" ht="36" x14ac:dyDescent="0.25">
      <c r="A218" s="16"/>
      <c r="B218" s="17" t="s">
        <v>105</v>
      </c>
      <c r="C218" s="15" t="s">
        <v>2</v>
      </c>
      <c r="D218" s="10"/>
      <c r="E218" s="11"/>
      <c r="F218" s="78">
        <v>5.7</v>
      </c>
      <c r="G218" s="11"/>
      <c r="H218" s="11"/>
      <c r="I218" s="11"/>
      <c r="J218" s="22"/>
      <c r="K218" s="11"/>
    </row>
    <row r="219" spans="1:11" s="12" customFormat="1" ht="27.6" x14ac:dyDescent="0.25">
      <c r="A219" s="18"/>
      <c r="B219" s="19" t="s">
        <v>97</v>
      </c>
      <c r="C219" s="20" t="s">
        <v>2</v>
      </c>
      <c r="D219" s="21">
        <v>1.02</v>
      </c>
      <c r="E219" s="22"/>
      <c r="F219" s="85">
        <f>F218*D219</f>
        <v>5.8140000000000001</v>
      </c>
      <c r="G219" s="22"/>
      <c r="H219" s="22"/>
      <c r="I219" s="85"/>
      <c r="J219" s="22"/>
      <c r="K219" s="92" t="s">
        <v>43</v>
      </c>
    </row>
    <row r="220" spans="1:11" s="12" customFormat="1" x14ac:dyDescent="0.25">
      <c r="A220" s="16"/>
      <c r="B220" s="17" t="s">
        <v>77</v>
      </c>
      <c r="C220" s="15" t="s">
        <v>19</v>
      </c>
      <c r="D220" s="10"/>
      <c r="E220" s="11">
        <v>0</v>
      </c>
      <c r="F220" s="78">
        <v>47.25</v>
      </c>
      <c r="G220" s="11"/>
      <c r="H220" s="11"/>
      <c r="I220" s="11"/>
      <c r="J220" s="22"/>
      <c r="K220" s="11"/>
    </row>
    <row r="221" spans="1:11" s="12" customFormat="1" ht="27.6" x14ac:dyDescent="0.25">
      <c r="A221" s="18"/>
      <c r="B221" s="19" t="s">
        <v>20</v>
      </c>
      <c r="C221" s="9" t="s">
        <v>19</v>
      </c>
      <c r="D221" s="21">
        <v>1</v>
      </c>
      <c r="E221" s="22">
        <v>0</v>
      </c>
      <c r="F221" s="85">
        <f>F220*D221</f>
        <v>47.25</v>
      </c>
      <c r="G221" s="22"/>
      <c r="H221" s="22"/>
      <c r="I221" s="22"/>
      <c r="J221" s="22"/>
      <c r="K221" s="92" t="s">
        <v>43</v>
      </c>
    </row>
    <row r="222" spans="1:11" s="12" customFormat="1" ht="36" x14ac:dyDescent="0.25">
      <c r="A222" s="38"/>
      <c r="B222" s="39" t="s">
        <v>106</v>
      </c>
      <c r="C222" s="40" t="s">
        <v>2</v>
      </c>
      <c r="D222" s="40"/>
      <c r="E222" s="11">
        <v>0</v>
      </c>
      <c r="F222" s="78">
        <v>23.4</v>
      </c>
      <c r="G222" s="11"/>
      <c r="H222" s="11"/>
      <c r="I222" s="11"/>
      <c r="J222" s="22"/>
      <c r="K222" s="11"/>
    </row>
    <row r="223" spans="1:11" s="12" customFormat="1" ht="27.6" x14ac:dyDescent="0.25">
      <c r="A223" s="31"/>
      <c r="B223" s="23" t="s">
        <v>76</v>
      </c>
      <c r="C223" s="41" t="s">
        <v>2</v>
      </c>
      <c r="D223" s="41">
        <v>1.01</v>
      </c>
      <c r="E223" s="26">
        <f>E222*1.02</f>
        <v>0</v>
      </c>
      <c r="F223" s="134">
        <f>F222*D223</f>
        <v>23.634</v>
      </c>
      <c r="G223" s="26"/>
      <c r="H223" s="22"/>
      <c r="I223" s="22"/>
      <c r="J223" s="22"/>
      <c r="K223" s="92" t="s">
        <v>43</v>
      </c>
    </row>
    <row r="224" spans="1:11" s="12" customFormat="1" ht="27.6" x14ac:dyDescent="0.25">
      <c r="A224" s="31"/>
      <c r="B224" s="23" t="s">
        <v>56</v>
      </c>
      <c r="C224" s="24" t="s">
        <v>3</v>
      </c>
      <c r="D224" s="25">
        <v>1.02</v>
      </c>
      <c r="E224" s="32">
        <v>0</v>
      </c>
      <c r="F224" s="149">
        <f>146.6*D224</f>
        <v>149.53200000000001</v>
      </c>
      <c r="G224" s="11"/>
      <c r="H224" s="11"/>
      <c r="I224" s="22"/>
      <c r="J224" s="22"/>
      <c r="K224" s="92" t="s">
        <v>43</v>
      </c>
    </row>
    <row r="225" spans="1:12" s="12" customFormat="1" ht="27.6" x14ac:dyDescent="0.25">
      <c r="A225" s="31"/>
      <c r="B225" s="23" t="s">
        <v>13</v>
      </c>
      <c r="C225" s="24" t="s">
        <v>3</v>
      </c>
      <c r="D225" s="25">
        <v>1.02</v>
      </c>
      <c r="E225" s="32">
        <v>0</v>
      </c>
      <c r="F225" s="149">
        <f>(2154.3+64.3)*D225</f>
        <v>2262.9720000000002</v>
      </c>
      <c r="G225" s="11"/>
      <c r="H225" s="11"/>
      <c r="I225" s="22"/>
      <c r="J225" s="22"/>
      <c r="K225" s="92" t="s">
        <v>43</v>
      </c>
    </row>
    <row r="226" spans="1:12" s="12" customFormat="1" ht="27.6" x14ac:dyDescent="0.25">
      <c r="A226" s="31"/>
      <c r="B226" s="23" t="s">
        <v>17</v>
      </c>
      <c r="C226" s="24" t="s">
        <v>3</v>
      </c>
      <c r="D226" s="25">
        <f>4.1/1.02</f>
        <v>4.0196078431372548</v>
      </c>
      <c r="E226" s="26" t="e">
        <f>SUM(#REF!)*D226/1000</f>
        <v>#REF!</v>
      </c>
      <c r="F226" s="134">
        <f>D226*SUM(F224:F225)/1000</f>
        <v>9.6973200000000013</v>
      </c>
      <c r="G226" s="26"/>
      <c r="H226" s="22"/>
      <c r="I226" s="22"/>
      <c r="J226" s="22"/>
      <c r="K226" s="92" t="s">
        <v>43</v>
      </c>
    </row>
    <row r="227" spans="1:12" s="138" customFormat="1" ht="36" x14ac:dyDescent="0.25">
      <c r="A227" s="126"/>
      <c r="B227" s="127" t="s">
        <v>111</v>
      </c>
      <c r="C227" s="128" t="s">
        <v>2</v>
      </c>
      <c r="D227" s="128"/>
      <c r="E227" s="78">
        <v>0</v>
      </c>
      <c r="F227" s="78">
        <v>18.100000000000001</v>
      </c>
      <c r="G227" s="78"/>
      <c r="H227" s="78"/>
      <c r="I227" s="78"/>
      <c r="J227" s="85"/>
      <c r="K227" s="78"/>
      <c r="L227" s="122"/>
    </row>
    <row r="228" spans="1:12" s="138" customFormat="1" ht="27.6" x14ac:dyDescent="0.25">
      <c r="A228" s="131"/>
      <c r="B228" s="132" t="s">
        <v>76</v>
      </c>
      <c r="C228" s="133" t="s">
        <v>2</v>
      </c>
      <c r="D228" s="133">
        <v>1.01</v>
      </c>
      <c r="E228" s="134">
        <f>E227*1.02</f>
        <v>0</v>
      </c>
      <c r="F228" s="134">
        <f>F227*D228</f>
        <v>18.281000000000002</v>
      </c>
      <c r="G228" s="134"/>
      <c r="H228" s="85"/>
      <c r="I228" s="85"/>
      <c r="J228" s="85"/>
      <c r="K228" s="90" t="s">
        <v>43</v>
      </c>
      <c r="L228" s="122"/>
    </row>
    <row r="229" spans="1:12" s="138" customFormat="1" ht="27.6" x14ac:dyDescent="0.25">
      <c r="A229" s="131"/>
      <c r="B229" s="132" t="s">
        <v>56</v>
      </c>
      <c r="C229" s="135" t="s">
        <v>3</v>
      </c>
      <c r="D229" s="136">
        <v>1.02</v>
      </c>
      <c r="E229" s="137">
        <v>0</v>
      </c>
      <c r="F229" s="149">
        <f>159*D229</f>
        <v>162.18</v>
      </c>
      <c r="G229" s="78"/>
      <c r="H229" s="78"/>
      <c r="I229" s="85"/>
      <c r="J229" s="85"/>
      <c r="K229" s="90" t="s">
        <v>43</v>
      </c>
      <c r="L229" s="122"/>
    </row>
    <row r="230" spans="1:12" s="138" customFormat="1" ht="27.6" x14ac:dyDescent="0.25">
      <c r="A230" s="131"/>
      <c r="B230" s="132" t="s">
        <v>13</v>
      </c>
      <c r="C230" s="135" t="s">
        <v>3</v>
      </c>
      <c r="D230" s="136">
        <v>1.02</v>
      </c>
      <c r="E230" s="137">
        <v>0</v>
      </c>
      <c r="F230" s="149">
        <f>(1691.6+292.5+95.8+79+42.7)*D230</f>
        <v>2245.6320000000001</v>
      </c>
      <c r="G230" s="78"/>
      <c r="H230" s="78"/>
      <c r="I230" s="85"/>
      <c r="J230" s="85"/>
      <c r="K230" s="90" t="s">
        <v>43</v>
      </c>
    </row>
    <row r="231" spans="1:12" s="138" customFormat="1" ht="27.6" x14ac:dyDescent="0.25">
      <c r="A231" s="131"/>
      <c r="B231" s="132" t="s">
        <v>14</v>
      </c>
      <c r="C231" s="135" t="s">
        <v>3</v>
      </c>
      <c r="D231" s="136">
        <v>1.02</v>
      </c>
      <c r="E231" s="137">
        <v>0</v>
      </c>
      <c r="F231" s="149">
        <f>(104.1+42)*D231</f>
        <v>149.02199999999999</v>
      </c>
      <c r="G231" s="78"/>
      <c r="H231" s="78"/>
      <c r="I231" s="85"/>
      <c r="J231" s="85"/>
      <c r="K231" s="90" t="s">
        <v>43</v>
      </c>
    </row>
    <row r="232" spans="1:12" s="138" customFormat="1" ht="27.6" x14ac:dyDescent="0.25">
      <c r="A232" s="131"/>
      <c r="B232" s="132" t="s">
        <v>17</v>
      </c>
      <c r="C232" s="135" t="s">
        <v>3</v>
      </c>
      <c r="D232" s="136">
        <f>4.1/1.02</f>
        <v>4.0196078431372548</v>
      </c>
      <c r="E232" s="134" t="e">
        <f>SUM(#REF!)*D232/1000</f>
        <v>#REF!</v>
      </c>
      <c r="F232" s="134">
        <f>D232*SUM(F229:F231)/1000</f>
        <v>10.277469999999999</v>
      </c>
      <c r="G232" s="134"/>
      <c r="H232" s="85"/>
      <c r="I232" s="85"/>
      <c r="J232" s="85"/>
      <c r="K232" s="90" t="s">
        <v>43</v>
      </c>
    </row>
    <row r="233" spans="1:12" s="138" customFormat="1" ht="36" x14ac:dyDescent="0.25">
      <c r="A233" s="126"/>
      <c r="B233" s="127" t="s">
        <v>112</v>
      </c>
      <c r="C233" s="128" t="s">
        <v>2</v>
      </c>
      <c r="D233" s="128"/>
      <c r="E233" s="78">
        <v>0</v>
      </c>
      <c r="F233" s="78">
        <v>13.9</v>
      </c>
      <c r="G233" s="78"/>
      <c r="H233" s="78"/>
      <c r="I233" s="78"/>
      <c r="J233" s="85"/>
      <c r="K233" s="78"/>
      <c r="L233" s="122"/>
    </row>
    <row r="234" spans="1:12" s="138" customFormat="1" ht="27.6" x14ac:dyDescent="0.25">
      <c r="A234" s="131"/>
      <c r="B234" s="132" t="s">
        <v>76</v>
      </c>
      <c r="C234" s="133" t="s">
        <v>2</v>
      </c>
      <c r="D234" s="133">
        <v>1.01</v>
      </c>
      <c r="E234" s="134">
        <f>E233*1.02</f>
        <v>0</v>
      </c>
      <c r="F234" s="134">
        <f>F233*D234</f>
        <v>14.039</v>
      </c>
      <c r="G234" s="134"/>
      <c r="H234" s="85"/>
      <c r="I234" s="85"/>
      <c r="J234" s="85"/>
      <c r="K234" s="90" t="s">
        <v>43</v>
      </c>
      <c r="L234" s="122"/>
    </row>
    <row r="235" spans="1:12" s="138" customFormat="1" ht="27.6" x14ac:dyDescent="0.25">
      <c r="A235" s="131"/>
      <c r="B235" s="132" t="s">
        <v>113</v>
      </c>
      <c r="C235" s="135" t="s">
        <v>3</v>
      </c>
      <c r="D235" s="136">
        <v>1.02</v>
      </c>
      <c r="E235" s="137">
        <v>0</v>
      </c>
      <c r="F235" s="149">
        <f>100*D235</f>
        <v>102</v>
      </c>
      <c r="G235" s="78"/>
      <c r="H235" s="78"/>
      <c r="I235" s="85"/>
      <c r="J235" s="85"/>
      <c r="K235" s="90" t="s">
        <v>43</v>
      </c>
      <c r="L235" s="122"/>
    </row>
    <row r="236" spans="1:12" s="138" customFormat="1" ht="27.6" x14ac:dyDescent="0.25">
      <c r="A236" s="131"/>
      <c r="B236" s="132" t="s">
        <v>13</v>
      </c>
      <c r="C236" s="135" t="s">
        <v>3</v>
      </c>
      <c r="D236" s="136">
        <v>1.02</v>
      </c>
      <c r="E236" s="137">
        <v>0</v>
      </c>
      <c r="F236" s="149">
        <f>(730.8+119.7+250.8+21.1+38.5)*D236</f>
        <v>1184.1179999999999</v>
      </c>
      <c r="G236" s="78"/>
      <c r="H236" s="78"/>
      <c r="I236" s="85"/>
      <c r="J236" s="85"/>
      <c r="K236" s="90" t="s">
        <v>43</v>
      </c>
    </row>
    <row r="237" spans="1:12" s="138" customFormat="1" ht="27.6" x14ac:dyDescent="0.25">
      <c r="A237" s="131"/>
      <c r="B237" s="132" t="s">
        <v>17</v>
      </c>
      <c r="C237" s="135" t="s">
        <v>3</v>
      </c>
      <c r="D237" s="136">
        <f>4.1/1.02</f>
        <v>4.0196078431372548</v>
      </c>
      <c r="E237" s="134" t="e">
        <f>SUM(#REF!)*D237/1000</f>
        <v>#REF!</v>
      </c>
      <c r="F237" s="134">
        <f>D237*SUM(F235:F236)/1000</f>
        <v>5.1696899999999992</v>
      </c>
      <c r="G237" s="134"/>
      <c r="H237" s="85"/>
      <c r="I237" s="85"/>
      <c r="J237" s="85"/>
      <c r="K237" s="90" t="s">
        <v>43</v>
      </c>
    </row>
    <row r="238" spans="1:12" s="122" customFormat="1" x14ac:dyDescent="0.25">
      <c r="A238" s="126"/>
      <c r="B238" s="127" t="s">
        <v>63</v>
      </c>
      <c r="C238" s="128" t="s">
        <v>2</v>
      </c>
      <c r="D238" s="128"/>
      <c r="E238" s="78">
        <v>0</v>
      </c>
      <c r="F238" s="78">
        <v>2.64</v>
      </c>
      <c r="G238" s="78"/>
      <c r="H238" s="78"/>
      <c r="I238" s="78"/>
      <c r="J238" s="85"/>
      <c r="K238" s="78"/>
    </row>
    <row r="239" spans="1:12" s="122" customFormat="1" ht="36" x14ac:dyDescent="0.25">
      <c r="A239" s="126"/>
      <c r="B239" s="127" t="s">
        <v>58</v>
      </c>
      <c r="C239" s="128" t="s">
        <v>59</v>
      </c>
      <c r="D239" s="128"/>
      <c r="E239" s="78">
        <v>0</v>
      </c>
      <c r="F239" s="78">
        <f>0.17/0.05</f>
        <v>3.4</v>
      </c>
      <c r="G239" s="78"/>
      <c r="H239" s="78"/>
      <c r="I239" s="78"/>
      <c r="J239" s="85"/>
      <c r="K239" s="78"/>
    </row>
    <row r="240" spans="1:12" s="122" customFormat="1" x14ac:dyDescent="0.25">
      <c r="A240" s="129"/>
      <c r="B240" s="80" t="s">
        <v>61</v>
      </c>
      <c r="C240" s="76" t="s">
        <v>2</v>
      </c>
      <c r="D240" s="77"/>
      <c r="E240" s="78"/>
      <c r="F240" s="78">
        <v>0.17</v>
      </c>
      <c r="G240" s="78"/>
      <c r="H240" s="78"/>
      <c r="I240" s="78"/>
      <c r="J240" s="85"/>
      <c r="K240" s="78"/>
    </row>
    <row r="241" spans="1:12" s="122" customFormat="1" ht="27.6" x14ac:dyDescent="0.25">
      <c r="A241" s="130"/>
      <c r="B241" s="82" t="s">
        <v>74</v>
      </c>
      <c r="C241" s="83" t="s">
        <v>2</v>
      </c>
      <c r="D241" s="84">
        <v>1.02</v>
      </c>
      <c r="E241" s="85"/>
      <c r="F241" s="85">
        <f>F240*D241</f>
        <v>0.17340000000000003</v>
      </c>
      <c r="G241" s="85"/>
      <c r="H241" s="85"/>
      <c r="I241" s="85"/>
      <c r="J241" s="85"/>
      <c r="K241" s="90" t="s">
        <v>43</v>
      </c>
    </row>
    <row r="242" spans="1:12" s="122" customFormat="1" x14ac:dyDescent="0.25">
      <c r="A242" s="126"/>
      <c r="B242" s="127" t="s">
        <v>60</v>
      </c>
      <c r="C242" s="128" t="s">
        <v>2</v>
      </c>
      <c r="D242" s="128"/>
      <c r="E242" s="78">
        <v>0</v>
      </c>
      <c r="F242" s="78">
        <v>1</v>
      </c>
      <c r="G242" s="78"/>
      <c r="H242" s="78"/>
      <c r="I242" s="78"/>
      <c r="J242" s="85"/>
      <c r="K242" s="78"/>
    </row>
    <row r="243" spans="1:12" s="122" customFormat="1" ht="27.6" x14ac:dyDescent="0.25">
      <c r="A243" s="131"/>
      <c r="B243" s="132" t="s">
        <v>76</v>
      </c>
      <c r="C243" s="133" t="s">
        <v>2</v>
      </c>
      <c r="D243" s="133">
        <v>1.01</v>
      </c>
      <c r="E243" s="134">
        <f>E242*1.02</f>
        <v>0</v>
      </c>
      <c r="F243" s="134">
        <f>F242*D243</f>
        <v>1.01</v>
      </c>
      <c r="G243" s="134"/>
      <c r="H243" s="85"/>
      <c r="I243" s="85"/>
      <c r="J243" s="85"/>
      <c r="K243" s="90" t="s">
        <v>43</v>
      </c>
    </row>
    <row r="244" spans="1:12" s="122" customFormat="1" ht="27.6" x14ac:dyDescent="0.25">
      <c r="A244" s="131"/>
      <c r="B244" s="132" t="s">
        <v>62</v>
      </c>
      <c r="C244" s="135" t="s">
        <v>3</v>
      </c>
      <c r="D244" s="136">
        <v>1.02</v>
      </c>
      <c r="E244" s="137">
        <v>0</v>
      </c>
      <c r="F244" s="149">
        <f>(21.8+9.4)*D244</f>
        <v>31.824000000000005</v>
      </c>
      <c r="G244" s="78"/>
      <c r="H244" s="78"/>
      <c r="I244" s="85"/>
      <c r="J244" s="85"/>
      <c r="K244" s="90" t="s">
        <v>43</v>
      </c>
    </row>
    <row r="245" spans="1:12" s="122" customFormat="1" ht="27.6" x14ac:dyDescent="0.25">
      <c r="A245" s="131"/>
      <c r="B245" s="132" t="s">
        <v>56</v>
      </c>
      <c r="C245" s="135" t="s">
        <v>3</v>
      </c>
      <c r="D245" s="136">
        <v>1.02</v>
      </c>
      <c r="E245" s="137">
        <v>0</v>
      </c>
      <c r="F245" s="149">
        <f>(5+2.4)*D245</f>
        <v>7.5480000000000009</v>
      </c>
      <c r="G245" s="78"/>
      <c r="H245" s="78"/>
      <c r="I245" s="85"/>
      <c r="J245" s="85"/>
      <c r="K245" s="90" t="s">
        <v>43</v>
      </c>
    </row>
    <row r="246" spans="1:12" s="122" customFormat="1" ht="27.6" x14ac:dyDescent="0.25">
      <c r="A246" s="131"/>
      <c r="B246" s="132" t="s">
        <v>13</v>
      </c>
      <c r="C246" s="135" t="s">
        <v>3</v>
      </c>
      <c r="D246" s="136">
        <v>1.02</v>
      </c>
      <c r="E246" s="137">
        <v>0</v>
      </c>
      <c r="F246" s="149">
        <f>(41.9+35.7+8.6+7.8+1.7+17.1)*D246</f>
        <v>115.05599999999998</v>
      </c>
      <c r="G246" s="78"/>
      <c r="H246" s="78"/>
      <c r="I246" s="85"/>
      <c r="J246" s="85"/>
      <c r="K246" s="90" t="s">
        <v>43</v>
      </c>
    </row>
    <row r="247" spans="1:12" s="122" customFormat="1" ht="27.6" x14ac:dyDescent="0.25">
      <c r="A247" s="131"/>
      <c r="B247" s="132" t="s">
        <v>17</v>
      </c>
      <c r="C247" s="135" t="s">
        <v>3</v>
      </c>
      <c r="D247" s="136">
        <f>4.1/1.02</f>
        <v>4.0196078431372548</v>
      </c>
      <c r="E247" s="134" t="e">
        <f>SUM(#REF!)*D247/1000</f>
        <v>#REF!</v>
      </c>
      <c r="F247" s="134">
        <f>D247*SUM(F244:F246)/1000</f>
        <v>0.62073999999999996</v>
      </c>
      <c r="G247" s="134"/>
      <c r="H247" s="85"/>
      <c r="I247" s="85"/>
      <c r="J247" s="85"/>
      <c r="K247" s="90" t="s">
        <v>43</v>
      </c>
    </row>
    <row r="248" spans="1:12" x14ac:dyDescent="0.35">
      <c r="A248" s="102"/>
      <c r="B248" s="103" t="s">
        <v>39</v>
      </c>
      <c r="C248" s="103"/>
      <c r="D248" s="103"/>
      <c r="E248" s="104"/>
      <c r="F248" s="104"/>
      <c r="G248" s="105"/>
      <c r="H248" s="105"/>
      <c r="I248" s="105"/>
      <c r="J248" s="105"/>
      <c r="K248" s="105"/>
      <c r="L248" s="3"/>
    </row>
    <row r="249" spans="1:12" x14ac:dyDescent="0.35">
      <c r="A249" s="102"/>
      <c r="B249" s="106" t="s">
        <v>40</v>
      </c>
      <c r="C249" s="106"/>
      <c r="D249" s="106"/>
      <c r="E249" s="107"/>
      <c r="F249" s="107"/>
      <c r="G249" s="108"/>
      <c r="H249" s="108"/>
      <c r="I249" s="108"/>
      <c r="J249" s="108"/>
      <c r="K249" s="108"/>
      <c r="L249" s="3"/>
    </row>
    <row r="250" spans="1:12" x14ac:dyDescent="0.35">
      <c r="A250" s="102"/>
      <c r="B250" s="103" t="s">
        <v>41</v>
      </c>
      <c r="C250" s="103"/>
      <c r="D250" s="103"/>
      <c r="E250" s="104"/>
      <c r="F250" s="104"/>
      <c r="G250" s="105"/>
      <c r="H250" s="109"/>
      <c r="I250" s="109"/>
      <c r="J250" s="109"/>
      <c r="K250" s="109"/>
      <c r="L250" s="3"/>
    </row>
    <row r="251" spans="1:12" ht="21" x14ac:dyDescent="0.35">
      <c r="A251" s="102"/>
      <c r="B251" s="161" t="s">
        <v>55</v>
      </c>
      <c r="C251" s="161"/>
      <c r="D251" s="161"/>
      <c r="E251" s="161"/>
      <c r="F251" s="161"/>
      <c r="G251" s="161"/>
      <c r="H251" s="161"/>
      <c r="I251" s="110">
        <f>H250+J250</f>
        <v>0</v>
      </c>
      <c r="J251" s="109"/>
      <c r="K251" s="109"/>
    </row>
    <row r="253" spans="1:12" x14ac:dyDescent="0.3">
      <c r="B253" s="157"/>
      <c r="C253" s="157"/>
      <c r="D253" s="157"/>
      <c r="E253" s="157"/>
      <c r="F253" s="157"/>
      <c r="G253" s="73"/>
      <c r="H253" s="73"/>
      <c r="I253" s="73"/>
    </row>
    <row r="254" spans="1:12" x14ac:dyDescent="0.3">
      <c r="B254" s="157"/>
      <c r="C254" s="157"/>
      <c r="D254" s="157"/>
      <c r="E254" s="157"/>
      <c r="F254" s="157"/>
      <c r="G254" s="157"/>
      <c r="H254" s="157"/>
      <c r="I254" s="157"/>
    </row>
    <row r="255" spans="1:12" x14ac:dyDescent="0.3">
      <c r="B255" s="157"/>
      <c r="C255" s="157"/>
      <c r="D255" s="157"/>
      <c r="E255" s="157"/>
      <c r="F255" s="157"/>
      <c r="G255" s="157"/>
      <c r="H255" s="157"/>
      <c r="I255" s="157"/>
    </row>
  </sheetData>
  <sheetProtection formatCells="0"/>
  <autoFilter ref="A6:K251"/>
  <mergeCells count="15">
    <mergeCell ref="B253:F253"/>
    <mergeCell ref="B254:I254"/>
    <mergeCell ref="B255:I255"/>
    <mergeCell ref="A1:K1"/>
    <mergeCell ref="A2:K2"/>
    <mergeCell ref="A3:K3"/>
    <mergeCell ref="G4:H4"/>
    <mergeCell ref="I4:J4"/>
    <mergeCell ref="K4:K5"/>
    <mergeCell ref="B251:H251"/>
    <mergeCell ref="A4:A5"/>
    <mergeCell ref="B4:B5"/>
    <mergeCell ref="C4:C5"/>
    <mergeCell ref="D4:D5"/>
    <mergeCell ref="E4:F5"/>
  </mergeCells>
  <pageMargins left="0.59055118110236227" right="0.19685039370078741" top="0.78740157480314965" bottom="0.78740157480314965" header="0" footer="0.19685039370078741"/>
  <pageSetup paperSize="9" scale="56" fitToHeight="0" orientation="landscape" horizontalDpi="180" verticalDpi="180" r:id="rId1"/>
  <rowBreaks count="5" manualBreakCount="5">
    <brk id="14" max="11" man="1"/>
    <brk id="152" max="11" man="1"/>
    <brk id="185" max="11" man="1"/>
    <brk id="211" max="11" man="1"/>
    <brk id="2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2025-09-01T13:37:34Z</dcterms:modified>
</cp:coreProperties>
</file>