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ВС Обьекти\Тендери\ADev\Мазепи\"/>
    </mc:Choice>
  </mc:AlternateContent>
  <xr:revisionPtr revIDLastSave="0" documentId="8_{40EF6DD6-EA4D-4193-BE7E-882FEE6C5E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Ц1 Паркінг Тех.прим. 201125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xlfn_SUMIFS">#N/A</definedName>
    <definedName name="___xlfn_AGGREGATE">#N/A</definedName>
    <definedName name="___xlfn_IFERROR">#N/A</definedName>
    <definedName name="___xlfn_SUMIFS">#N/A</definedName>
    <definedName name="___xlnm.Print_Area" localSheetId="0">#REF!</definedName>
    <definedName name="___xlnm.Print_Area">#REF!</definedName>
    <definedName name="___xlnm_Print_Area" localSheetId="0">#REF!</definedName>
    <definedName name="___xlnm_Print_Area">#REF!</definedName>
    <definedName name="__xlfn_AGGREGATE">#N/A</definedName>
    <definedName name="__xlfn_IFERROR">#N/A</definedName>
    <definedName name="__xlfn_SUMIFS">#N/A</definedName>
    <definedName name="__xlnm.Print_Area" localSheetId="0">#REF!</definedName>
    <definedName name="__xlnm.Print_Area">#REF!</definedName>
    <definedName name="_1_Excel_BuiltIn_Print_Area_4_1" localSheetId="0">[1]ПРОЦЕНТОВАНИЕ!#REF!</definedName>
    <definedName name="_1_Excel_BuiltIn_Print_Area_4_1">[1]ПРОЦЕНТОВАНИЕ!#REF!</definedName>
    <definedName name="_4Excel_BuiltIn_Print_Area_4_1">NA()</definedName>
    <definedName name="_xlnm._FilterDatabase" localSheetId="0" hidden="1">'ДЦ1 Паркінг Тех.прим. 201125'!$A$3:$H$858</definedName>
    <definedName name="Climaflex" localSheetId="0">[2]Опалення!#REF!</definedName>
    <definedName name="Climaflex">[2]Опалення!#REF!</definedName>
    <definedName name="co" localSheetId="0">#REF!</definedName>
    <definedName name="co">#REF!</definedName>
    <definedName name="dtghdhdfh">ROUND("#ref!"*"#ref!",2)</definedName>
    <definedName name="Excel_BuiltIn__FilterDatabase">[3]ПРОЦЕНТОВАНИЕ!#REF!</definedName>
    <definedName name="Excel_BuiltIn_Print_Area_2" localSheetId="0">#REF!</definedName>
    <definedName name="Excel_BuiltIn_Print_Area_2">#REF!</definedName>
    <definedName name="Excel_BuiltIn_Print_Area_3" localSheetId="0">#REF!</definedName>
    <definedName name="Excel_BuiltIn_Print_Area_3">#REF!</definedName>
    <definedName name="Excel_BuiltIn_Print_Area_4_1" localSheetId="0">[3]ПРОЦЕНТОВАНИЕ!#REF!</definedName>
    <definedName name="Excel_BuiltIn_Print_Area_4_1">[3]ПРОЦЕНТОВАНИЕ!#REF!</definedName>
    <definedName name="honeywell" localSheetId="0">[2]Опалення!#REF!</definedName>
    <definedName name="honeywell">[2]Опалення!#REF!</definedName>
    <definedName name="hth" localSheetId="0">#REF!</definedName>
    <definedName name="hth">#REF!</definedName>
    <definedName name="Lowara" localSheetId="0">'[2]ВК+ВКН'!#REF!</definedName>
    <definedName name="Lowara">'[2]ВК+ВКН'!#REF!</definedName>
    <definedName name="materials" localSheetId="0">#REF!</definedName>
    <definedName name="materials">#REF!</definedName>
    <definedName name="Ostendorf" localSheetId="0">'[2]ВК+ВКН'!#REF!</definedName>
    <definedName name="Ostendorf">'[2]ВК+ВКН'!#REF!</definedName>
    <definedName name="qwe" localSheetId="0">#REF!</definedName>
    <definedName name="qwe">#REF!</definedName>
    <definedName name="Rehau" localSheetId="0">[2]Опалення!#REF!</definedName>
    <definedName name="Rehau">[2]Опалення!#REF!</definedName>
    <definedName name="rownum" localSheetId="0">#REF!</definedName>
    <definedName name="rownum">#REF!</definedName>
    <definedName name="SHARED_FORMULA_10_17_10_17_5">"#ref!"/"#ref!"</definedName>
    <definedName name="SHARED_FORMULA_10_26_10_26_5">"#ref!"/"#ref!"</definedName>
    <definedName name="SHARED_FORMULA_10_26_10_26_6">"#ref!"/"#ref!"</definedName>
    <definedName name="SHARED_FORMULA_10_36_10_36_5">"#ref!"/"#ref!"</definedName>
    <definedName name="SHARED_FORMULA_10_37_10_37_2">"#ref!"/"#ref!"</definedName>
    <definedName name="SHARED_FORMULA_10_45_10_45_6">"#ref!"/"#ref!"</definedName>
    <definedName name="SHARED_FORMULA_10_63_10_63_5">"#ref!"/"#ref!"</definedName>
    <definedName name="SHARED_FORMULA_10_73_10_73_5">"#ref!"/"#ref!"</definedName>
    <definedName name="SHARED_FORMULA_11_17_11_17_5">ROUND("#ref!"*"#ref!",2)</definedName>
    <definedName name="SHARED_FORMULA_11_26_11_26_5">ROUND("#ref!"*"#ref!",2)</definedName>
    <definedName name="SHARED_FORMULA_11_26_11_26_6">ROUND("#ref!"*"#ref!",2)</definedName>
    <definedName name="SHARED_FORMULA_11_36_11_36_5">ROUND("#ref!"*"#ref!",2)</definedName>
    <definedName name="SHARED_FORMULA_11_45_11_45_6">ROUND("#ref!"*"#ref!",2)</definedName>
    <definedName name="SHARED_FORMULA_11_63_11_63_5">ROUND("#ref!"*"#ref!",2)</definedName>
    <definedName name="SHARED_FORMULA_11_73_11_73_5">ROUND("#ref!"*"#ref!",2)</definedName>
    <definedName name="SHARED_FORMULA_15_17_15_17_1">"#ref!"/"#ref!"</definedName>
    <definedName name="SHARED_FORMULA_15_17_15_17_5">"#ref!"/"#ref!"</definedName>
    <definedName name="SHARED_FORMULA_15_19_15_19_6">"#ref!"/"#ref!"</definedName>
    <definedName name="SHARED_FORMULA_15_21_15_21_2">"#ref!"/"#ref!"</definedName>
    <definedName name="SHARED_FORMULA_15_26_15_26_5">"#ref!"/"#ref!"</definedName>
    <definedName name="SHARED_FORMULA_15_39_15_39_5">"#ref!"/"#ref!"</definedName>
    <definedName name="SHARED_FORMULA_15_45_15_45_6">"#ref!"/"#ref!"</definedName>
    <definedName name="SHARED_FORMULA_15_52_15_52_2">"#ref!"/"#ref!"</definedName>
    <definedName name="SHARED_FORMULA_15_73_15_73_5">"#ref!"/"#ref!"</definedName>
    <definedName name="SHARED_FORMULA_17_21_17_21_3">"#ref!"/"#ref!"</definedName>
    <definedName name="SHARED_FORMULA_17_21_17_21_4">"#ref!"/"#ref!"</definedName>
    <definedName name="SHARED_FORMULA_17_21_17_21_7">"#ref!"/"#ref!"</definedName>
    <definedName name="SHARED_FORMULA_30_18_30_18_5">"#ref!"/"#ref!"</definedName>
    <definedName name="Valtec">[2]Опалення!#REF!</definedName>
    <definedName name="work" localSheetId="0">#REF!</definedName>
    <definedName name="work">#REF!</definedName>
    <definedName name="АВР" localSheetId="0">[3]ПРОЦЕНТОВАНИЕ!#REF!</definedName>
    <definedName name="АВР">[3]ПРОЦЕНТОВАНИЕ!#REF!</definedName>
    <definedName name="аенор" localSheetId="0">#REF!</definedName>
    <definedName name="аенор">#REF!</definedName>
    <definedName name="али" localSheetId="0">#REF!</definedName>
    <definedName name="али">#REF!</definedName>
    <definedName name="Арматура" localSheetId="0">[2]Опалення!#REF!</definedName>
    <definedName name="Арматура">[2]Опалення!#REF!</definedName>
    <definedName name="б">'[4]Порівн ПЗН_4 (2)'!$O$2</definedName>
    <definedName name="ва" localSheetId="0">#REF!</definedName>
    <definedName name="ва">#REF!</definedName>
    <definedName name="ваваимява" localSheetId="0">#REF!</definedName>
    <definedName name="ваваимява">#REF!</definedName>
    <definedName name="Валюта">#REF!</definedName>
    <definedName name="варніек" localSheetId="0">#REF!</definedName>
    <definedName name="варніек">#REF!</definedName>
    <definedName name="ВВВВ">#REF!</definedName>
    <definedName name="ВР">'[5]ВР_12.2018'!$B$15:$B$52</definedName>
    <definedName name="Всего" localSheetId="0">#REF!</definedName>
    <definedName name="Всего">#REF!</definedName>
    <definedName name="ДЦ">#REF!</definedName>
    <definedName name="ДЦ_10.10.2025">#REF!</definedName>
    <definedName name="ДЦ_10.10.25">#REF!</definedName>
    <definedName name="дц_10_10">#REF!</definedName>
    <definedName name="дц_10_10_25">#REF!</definedName>
    <definedName name="ДЦ_кориг_10.10.25">#REF!</definedName>
    <definedName name="Дым_еств" localSheetId="0">#REF!</definedName>
    <definedName name="Дым_еств">#REF!</definedName>
    <definedName name="еарар" localSheetId="0">#REF!</definedName>
    <definedName name="еарар">#REF!</definedName>
    <definedName name="Еденица">#REF!</definedName>
    <definedName name="еденицы_измерения">#REF!</definedName>
    <definedName name="Електрообігрів">#REF!</definedName>
    <definedName name="ж">#REF!</definedName>
    <definedName name="з">'[4]Порівн ПЗН_4 (2)'!$R$2</definedName>
    <definedName name="итог" localSheetId="0">#REF!</definedName>
    <definedName name="итог">#REF!</definedName>
    <definedName name="йц" localSheetId="0">#REF!</definedName>
    <definedName name="йц">#REF!</definedName>
    <definedName name="К_знижки" localSheetId="0">[2]Опалення!#REF!</definedName>
    <definedName name="К_знижки">[2]Опалення!#REF!</definedName>
    <definedName name="Кориг_10.10.25">#REF!</definedName>
    <definedName name="кровля" localSheetId="0">#REF!</definedName>
    <definedName name="кровля">#REF!</definedName>
    <definedName name="Курс_долар" localSheetId="0">[2]Опалення!#REF!</definedName>
    <definedName name="Курс_долар">[2]Опалення!#REF!</definedName>
    <definedName name="Курс_євро" localSheetId="0">[2]Опалення!#REF!</definedName>
    <definedName name="Курс_євро">[2]Опалення!#REF!</definedName>
    <definedName name="Материал" hidden="1">'[6]Сводная по мат-лам'!$B$5:$B$74</definedName>
    <definedName name="матеріали">'[7]матер-ли'!$B$6:$B$244</definedName>
    <definedName name="матеркладка" hidden="1">'[8]ИВР акту 74'!$B$15:$B$52</definedName>
    <definedName name="мм" localSheetId="0">#REF!</definedName>
    <definedName name="мм">#REF!</definedName>
    <definedName name="Монтаж_вентиляции">#REF!</definedName>
    <definedName name="Монтаж_отопления">#REF!</definedName>
    <definedName name="Назва_матеріалу">'[9]Відомість ресурсів'!$B$2:$B$46</definedName>
    <definedName name="Назваматер" hidden="1">'[10]Сводная по арматуре'!$B$5:$B$50</definedName>
    <definedName name="_xlnm.Print_Area" localSheetId="0">'ДЦ1 Паркінг Тех.прим. 201125'!$A$1:$H$858</definedName>
    <definedName name="Опалювальн_прилади" localSheetId="0">[2]Опалення!#REF!</definedName>
    <definedName name="Опалювальн_прилади">[2]Опалення!#REF!</definedName>
    <definedName name="ПДВ">#REF!</definedName>
    <definedName name="приямки15.10.2025">#REF!</definedName>
    <definedName name="Пусконаладка" localSheetId="0">#REF!</definedName>
    <definedName name="Пусконаладка">#REF!</definedName>
    <definedName name="р.3" localSheetId="0">#REF!</definedName>
    <definedName name="р.3">#REF!</definedName>
    <definedName name="р.5" localSheetId="0">#REF!</definedName>
    <definedName name="р.5">#REF!</definedName>
    <definedName name="р.6">#REF!</definedName>
    <definedName name="ррррр">#REF!</definedName>
    <definedName name="СКС">#REF!</definedName>
    <definedName name="Список">#REF!</definedName>
    <definedName name="Таблица_задач1">#REF!</definedName>
    <definedName name="Участники_ср">#REF!</definedName>
    <definedName name="фыва">#REF!</definedName>
    <definedName name="х">#REF!</definedName>
    <definedName name="ЦЕНА">#REF!</definedName>
    <definedName name="цены_вентиляция">#REF!</definedName>
    <definedName name="цены_отопления">#REF!</definedName>
    <definedName name="щ">#REF!</definedName>
    <definedName name="явапияваим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2" l="1"/>
  <c r="H22" i="2"/>
  <c r="H39" i="2"/>
  <c r="H46" i="2"/>
  <c r="H61" i="2"/>
  <c r="H77" i="2"/>
  <c r="H101" i="2"/>
  <c r="H116" i="2"/>
  <c r="H132" i="2"/>
  <c r="H149" i="2"/>
  <c r="H156" i="2"/>
  <c r="H179" i="2"/>
  <c r="H231" i="2"/>
  <c r="H275" i="2"/>
  <c r="H299" i="2"/>
  <c r="H375" i="2"/>
  <c r="H418" i="2"/>
  <c r="H437" i="2"/>
  <c r="H459" i="2"/>
  <c r="H475" i="2"/>
  <c r="H499" i="2"/>
  <c r="H576" i="2"/>
  <c r="H595" i="2"/>
  <c r="H607" i="2"/>
  <c r="H632" i="2"/>
  <c r="H676" i="2"/>
  <c r="H687" i="2"/>
  <c r="H698" i="2"/>
  <c r="H714" i="2"/>
  <c r="H728" i="2"/>
  <c r="H745" i="2"/>
  <c r="H767" i="2"/>
  <c r="H789" i="2"/>
  <c r="H813" i="2"/>
  <c r="H829" i="2"/>
  <c r="D855" i="2" l="1"/>
  <c r="D854" i="2"/>
  <c r="D853" i="2"/>
  <c r="D852" i="2"/>
  <c r="E851" i="2"/>
  <c r="H851" i="2" s="1"/>
  <c r="E848" i="2"/>
  <c r="E847" i="2"/>
  <c r="E846" i="2"/>
  <c r="E845" i="2"/>
  <c r="E843" i="2"/>
  <c r="E841" i="2"/>
  <c r="H841" i="2" s="1"/>
  <c r="E839" i="2"/>
  <c r="E838" i="2"/>
  <c r="E837" i="2"/>
  <c r="E836" i="2"/>
  <c r="E834" i="2"/>
  <c r="E832" i="2"/>
  <c r="H832" i="2" s="1"/>
  <c r="E830" i="2"/>
  <c r="D828" i="2"/>
  <c r="E827" i="2"/>
  <c r="H827" i="2" s="1"/>
  <c r="D826" i="2"/>
  <c r="E825" i="2"/>
  <c r="H825" i="2" s="1"/>
  <c r="E822" i="2"/>
  <c r="H822" i="2" s="1"/>
  <c r="D819" i="2"/>
  <c r="D817" i="2"/>
  <c r="E816" i="2"/>
  <c r="E815" i="2"/>
  <c r="E814" i="2"/>
  <c r="D810" i="2"/>
  <c r="E809" i="2"/>
  <c r="H809" i="2" s="1"/>
  <c r="E806" i="2"/>
  <c r="H806" i="2" s="1"/>
  <c r="D803" i="2"/>
  <c r="D801" i="2"/>
  <c r="D800" i="2"/>
  <c r="D799" i="2"/>
  <c r="E798" i="2"/>
  <c r="H798" i="2" s="1"/>
  <c r="E795" i="2"/>
  <c r="H795" i="2" s="1"/>
  <c r="E794" i="2"/>
  <c r="E793" i="2"/>
  <c r="E792" i="2"/>
  <c r="E791" i="2"/>
  <c r="E790" i="2"/>
  <c r="D785" i="2"/>
  <c r="E784" i="2"/>
  <c r="D781" i="2"/>
  <c r="D779" i="2"/>
  <c r="D778" i="2"/>
  <c r="D777" i="2"/>
  <c r="E776" i="2"/>
  <c r="E773" i="2"/>
  <c r="E772" i="2"/>
  <c r="E771" i="2"/>
  <c r="E770" i="2"/>
  <c r="E769" i="2"/>
  <c r="E768" i="2"/>
  <c r="E762" i="2"/>
  <c r="D759" i="2"/>
  <c r="D757" i="2"/>
  <c r="D756" i="2"/>
  <c r="D755" i="2"/>
  <c r="E754" i="2"/>
  <c r="E751" i="2"/>
  <c r="E750" i="2"/>
  <c r="E749" i="2"/>
  <c r="E748" i="2"/>
  <c r="E747" i="2"/>
  <c r="E746" i="2"/>
  <c r="D740" i="2"/>
  <c r="D738" i="2"/>
  <c r="D737" i="2"/>
  <c r="D736" i="2"/>
  <c r="E735" i="2"/>
  <c r="H735" i="2" s="1"/>
  <c r="E734" i="2"/>
  <c r="E733" i="2"/>
  <c r="E732" i="2"/>
  <c r="E731" i="2"/>
  <c r="E730" i="2"/>
  <c r="E729" i="2"/>
  <c r="E724" i="2"/>
  <c r="E723" i="2"/>
  <c r="E722" i="2"/>
  <c r="E721" i="2"/>
  <c r="E720" i="2"/>
  <c r="E719" i="2"/>
  <c r="E718" i="2"/>
  <c r="E717" i="2"/>
  <c r="E716" i="2"/>
  <c r="E715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2" i="2"/>
  <c r="H692" i="2" s="1"/>
  <c r="E691" i="2"/>
  <c r="E690" i="2"/>
  <c r="E689" i="2"/>
  <c r="E688" i="2"/>
  <c r="E682" i="2"/>
  <c r="E681" i="2"/>
  <c r="E678" i="2"/>
  <c r="H678" i="2" s="1"/>
  <c r="E677" i="2"/>
  <c r="E669" i="2"/>
  <c r="E661" i="2"/>
  <c r="E654" i="2"/>
  <c r="E643" i="2"/>
  <c r="E637" i="2"/>
  <c r="H637" i="2" s="1"/>
  <c r="E634" i="2"/>
  <c r="E633" i="2"/>
  <c r="D626" i="2"/>
  <c r="D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4" i="2"/>
  <c r="E603" i="2"/>
  <c r="E602" i="2"/>
  <c r="E601" i="2"/>
  <c r="E599" i="2"/>
  <c r="E598" i="2"/>
  <c r="E597" i="2"/>
  <c r="E596" i="2"/>
  <c r="E590" i="2"/>
  <c r="E587" i="2"/>
  <c r="H587" i="2" s="1"/>
  <c r="E581" i="2"/>
  <c r="E578" i="2"/>
  <c r="E577" i="2"/>
  <c r="A571" i="2"/>
  <c r="A576" i="2" s="1"/>
  <c r="A578" i="2" s="1"/>
  <c r="A581" i="2" s="1"/>
  <c r="A583" i="2" s="1"/>
  <c r="A585" i="2" s="1"/>
  <c r="A587" i="2" s="1"/>
  <c r="A590" i="2" s="1"/>
  <c r="A595" i="2" s="1"/>
  <c r="A607" i="2" s="1"/>
  <c r="A620" i="2" s="1"/>
  <c r="A632" i="2" s="1"/>
  <c r="A634" i="2" s="1"/>
  <c r="A637" i="2" s="1"/>
  <c r="A643" i="2" s="1"/>
  <c r="A649" i="2" s="1"/>
  <c r="A654" i="2" s="1"/>
  <c r="A656" i="2" s="1"/>
  <c r="A661" i="2" s="1"/>
  <c r="A667" i="2" s="1"/>
  <c r="A676" i="2" s="1"/>
  <c r="A678" i="2" s="1"/>
  <c r="A682" i="2" s="1"/>
  <c r="A687" i="2" s="1"/>
  <c r="A692" i="2" s="1"/>
  <c r="A698" i="2" s="1"/>
  <c r="A714" i="2" s="1"/>
  <c r="A728" i="2" s="1"/>
  <c r="A735" i="2" s="1"/>
  <c r="A745" i="2" s="1"/>
  <c r="A751" i="2" s="1"/>
  <c r="A754" i="2" s="1"/>
  <c r="A762" i="2" s="1"/>
  <c r="A767" i="2" s="1"/>
  <c r="A773" i="2" s="1"/>
  <c r="A776" i="2" s="1"/>
  <c r="A784" i="2" s="1"/>
  <c r="A789" i="2" s="1"/>
  <c r="A795" i="2" s="1"/>
  <c r="A798" i="2" s="1"/>
  <c r="A806" i="2" s="1"/>
  <c r="A809" i="2" s="1"/>
  <c r="A813" i="2" s="1"/>
  <c r="A816" i="2" s="1"/>
  <c r="A822" i="2" s="1"/>
  <c r="A825" i="2" s="1"/>
  <c r="A827" i="2" s="1"/>
  <c r="A829" i="2" s="1"/>
  <c r="A832" i="2" s="1"/>
  <c r="A841" i="2" s="1"/>
  <c r="A851" i="2" s="1"/>
  <c r="E569" i="2"/>
  <c r="D564" i="2"/>
  <c r="D563" i="2"/>
  <c r="D562" i="2"/>
  <c r="D561" i="2"/>
  <c r="E560" i="2"/>
  <c r="H560" i="2" s="1"/>
  <c r="E557" i="2"/>
  <c r="E556" i="2"/>
  <c r="E555" i="2"/>
  <c r="E554" i="2"/>
  <c r="E552" i="2"/>
  <c r="E550" i="2"/>
  <c r="H550" i="2" s="1"/>
  <c r="E548" i="2"/>
  <c r="E547" i="2"/>
  <c r="E546" i="2"/>
  <c r="E545" i="2"/>
  <c r="E543" i="2"/>
  <c r="E541" i="2"/>
  <c r="E539" i="2"/>
  <c r="E538" i="2"/>
  <c r="E537" i="2"/>
  <c r="E536" i="2"/>
  <c r="E534" i="2"/>
  <c r="E532" i="2"/>
  <c r="E530" i="2"/>
  <c r="E529" i="2"/>
  <c r="E528" i="2"/>
  <c r="E527" i="2"/>
  <c r="E525" i="2"/>
  <c r="E523" i="2"/>
  <c r="H523" i="2" s="1"/>
  <c r="D520" i="2"/>
  <c r="E519" i="2"/>
  <c r="E516" i="2"/>
  <c r="D513" i="2"/>
  <c r="D511" i="2"/>
  <c r="D510" i="2"/>
  <c r="D509" i="2"/>
  <c r="E508" i="2"/>
  <c r="H508" i="2" s="1"/>
  <c r="E505" i="2"/>
  <c r="H505" i="2" s="1"/>
  <c r="E504" i="2"/>
  <c r="E503" i="2"/>
  <c r="E502" i="2"/>
  <c r="E501" i="2"/>
  <c r="E500" i="2"/>
  <c r="D496" i="2"/>
  <c r="E495" i="2"/>
  <c r="H495" i="2" s="1"/>
  <c r="E492" i="2"/>
  <c r="E489" i="2"/>
  <c r="D486" i="2"/>
  <c r="D484" i="2"/>
  <c r="D483" i="2"/>
  <c r="D482" i="2"/>
  <c r="E481" i="2"/>
  <c r="H481" i="2" s="1"/>
  <c r="E480" i="2"/>
  <c r="E479" i="2"/>
  <c r="E478" i="2"/>
  <c r="E477" i="2"/>
  <c r="E476" i="2"/>
  <c r="D470" i="2"/>
  <c r="D468" i="2"/>
  <c r="D467" i="2"/>
  <c r="D466" i="2"/>
  <c r="E465" i="2"/>
  <c r="E464" i="2"/>
  <c r="E463" i="2"/>
  <c r="E462" i="2"/>
  <c r="E461" i="2"/>
  <c r="E460" i="2"/>
  <c r="D455" i="2"/>
  <c r="E454" i="2"/>
  <c r="D451" i="2"/>
  <c r="D449" i="2"/>
  <c r="D448" i="2"/>
  <c r="D447" i="2"/>
  <c r="E446" i="2"/>
  <c r="E443" i="2"/>
  <c r="E442" i="2"/>
  <c r="E441" i="2"/>
  <c r="E440" i="2"/>
  <c r="E439" i="2"/>
  <c r="E438" i="2"/>
  <c r="E432" i="2"/>
  <c r="D429" i="2"/>
  <c r="D427" i="2"/>
  <c r="D426" i="2"/>
  <c r="D425" i="2"/>
  <c r="E424" i="2"/>
  <c r="E423" i="2"/>
  <c r="E422" i="2"/>
  <c r="E421" i="2"/>
  <c r="E420" i="2"/>
  <c r="E419" i="2"/>
  <c r="D413" i="2"/>
  <c r="D411" i="2"/>
  <c r="D410" i="2"/>
  <c r="D409" i="2"/>
  <c r="E403" i="2"/>
  <c r="E401" i="2"/>
  <c r="E389" i="2"/>
  <c r="E381" i="2"/>
  <c r="E380" i="2"/>
  <c r="E379" i="2"/>
  <c r="E378" i="2"/>
  <c r="E377" i="2"/>
  <c r="E376" i="2"/>
  <c r="E368" i="2"/>
  <c r="E357" i="2"/>
  <c r="E337" i="2"/>
  <c r="A332" i="2"/>
  <c r="A337" i="2" s="1"/>
  <c r="A339" i="2" s="1"/>
  <c r="A342" i="2" s="1"/>
  <c r="A344" i="2" s="1"/>
  <c r="A346" i="2" s="1"/>
  <c r="A348" i="2" s="1"/>
  <c r="A351" i="2" s="1"/>
  <c r="A357" i="2" s="1"/>
  <c r="A363" i="2" s="1"/>
  <c r="A368" i="2" s="1"/>
  <c r="A370" i="2" s="1"/>
  <c r="A375" i="2" s="1"/>
  <c r="A381" i="2" s="1"/>
  <c r="A389" i="2" s="1"/>
  <c r="A395" i="2" s="1"/>
  <c r="A401" i="2" s="1"/>
  <c r="A408" i="2" s="1"/>
  <c r="A418" i="2" s="1"/>
  <c r="A424" i="2" s="1"/>
  <c r="A432" i="2" s="1"/>
  <c r="A437" i="2" s="1"/>
  <c r="A443" i="2" s="1"/>
  <c r="A446" i="2" s="1"/>
  <c r="A454" i="2" s="1"/>
  <c r="A459" i="2" s="1"/>
  <c r="A465" i="2" s="1"/>
  <c r="A475" i="2" s="1"/>
  <c r="A481" i="2" s="1"/>
  <c r="A489" i="2" s="1"/>
  <c r="A492" i="2" s="1"/>
  <c r="A495" i="2" s="1"/>
  <c r="A499" i="2" s="1"/>
  <c r="A505" i="2" s="1"/>
  <c r="A508" i="2" s="1"/>
  <c r="A516" i="2" s="1"/>
  <c r="A519" i="2" s="1"/>
  <c r="A523" i="2" s="1"/>
  <c r="A532" i="2" s="1"/>
  <c r="A541" i="2" s="1"/>
  <c r="A550" i="2" s="1"/>
  <c r="A560" i="2" s="1"/>
  <c r="E330" i="2"/>
  <c r="H330" i="2" s="1"/>
  <c r="D325" i="2"/>
  <c r="D324" i="2"/>
  <c r="D323" i="2"/>
  <c r="D322" i="2"/>
  <c r="E321" i="2"/>
  <c r="H321" i="2" s="1"/>
  <c r="D317" i="2"/>
  <c r="E316" i="2"/>
  <c r="H316" i="2" s="1"/>
  <c r="E313" i="2"/>
  <c r="D310" i="2"/>
  <c r="D308" i="2"/>
  <c r="D307" i="2"/>
  <c r="D306" i="2"/>
  <c r="E305" i="2"/>
  <c r="E304" i="2"/>
  <c r="E303" i="2"/>
  <c r="E302" i="2"/>
  <c r="E301" i="2"/>
  <c r="E300" i="2"/>
  <c r="D296" i="2"/>
  <c r="E295" i="2"/>
  <c r="H295" i="2" s="1"/>
  <c r="E292" i="2"/>
  <c r="H292" i="2" s="1"/>
  <c r="D289" i="2"/>
  <c r="D287" i="2"/>
  <c r="D286" i="2"/>
  <c r="D285" i="2"/>
  <c r="E284" i="2"/>
  <c r="E281" i="2"/>
  <c r="E280" i="2"/>
  <c r="E279" i="2"/>
  <c r="E278" i="2"/>
  <c r="E277" i="2"/>
  <c r="E276" i="2"/>
  <c r="D270" i="2"/>
  <c r="D268" i="2"/>
  <c r="D267" i="2"/>
  <c r="D266" i="2"/>
  <c r="E260" i="2"/>
  <c r="E258" i="2"/>
  <c r="E245" i="2"/>
  <c r="E237" i="2"/>
  <c r="E236" i="2"/>
  <c r="E235" i="2"/>
  <c r="E234" i="2"/>
  <c r="E233" i="2"/>
  <c r="E232" i="2"/>
  <c r="E224" i="2"/>
  <c r="H224" i="2" s="1"/>
  <c r="E213" i="2"/>
  <c r="E198" i="2"/>
  <c r="H198" i="2" s="1"/>
  <c r="E193" i="2"/>
  <c r="H193" i="2" s="1"/>
  <c r="E190" i="2"/>
  <c r="E184" i="2"/>
  <c r="E181" i="2"/>
  <c r="E180" i="2"/>
  <c r="A174" i="2"/>
  <c r="A179" i="2" s="1"/>
  <c r="A181" i="2" s="1"/>
  <c r="A184" i="2" s="1"/>
  <c r="A186" i="2" s="1"/>
  <c r="A188" i="2" s="1"/>
  <c r="A190" i="2" s="1"/>
  <c r="A193" i="2" s="1"/>
  <c r="A198" i="2" s="1"/>
  <c r="A200" i="2" s="1"/>
  <c r="A202" i="2" s="1"/>
  <c r="A204" i="2" s="1"/>
  <c r="A207" i="2" s="1"/>
  <c r="A213" i="2" s="1"/>
  <c r="A219" i="2" s="1"/>
  <c r="A224" i="2" s="1"/>
  <c r="A226" i="2" s="1"/>
  <c r="A231" i="2" s="1"/>
  <c r="A237" i="2" s="1"/>
  <c r="A245" i="2" s="1"/>
  <c r="A251" i="2" s="1"/>
  <c r="A258" i="2" s="1"/>
  <c r="A265" i="2" s="1"/>
  <c r="A275" i="2" s="1"/>
  <c r="A281" i="2" s="1"/>
  <c r="A284" i="2" s="1"/>
  <c r="A292" i="2" s="1"/>
  <c r="A295" i="2" s="1"/>
  <c r="A299" i="2" s="1"/>
  <c r="A305" i="2" s="1"/>
  <c r="A313" i="2" s="1"/>
  <c r="A316" i="2" s="1"/>
  <c r="A321" i="2" s="1"/>
  <c r="E172" i="2"/>
  <c r="H172" i="2" s="1"/>
  <c r="E164" i="2"/>
  <c r="H164" i="2" s="1"/>
  <c r="E161" i="2"/>
  <c r="E160" i="2"/>
  <c r="H160" i="2" s="1"/>
  <c r="E159" i="2"/>
  <c r="E158" i="2"/>
  <c r="D157" i="2"/>
  <c r="E157" i="2" s="1"/>
  <c r="D153" i="2"/>
  <c r="E151" i="2"/>
  <c r="E150" i="2"/>
  <c r="E136" i="2"/>
  <c r="E135" i="2"/>
  <c r="E134" i="2"/>
  <c r="E133" i="2"/>
  <c r="E119" i="2"/>
  <c r="E118" i="2"/>
  <c r="A118" i="2"/>
  <c r="A123" i="2" s="1"/>
  <c r="A132" i="2" s="1"/>
  <c r="A136" i="2" s="1"/>
  <c r="A140" i="2" s="1"/>
  <c r="A149" i="2" s="1"/>
  <c r="A151" i="2" s="1"/>
  <c r="A156" i="2" s="1"/>
  <c r="A160" i="2" s="1"/>
  <c r="A161" i="2" s="1"/>
  <c r="A164" i="2" s="1"/>
  <c r="E117" i="2"/>
  <c r="E105" i="2"/>
  <c r="H105" i="2" s="1"/>
  <c r="E104" i="2"/>
  <c r="E103" i="2"/>
  <c r="D102" i="2"/>
  <c r="E102" i="2" s="1"/>
  <c r="D98" i="2"/>
  <c r="E94" i="2"/>
  <c r="E81" i="2"/>
  <c r="E80" i="2"/>
  <c r="E79" i="2"/>
  <c r="E78" i="2"/>
  <c r="E64" i="2"/>
  <c r="E63" i="2"/>
  <c r="A63" i="2"/>
  <c r="A68" i="2" s="1"/>
  <c r="A77" i="2" s="1"/>
  <c r="A81" i="2" s="1"/>
  <c r="A85" i="2" s="1"/>
  <c r="A94" i="2" s="1"/>
  <c r="A96" i="2" s="1"/>
  <c r="A101" i="2" s="1"/>
  <c r="A105" i="2" s="1"/>
  <c r="A106" i="2" s="1"/>
  <c r="A109" i="2" s="1"/>
  <c r="E62" i="2"/>
  <c r="E54" i="2"/>
  <c r="E51" i="2"/>
  <c r="E50" i="2"/>
  <c r="H50" i="2" s="1"/>
  <c r="E49" i="2"/>
  <c r="E48" i="2"/>
  <c r="D47" i="2"/>
  <c r="E47" i="2" s="1"/>
  <c r="D43" i="2"/>
  <c r="E41" i="2"/>
  <c r="E40" i="2"/>
  <c r="E26" i="2"/>
  <c r="E25" i="2"/>
  <c r="E24" i="2"/>
  <c r="E23" i="2"/>
  <c r="E9" i="2"/>
  <c r="A9" i="2"/>
  <c r="A13" i="2" s="1"/>
  <c r="A22" i="2" s="1"/>
  <c r="A26" i="2" s="1"/>
  <c r="A30" i="2" s="1"/>
  <c r="A39" i="2" s="1"/>
  <c r="A41" i="2" s="1"/>
  <c r="A46" i="2" s="1"/>
  <c r="A50" i="2" s="1"/>
  <c r="A51" i="2" s="1"/>
  <c r="A54" i="2" s="1"/>
  <c r="E8" i="2"/>
  <c r="E7" i="2"/>
  <c r="H858" i="2"/>
  <c r="E121" i="2" l="1"/>
  <c r="H119" i="2"/>
  <c r="E140" i="2"/>
  <c r="H140" i="2" s="1"/>
  <c r="H136" i="2"/>
  <c r="E162" i="2"/>
  <c r="H161" i="2"/>
  <c r="E312" i="2"/>
  <c r="H305" i="2"/>
  <c r="E362" i="2"/>
  <c r="H357" i="2"/>
  <c r="E394" i="2"/>
  <c r="H389" i="2"/>
  <c r="E431" i="2"/>
  <c r="H424" i="2"/>
  <c r="E453" i="2"/>
  <c r="H446" i="2"/>
  <c r="E469" i="2"/>
  <c r="H465" i="2"/>
  <c r="E494" i="2"/>
  <c r="H492" i="2"/>
  <c r="E592" i="2"/>
  <c r="H590" i="2"/>
  <c r="E656" i="2"/>
  <c r="H656" i="2" s="1"/>
  <c r="H654" i="2"/>
  <c r="E12" i="2"/>
  <c r="H9" i="2"/>
  <c r="E28" i="2"/>
  <c r="H26" i="2"/>
  <c r="E52" i="2"/>
  <c r="H51" i="2"/>
  <c r="E183" i="2"/>
  <c r="H181" i="2"/>
  <c r="E241" i="2"/>
  <c r="H237" i="2"/>
  <c r="E315" i="2"/>
  <c r="H313" i="2"/>
  <c r="E370" i="2"/>
  <c r="H370" i="2" s="1"/>
  <c r="H368" i="2"/>
  <c r="E404" i="2"/>
  <c r="H401" i="2"/>
  <c r="E434" i="2"/>
  <c r="H432" i="2"/>
  <c r="E456" i="2"/>
  <c r="H454" i="2"/>
  <c r="E544" i="2"/>
  <c r="H541" i="2"/>
  <c r="E580" i="2"/>
  <c r="H578" i="2"/>
  <c r="E624" i="2"/>
  <c r="H620" i="2"/>
  <c r="E636" i="2"/>
  <c r="H634" i="2"/>
  <c r="E667" i="2"/>
  <c r="H667" i="2" s="1"/>
  <c r="H661" i="2"/>
  <c r="E753" i="2"/>
  <c r="H751" i="2"/>
  <c r="E775" i="2"/>
  <c r="H773" i="2"/>
  <c r="E820" i="2"/>
  <c r="H816" i="2"/>
  <c r="E55" i="2"/>
  <c r="H54" i="2"/>
  <c r="E66" i="2"/>
  <c r="H64" i="2"/>
  <c r="E82" i="2"/>
  <c r="H81" i="2"/>
  <c r="E154" i="2"/>
  <c r="H151" i="2"/>
  <c r="E186" i="2"/>
  <c r="H184" i="2"/>
  <c r="E217" i="2"/>
  <c r="H213" i="2"/>
  <c r="E251" i="2"/>
  <c r="H251" i="2" s="1"/>
  <c r="H245" i="2"/>
  <c r="E282" i="2"/>
  <c r="H281" i="2"/>
  <c r="E518" i="2"/>
  <c r="H516" i="2"/>
  <c r="E571" i="2"/>
  <c r="H569" i="2"/>
  <c r="E582" i="2"/>
  <c r="H581" i="2"/>
  <c r="E684" i="2"/>
  <c r="H682" i="2"/>
  <c r="E760" i="2"/>
  <c r="H754" i="2"/>
  <c r="E780" i="2"/>
  <c r="H776" i="2"/>
  <c r="E44" i="2"/>
  <c r="H41" i="2"/>
  <c r="E109" i="2"/>
  <c r="H94" i="2"/>
  <c r="E192" i="2"/>
  <c r="H190" i="2"/>
  <c r="E262" i="2"/>
  <c r="H258" i="2"/>
  <c r="E288" i="2"/>
  <c r="H284" i="2"/>
  <c r="E351" i="2"/>
  <c r="H351" i="2" s="1"/>
  <c r="H337" i="2"/>
  <c r="E385" i="2"/>
  <c r="H381" i="2"/>
  <c r="E444" i="2"/>
  <c r="H443" i="2"/>
  <c r="E491" i="2"/>
  <c r="H489" i="2"/>
  <c r="E521" i="2"/>
  <c r="H519" i="2"/>
  <c r="E535" i="2"/>
  <c r="H532" i="2"/>
  <c r="E645" i="2"/>
  <c r="H643" i="2"/>
  <c r="E763" i="2"/>
  <c r="H762" i="2"/>
  <c r="E786" i="2"/>
  <c r="H784" i="2"/>
  <c r="E818" i="2"/>
  <c r="E583" i="2"/>
  <c r="H583" i="2" s="1"/>
  <c r="E239" i="2"/>
  <c r="E509" i="2"/>
  <c r="E331" i="2"/>
  <c r="E430" i="2"/>
  <c r="E317" i="2"/>
  <c r="E455" i="2"/>
  <c r="E510" i="2"/>
  <c r="E522" i="2"/>
  <c r="E215" i="2"/>
  <c r="E635" i="2"/>
  <c r="E359" i="2"/>
  <c r="E383" i="2"/>
  <c r="E553" i="2"/>
  <c r="E761" i="2"/>
  <c r="E490" i="2"/>
  <c r="E579" i="2"/>
  <c r="E137" i="2"/>
  <c r="E238" i="2"/>
  <c r="E360" i="2"/>
  <c r="E513" i="2"/>
  <c r="E737" i="2"/>
  <c r="E764" i="2"/>
  <c r="E182" i="2"/>
  <c r="E402" i="2"/>
  <c r="E451" i="2"/>
  <c r="E471" i="2"/>
  <c r="E185" i="2"/>
  <c r="E285" i="2"/>
  <c r="E338" i="2"/>
  <c r="E361" i="2"/>
  <c r="E493" i="2"/>
  <c r="E514" i="2"/>
  <c r="E589" i="2"/>
  <c r="E779" i="2"/>
  <c r="E796" i="2"/>
  <c r="E287" i="2"/>
  <c r="E390" i="2"/>
  <c r="E467" i="2"/>
  <c r="E152" i="2"/>
  <c r="E214" i="2"/>
  <c r="E240" i="2"/>
  <c r="E348" i="2"/>
  <c r="E570" i="2"/>
  <c r="E665" i="2"/>
  <c r="E683" i="2"/>
  <c r="E777" i="2"/>
  <c r="E801" i="2"/>
  <c r="E821" i="2"/>
  <c r="E785" i="2"/>
  <c r="E817" i="2"/>
  <c r="E853" i="2"/>
  <c r="E146" i="2"/>
  <c r="E143" i="2"/>
  <c r="E372" i="2"/>
  <c r="E371" i="2"/>
  <c r="E626" i="2"/>
  <c r="E406" i="2"/>
  <c r="E452" i="2"/>
  <c r="E483" i="2"/>
  <c r="E515" i="2"/>
  <c r="E591" i="2"/>
  <c r="E644" i="2"/>
  <c r="E666" i="2"/>
  <c r="E787" i="2"/>
  <c r="E797" i="2"/>
  <c r="E29" i="2"/>
  <c r="E43" i="2"/>
  <c r="E111" i="2"/>
  <c r="E138" i="2"/>
  <c r="E216" i="2"/>
  <c r="E290" i="2"/>
  <c r="E323" i="2"/>
  <c r="E332" i="2"/>
  <c r="E369" i="2"/>
  <c r="E391" i="2"/>
  <c r="E407" i="2"/>
  <c r="E447" i="2"/>
  <c r="E622" i="2"/>
  <c r="E628" i="2"/>
  <c r="E758" i="2"/>
  <c r="E781" i="2"/>
  <c r="E309" i="2"/>
  <c r="E30" i="2"/>
  <c r="E65" i="2"/>
  <c r="E139" i="2"/>
  <c r="E218" i="2"/>
  <c r="E242" i="2"/>
  <c r="E306" i="2"/>
  <c r="E310" i="2"/>
  <c r="E392" i="2"/>
  <c r="E485" i="2"/>
  <c r="E520" i="2"/>
  <c r="E647" i="2"/>
  <c r="E663" i="2"/>
  <c r="E800" i="2"/>
  <c r="E53" i="2"/>
  <c r="E67" i="2"/>
  <c r="E95" i="2"/>
  <c r="E219" i="2"/>
  <c r="E283" i="2"/>
  <c r="E286" i="2"/>
  <c r="E324" i="2"/>
  <c r="E408" i="2"/>
  <c r="E433" i="2"/>
  <c r="E449" i="2"/>
  <c r="E486" i="2"/>
  <c r="E511" i="2"/>
  <c r="E588" i="2"/>
  <c r="E648" i="2"/>
  <c r="E752" i="2"/>
  <c r="E782" i="2"/>
  <c r="E802" i="2"/>
  <c r="E68" i="2"/>
  <c r="E96" i="2"/>
  <c r="H96" i="2" s="1"/>
  <c r="E311" i="2"/>
  <c r="E393" i="2"/>
  <c r="E649" i="2"/>
  <c r="E664" i="2"/>
  <c r="E759" i="2"/>
  <c r="E106" i="2"/>
  <c r="H106" i="2" s="1"/>
  <c r="E308" i="2"/>
  <c r="E450" i="2"/>
  <c r="E799" i="2"/>
  <c r="E805" i="2"/>
  <c r="E395" i="2"/>
  <c r="E405" i="2"/>
  <c r="E445" i="2"/>
  <c r="E253" i="2"/>
  <c r="E252" i="2"/>
  <c r="E145" i="2"/>
  <c r="E141" i="2"/>
  <c r="E153" i="2"/>
  <c r="E194" i="2"/>
  <c r="E294" i="2"/>
  <c r="E293" i="2"/>
  <c r="E526" i="2"/>
  <c r="E123" i="2"/>
  <c r="H123" i="2" s="1"/>
  <c r="E122" i="2"/>
  <c r="E191" i="2"/>
  <c r="E10" i="2"/>
  <c r="E45" i="2"/>
  <c r="E85" i="2"/>
  <c r="H85" i="2" s="1"/>
  <c r="E163" i="2"/>
  <c r="E246" i="2"/>
  <c r="E314" i="2"/>
  <c r="E27" i="2"/>
  <c r="E56" i="2"/>
  <c r="E195" i="2"/>
  <c r="E226" i="2"/>
  <c r="H226" i="2" s="1"/>
  <c r="E225" i="2"/>
  <c r="E264" i="2"/>
  <c r="E263" i="2"/>
  <c r="E318" i="2"/>
  <c r="E506" i="2"/>
  <c r="E507" i="2"/>
  <c r="E600" i="2"/>
  <c r="E639" i="2"/>
  <c r="E638" i="2"/>
  <c r="E650" i="2"/>
  <c r="E83" i="2"/>
  <c r="E120" i="2"/>
  <c r="E13" i="2"/>
  <c r="H13" i="2" s="1"/>
  <c r="E174" i="2"/>
  <c r="H174" i="2" s="1"/>
  <c r="E247" i="2"/>
  <c r="E259" i="2"/>
  <c r="E319" i="2"/>
  <c r="E563" i="2"/>
  <c r="E561" i="2"/>
  <c r="E562" i="2"/>
  <c r="E564" i="2"/>
  <c r="E207" i="2"/>
  <c r="H207" i="2" s="1"/>
  <c r="E200" i="2"/>
  <c r="H200" i="2" s="1"/>
  <c r="E204" i="2"/>
  <c r="H204" i="2" s="1"/>
  <c r="E199" i="2"/>
  <c r="E11" i="2"/>
  <c r="E155" i="2"/>
  <c r="E165" i="2"/>
  <c r="E167" i="2"/>
  <c r="E42" i="2"/>
  <c r="E57" i="2"/>
  <c r="E84" i="2"/>
  <c r="E173" i="2"/>
  <c r="E265" i="2"/>
  <c r="H265" i="2" s="1"/>
  <c r="E296" i="2"/>
  <c r="E325" i="2"/>
  <c r="E322" i="2"/>
  <c r="E353" i="2"/>
  <c r="E166" i="2"/>
  <c r="E188" i="2"/>
  <c r="H188" i="2" s="1"/>
  <c r="E248" i="2"/>
  <c r="E250" i="2"/>
  <c r="E249" i="2"/>
  <c r="E261" i="2"/>
  <c r="E382" i="2"/>
  <c r="E386" i="2"/>
  <c r="E384" i="2"/>
  <c r="E289" i="2"/>
  <c r="E291" i="2"/>
  <c r="E496" i="2"/>
  <c r="E670" i="2"/>
  <c r="E672" i="2"/>
  <c r="E668" i="2"/>
  <c r="E673" i="2"/>
  <c r="E427" i="2"/>
  <c r="E425" i="2"/>
  <c r="E429" i="2"/>
  <c r="E426" i="2"/>
  <c r="E363" i="2"/>
  <c r="H363" i="2" s="1"/>
  <c r="E358" i="2"/>
  <c r="E428" i="2"/>
  <c r="E307" i="2"/>
  <c r="E342" i="2"/>
  <c r="H342" i="2" s="1"/>
  <c r="E339" i="2"/>
  <c r="H339" i="2" s="1"/>
  <c r="E517" i="2"/>
  <c r="E585" i="2"/>
  <c r="H585" i="2" s="1"/>
  <c r="E584" i="2"/>
  <c r="E671" i="2"/>
  <c r="E457" i="2"/>
  <c r="E468" i="2"/>
  <c r="E466" i="2"/>
  <c r="E470" i="2"/>
  <c r="E472" i="2"/>
  <c r="E487" i="2"/>
  <c r="E484" i="2"/>
  <c r="E482" i="2"/>
  <c r="E488" i="2"/>
  <c r="E693" i="2"/>
  <c r="E695" i="2"/>
  <c r="E694" i="2"/>
  <c r="E448" i="2"/>
  <c r="E512" i="2"/>
  <c r="E655" i="2"/>
  <c r="E679" i="2"/>
  <c r="E835" i="2"/>
  <c r="E621" i="2"/>
  <c r="E629" i="2"/>
  <c r="E627" i="2"/>
  <c r="E625" i="2"/>
  <c r="E623" i="2"/>
  <c r="E680" i="2"/>
  <c r="E740" i="2"/>
  <c r="E742" i="2"/>
  <c r="E739" i="2"/>
  <c r="E741" i="2"/>
  <c r="E738" i="2"/>
  <c r="E736" i="2"/>
  <c r="E807" i="2"/>
  <c r="E808" i="2"/>
  <c r="E826" i="2"/>
  <c r="E844" i="2"/>
  <c r="E658" i="2"/>
  <c r="E657" i="2"/>
  <c r="E774" i="2"/>
  <c r="E854" i="2"/>
  <c r="E852" i="2"/>
  <c r="E855" i="2"/>
  <c r="E756" i="2"/>
  <c r="E810" i="2"/>
  <c r="E828" i="2"/>
  <c r="E823" i="2"/>
  <c r="E824" i="2"/>
  <c r="E778" i="2"/>
  <c r="E755" i="2"/>
  <c r="E757" i="2"/>
  <c r="E783" i="2"/>
  <c r="E646" i="2"/>
  <c r="E662" i="2"/>
  <c r="E803" i="2"/>
  <c r="E819" i="2"/>
  <c r="E804" i="2"/>
  <c r="E413" i="2" l="1"/>
  <c r="H408" i="2"/>
  <c r="E221" i="2"/>
  <c r="H219" i="2"/>
  <c r="E33" i="2"/>
  <c r="H30" i="2"/>
  <c r="E112" i="2"/>
  <c r="H109" i="2"/>
  <c r="E572" i="2"/>
  <c r="H571" i="2"/>
  <c r="E352" i="2"/>
  <c r="E34" i="2"/>
  <c r="E396" i="2"/>
  <c r="H395" i="2"/>
  <c r="E651" i="2"/>
  <c r="H649" i="2"/>
  <c r="E74" i="2"/>
  <c r="H68" i="2"/>
  <c r="E144" i="2"/>
  <c r="E573" i="2"/>
  <c r="E334" i="2"/>
  <c r="H332" i="2"/>
  <c r="E142" i="2"/>
  <c r="E350" i="2"/>
  <c r="H348" i="2"/>
  <c r="E110" i="2"/>
  <c r="E187" i="2"/>
  <c r="H186" i="2"/>
  <c r="E397" i="2"/>
  <c r="E69" i="2"/>
  <c r="E333" i="2"/>
  <c r="E98" i="2"/>
  <c r="E97" i="2"/>
  <c r="E35" i="2"/>
  <c r="E32" i="2"/>
  <c r="E349" i="2"/>
  <c r="E412" i="2"/>
  <c r="E411" i="2"/>
  <c r="E415" i="2"/>
  <c r="E99" i="2"/>
  <c r="E100" i="2"/>
  <c r="E73" i="2"/>
  <c r="E72" i="2"/>
  <c r="E70" i="2"/>
  <c r="E410" i="2"/>
  <c r="E71" i="2"/>
  <c r="E31" i="2"/>
  <c r="E36" i="2"/>
  <c r="E220" i="2"/>
  <c r="E409" i="2"/>
  <c r="E414" i="2"/>
  <c r="E108" i="2"/>
  <c r="E107" i="2"/>
  <c r="E364" i="2"/>
  <c r="E365" i="2"/>
  <c r="E176" i="2"/>
  <c r="E175" i="2"/>
  <c r="E127" i="2"/>
  <c r="E129" i="2"/>
  <c r="E125" i="2"/>
  <c r="E128" i="2"/>
  <c r="E124" i="2"/>
  <c r="E126" i="2"/>
  <c r="E189" i="2"/>
  <c r="E586" i="2"/>
  <c r="E202" i="2"/>
  <c r="H202" i="2" s="1"/>
  <c r="E201" i="2"/>
  <c r="E17" i="2"/>
  <c r="E19" i="2"/>
  <c r="E16" i="2"/>
  <c r="E18" i="2"/>
  <c r="E14" i="2"/>
  <c r="E15" i="2"/>
  <c r="E341" i="2"/>
  <c r="E340" i="2"/>
  <c r="E206" i="2"/>
  <c r="E205" i="2"/>
  <c r="E228" i="2"/>
  <c r="E227" i="2"/>
  <c r="E268" i="2"/>
  <c r="E266" i="2"/>
  <c r="E271" i="2"/>
  <c r="E270" i="2"/>
  <c r="E269" i="2"/>
  <c r="E272" i="2"/>
  <c r="E267" i="2"/>
  <c r="E209" i="2"/>
  <c r="E208" i="2"/>
  <c r="E87" i="2"/>
  <c r="E89" i="2"/>
  <c r="E86" i="2"/>
  <c r="E91" i="2"/>
  <c r="E88" i="2"/>
  <c r="E90" i="2"/>
  <c r="E343" i="2"/>
  <c r="E344" i="2"/>
  <c r="H344" i="2" s="1"/>
  <c r="E203" i="2" l="1"/>
  <c r="E346" i="2"/>
  <c r="H346" i="2" s="1"/>
  <c r="E345" i="2"/>
  <c r="E347" i="2" l="1"/>
</calcChain>
</file>

<file path=xl/sharedStrings.xml><?xml version="1.0" encoding="utf-8"?>
<sst xmlns="http://schemas.openxmlformats.org/spreadsheetml/2006/main" count="1707" uniqueCount="251">
  <si>
    <t>№ п/п</t>
  </si>
  <si>
    <t>Найменування робіт</t>
  </si>
  <si>
    <t>КВЕД</t>
  </si>
  <si>
    <t>Од.вим</t>
  </si>
  <si>
    <t>Коеф. Витрат</t>
  </si>
  <si>
    <t>Кількість</t>
  </si>
  <si>
    <t>всього без  ПДВ</t>
  </si>
  <si>
    <t>1</t>
  </si>
  <si>
    <t>Сходова клітка №1                                                                          в осях Б / 2 з відм.-12.100 до -4.600</t>
  </si>
  <si>
    <t>Стелі</t>
  </si>
  <si>
    <t>Оштукатурення стель без маячна</t>
  </si>
  <si>
    <t>43.31</t>
  </si>
  <si>
    <t>м2</t>
  </si>
  <si>
    <t>Грунтувальна суміш Бетоконтакт "Ceresit" CT-19</t>
  </si>
  <si>
    <t>кг</t>
  </si>
  <si>
    <t>Штукатурка KNAUF MP-75 (КНАУФ МП 75) (30кг)</t>
  </si>
  <si>
    <t>Шпаклювання стель в два шари</t>
  </si>
  <si>
    <t>43.34</t>
  </si>
  <si>
    <t>Грунтівка "Ceresit" СT17</t>
  </si>
  <si>
    <t>л</t>
  </si>
  <si>
    <t>KNAUF Шпатлівка HР ФІНІШ Q4, 25 кг.</t>
  </si>
  <si>
    <t>Кутик перфорований 3 м</t>
  </si>
  <si>
    <t>м.п.</t>
  </si>
  <si>
    <t>Фарбування декоративним покриття  Flocks "Антивандальне покриття для місць високої експлуатації" на стелі</t>
  </si>
  <si>
    <t>014 Грунт акрил 10л</t>
  </si>
  <si>
    <t>05 Фарба інтер'єрна Люкс 14.5кг</t>
  </si>
  <si>
    <t>Фарба Multicolor Pietra 15л</t>
  </si>
  <si>
    <t>Пігмент Авантінт Plus CH, 1л</t>
  </si>
  <si>
    <t>Пігмент Авантінт Plus YX, 1л</t>
  </si>
  <si>
    <t>Пігмент Авантінт WX, 1л</t>
  </si>
  <si>
    <t>Стіни</t>
  </si>
  <si>
    <t>Оштукатурення стін</t>
  </si>
  <si>
    <t>Маяк штукатурний 6/18, (0,30) 3м</t>
  </si>
  <si>
    <t>мп</t>
  </si>
  <si>
    <t>Шпаклювання стін в два шари</t>
  </si>
  <si>
    <t>Фарбування декоративним покриття Flocks "Антивандальне покриття для місць високої експлуатації" на стіни</t>
  </si>
  <si>
    <t xml:space="preserve">Підлога </t>
  </si>
  <si>
    <t>Знепилення та грунтування підлоги під влаштування керамічної плитки</t>
  </si>
  <si>
    <t>43.33</t>
  </si>
  <si>
    <t>Облицювання сходинок з площадками керамічними плитками на розчині із сухої суміші 470*470</t>
  </si>
  <si>
    <t>Teo Ceramics (Allore) | Walk Grey F P 470x470x7 NR Mat 1</t>
  </si>
  <si>
    <t>Система вирівнювання плитки Nova (основа 1 мм.,500шт.,+ Клин 200шт.)</t>
  </si>
  <si>
    <t>шт</t>
  </si>
  <si>
    <t>CERESIT СМ-12 Еластична клеюча суміш для плитки і керамограніта, мішок 25 кг</t>
  </si>
  <si>
    <t>Затирка для швів CERESIT CE-40 2 кг колір______</t>
  </si>
  <si>
    <t>Влаштування плінтуса з керамічної плитки 100 мм</t>
  </si>
  <si>
    <t>Зарізання плитки під кутом 45 град.</t>
  </si>
  <si>
    <t>Влаштування цементної стяжки на сходові площадки,  товщ. 20мм під улаштування плитки окремими місцями (за потреби)</t>
  </si>
  <si>
    <t>Siltek F-35 Стяжка високоміцна товщиною 5-50 мм (25 кг)</t>
  </si>
  <si>
    <t>Захист плитки на сходових площадках</t>
  </si>
  <si>
    <t>Армувальний скотч 50 мп</t>
  </si>
  <si>
    <t>ДВП плита 2800x2070 мм</t>
  </si>
  <si>
    <t>Полотно Теплоізол ППЕ 2 мм</t>
  </si>
  <si>
    <t>Сходова клітка №2                                                                    в осях  К/7 з відм.-12.100 до -4.600</t>
  </si>
  <si>
    <t>Сходова клітка №4                                                                   в осях  К/3-4 з відм.-9.250 до -4.600</t>
  </si>
  <si>
    <t>Технічні приміщення на відм.-12.100; -12.700</t>
  </si>
  <si>
    <t>2.6; 2.8; 2.10; 1.3; 1.7; 1.10; 1.12; 1.13; 1.1; 1.2; 1.5; 1.6; 1.9</t>
  </si>
  <si>
    <t xml:space="preserve">Шліфування бетонних стель </t>
  </si>
  <si>
    <t>43.99</t>
  </si>
  <si>
    <r>
      <t>м</t>
    </r>
    <r>
      <rPr>
        <b/>
        <vertAlign val="superscript"/>
        <sz val="10"/>
        <rFont val="Arial"/>
        <family val="2"/>
        <charset val="204"/>
      </rPr>
      <t>2</t>
    </r>
  </si>
  <si>
    <t xml:space="preserve">Круг шліфувальний </t>
  </si>
  <si>
    <t>Фарбування стелі в 3 шари</t>
  </si>
  <si>
    <t xml:space="preserve">Фарба водоемульсійна IN51 поліпшена для вологих приміщень РАЛ 7030 </t>
  </si>
  <si>
    <t>Грунтовка Ceresit СТ-17 (або аналог)</t>
  </si>
  <si>
    <t>2.11; 2.14</t>
  </si>
  <si>
    <t xml:space="preserve">Грунтування під приклейку </t>
  </si>
  <si>
    <t xml:space="preserve"> грунтовка Baumit Super Primer</t>
  </si>
  <si>
    <t>Влаштування ламелей Izovat 90 LF 150мм</t>
  </si>
  <si>
    <t>клей Caparol CT 190 Grau</t>
  </si>
  <si>
    <t xml:space="preserve">Ламелі Izovat 90 LF 150 мм з фаскою </t>
  </si>
  <si>
    <r>
      <t>м</t>
    </r>
    <r>
      <rPr>
        <vertAlign val="superscript"/>
        <sz val="10"/>
        <rFont val="Arial"/>
        <family val="2"/>
        <charset val="204"/>
      </rPr>
      <t>2</t>
    </r>
  </si>
  <si>
    <t>Монтаж фасадної  сітки з нанесенням контактного шару</t>
  </si>
  <si>
    <t xml:space="preserve">Baumit StarTex - склосітка </t>
  </si>
  <si>
    <t>Штукатурка стелі</t>
  </si>
  <si>
    <t>Baumit MPA 35 L</t>
  </si>
  <si>
    <t xml:space="preserve">Грунтування стелі перед шпаклівкою </t>
  </si>
  <si>
    <t xml:space="preserve"> грунтовка Baumit Grund </t>
  </si>
  <si>
    <t>Шпаклювання під фарбування(старт+фініш)</t>
  </si>
  <si>
    <t>Baumit MPI 25</t>
  </si>
  <si>
    <t>Baumit FinoFinish S</t>
  </si>
  <si>
    <t>Фарба водоемульсійна IN51 (або аналог) РАЛ 7030</t>
  </si>
  <si>
    <t xml:space="preserve">2.7; 2.9; 2.13; 2.15; 2.16 </t>
  </si>
  <si>
    <t xml:space="preserve">Грунтування </t>
  </si>
  <si>
    <t>2.6; 2.8; 2.10; 1.3; 1.7; 1.10; 1.12; 1.13</t>
  </si>
  <si>
    <t>Шпаклювання стін під фарбування</t>
  </si>
  <si>
    <t>Шпаклівка "KNAUF" HP Фініш (або аналог)</t>
  </si>
  <si>
    <t>Шпаклівка Acryl-Putz ST10 Старт (або аналог)</t>
  </si>
  <si>
    <t>Сітка шліфувальна 180</t>
  </si>
  <si>
    <t>шт.</t>
  </si>
  <si>
    <t>Кутик перфорований</t>
  </si>
  <si>
    <t>м/п</t>
  </si>
  <si>
    <t>Фарбування стін в 3 шари</t>
  </si>
  <si>
    <t>Фарба водоемульсійна IN51 (поліпшена для вологих приміщень РАЛ 7030)</t>
  </si>
  <si>
    <t>2.11; 2.14; 1.3; 1.7; 1.10; 1.12; 1.13</t>
  </si>
  <si>
    <t>1.1; 1.2; 1.5; 1.6; 1.9</t>
  </si>
  <si>
    <t>Штукатурення стін</t>
  </si>
  <si>
    <t>Рейка для вологих штукатурок Маяк,6мм, 3м</t>
  </si>
  <si>
    <t>Кут для мокрої штукатурки пластиковий, 3м</t>
  </si>
  <si>
    <t>Штукатурка для машинного нанесення МРІ-25</t>
  </si>
  <si>
    <t>Грунтувальна суміш Бетоконтакт</t>
  </si>
  <si>
    <t>Склосітка армувальна КЛС,160кг/м2</t>
  </si>
  <si>
    <t>Монтаж керамограніту</t>
  </si>
  <si>
    <t>Керамограніт CARTER 1200*600</t>
  </si>
  <si>
    <t>Клей Ceresit CM-11(або аналог)</t>
  </si>
  <si>
    <t>Система вирівнювання плитки</t>
  </si>
  <si>
    <t>Фуга для плитки "Ceresit" CЕ-40</t>
  </si>
  <si>
    <t>2.7; 2.9; 2.13; 2.15; 2.16</t>
  </si>
  <si>
    <t>Підлоги</t>
  </si>
  <si>
    <t>1.1; 1.2; 1.5; 1.6; 1.7; 1.9; 1.12; 1.12; 2.6; 2.7; 2.9; 2.11; 2.13; 1.3; 1.10</t>
  </si>
  <si>
    <t>Керамогранітна плитка на клею</t>
  </si>
  <si>
    <t xml:space="preserve">Керамограніт CARTER 1200*600 </t>
  </si>
  <si>
    <t>Ц/п стяжка М200 армований сіткою Ø6мм, чарунками 200х200мм - 85 мм.</t>
  </si>
  <si>
    <t>Цемент М500</t>
  </si>
  <si>
    <t>т</t>
  </si>
  <si>
    <t>Пісок річковий</t>
  </si>
  <si>
    <t>Гранвідсів</t>
  </si>
  <si>
    <t>Сітка ВР-1 Ф6мм 200х200</t>
  </si>
  <si>
    <t>Дріт в'язальний 1,2</t>
  </si>
  <si>
    <t>Фіксатори для сітки</t>
  </si>
  <si>
    <t>Демпферна стрічка</t>
  </si>
  <si>
    <t>2.11</t>
  </si>
  <si>
    <t>Обмазувальна гідроізоляція</t>
  </si>
  <si>
    <t>Гідроізоляція CR-65 CR-66 (або аналог)</t>
  </si>
  <si>
    <t>Поліетиленова плівка</t>
  </si>
  <si>
    <t>Плівка</t>
  </si>
  <si>
    <t>Стрічка К2</t>
  </si>
  <si>
    <t>Керамзитобетон 0-600мм</t>
  </si>
  <si>
    <t>Керамзитобетон 300мм</t>
  </si>
  <si>
    <r>
      <t>м</t>
    </r>
    <r>
      <rPr>
        <vertAlign val="superscript"/>
        <sz val="10"/>
        <rFont val="Arial"/>
        <family val="2"/>
        <charset val="204"/>
      </rPr>
      <t>3</t>
    </r>
  </si>
  <si>
    <t>2.8; 2.10; 2.14; 2.15; 2.16</t>
  </si>
  <si>
    <t>Ц/п стяжка М200 армований сіткою Ø6мм, чарунками 200х200мм з ухилом 60-80мм - 80 мм.</t>
  </si>
  <si>
    <t>Мембрана з хімічно зшитого поліетилену Vibrostop - 10 мм.</t>
  </si>
  <si>
    <t>Мембрана Vibrostop - 10 мм.</t>
  </si>
  <si>
    <t>Стрічка армована самоклеюча</t>
  </si>
  <si>
    <t>Рулонна гідроізоляція - 5 мм.</t>
  </si>
  <si>
    <t>Рулонна гідроізоляція</t>
  </si>
  <si>
    <t>Бітумний праймер</t>
  </si>
  <si>
    <t>Газ пропан</t>
  </si>
  <si>
    <t>Плінтус з керамограніту</t>
  </si>
  <si>
    <t>Влаштування плінтусу  з керамограніту Н=100мм в рівень з фінішним покриттям стін</t>
  </si>
  <si>
    <t>Технічні приміщення на відм.-8.350; -9.250</t>
  </si>
  <si>
    <t>2.8; 2.15; 2.16; 2.19; 2.22; 1.7; 1.12; 1.14; 1.15; 2.10; 2.12; 1.3; 1.1; 1.2; 1.5; 1.6; 1.9</t>
  </si>
  <si>
    <t>1.7; 1.12; 1.14; 1.15; 2.10; 2.12; 1.3; 2.6; 2.7; 2.9; 2.18; 2.11; 2.13; 2.14; 2.23; 2.24; 2.20</t>
  </si>
  <si>
    <t>Штукатурка стель</t>
  </si>
  <si>
    <t xml:space="preserve">Грунтування стель перед шпаклівкою </t>
  </si>
  <si>
    <t>2.8; 2.15; 2,16; 2.19; 2.22</t>
  </si>
  <si>
    <t>1.7; 1.12; 1.14; 1.15; 2.10; 2.12; 1.3</t>
  </si>
  <si>
    <t>2.20; 2.6; 2.7; 2.9; 2.18; 2.11; 2.13; 2.14; 2.23; 2.24</t>
  </si>
  <si>
    <t>1.1; 1.2; 1.3; 1.5; 1.6; 1.7; 1.9; 1.12; 1.15; 2.12</t>
  </si>
  <si>
    <t>2.8; 2.10; 2.19; 2.22</t>
  </si>
  <si>
    <t>Ц/п стяжка М200 армований сіткою Ø6мм, чарунками 200х200мм з ухилом - 75 мм.</t>
  </si>
  <si>
    <t>2.18</t>
  </si>
  <si>
    <t>Ц/п стяжка М200 армований сіткою Ø6мм, чарунками 200х200мм з ухилом 40-85мм - 80 мм.</t>
  </si>
  <si>
    <t>1.14; 2.11</t>
  </si>
  <si>
    <t>Ц/п стяжка М200 армований сіткою Ø6мм, чарунками 200х200мм з ухилом 0-185мм - 100 мм.</t>
  </si>
  <si>
    <t>2.13; 2.14; 2.23; 2.24</t>
  </si>
  <si>
    <t>Ц/п стяжка М200 армований сіткою Ø6мм, чарунками 200х200мм - 75 мм.</t>
  </si>
  <si>
    <t>Керамзитобетон 100мм</t>
  </si>
  <si>
    <t>2.6; 2.7; 2.9; 2.20</t>
  </si>
  <si>
    <t>Ц/п стяжка М200 армований сіткою Ø6мм, чарунками 200х200мм 45-70 - 70 мм.</t>
  </si>
  <si>
    <t>Мембрана з хімічно зшитого поліетилену Vibrostop - 10 мм. З заведенням на стіну</t>
  </si>
  <si>
    <t>Влаштування фундамента Фм1 (1300*900*200) на віброізолюючих опорах</t>
  </si>
  <si>
    <t>м3</t>
  </si>
  <si>
    <t>Віброізолююча опора Vibrofix Block 041725/01S t=25мм</t>
  </si>
  <si>
    <t>Клей поліуретановий 2-компонентний Kiilto 2K PARQUET 5 кг +0,55 кг</t>
  </si>
  <si>
    <t>Бетон С25/30 (матеріал генпідрядника)</t>
  </si>
  <si>
    <t>Плита OSB-3 25мм</t>
  </si>
  <si>
    <t>Плівка поліетиленова POLYGREEN будівельна</t>
  </si>
  <si>
    <t xml:space="preserve"> Грунтовка Baumit Super Primer</t>
  </si>
  <si>
    <t>Фарба акрилова для бетонної підлоги АК-11</t>
  </si>
  <si>
    <t>Влаштування фундамента Фм2 (1230*870*200) на віброізолюючих опорах</t>
  </si>
  <si>
    <t>Влаштування фундамента Фм3 (800*500*200) на віброізолюючих опорах</t>
  </si>
  <si>
    <t>Влаштування фундамента Фм7 (2200*1100*150) на віброізолюючих опорах</t>
  </si>
  <si>
    <t>Технічні приміщення на відм.-4.600</t>
  </si>
  <si>
    <t>2.2; 2.8; 2.10; 2.8.1; 1.1; 1.2; 1.5; 1.6; 1.9; 1.23; 2.19; 1.11; 1.3; 1.12; 2.17; 2.19</t>
  </si>
  <si>
    <t>2.7</t>
  </si>
  <si>
    <t>2.21 (Тех.прим. Газкуллера)</t>
  </si>
  <si>
    <t>Влаштування звукопоглинального екрану за допомогою фальшстіни в 1 шар</t>
  </si>
  <si>
    <t>43.29</t>
  </si>
  <si>
    <t>Профіль Z-подібний оцинкований 150х32х1,2</t>
  </si>
  <si>
    <t>Профіль CD 60*27 0.55 (3м)</t>
  </si>
  <si>
    <t>Звукоізоляційна стрічка Vibrofix Norma 50/5</t>
  </si>
  <si>
    <t>Саморіз 3,5х9,5</t>
  </si>
  <si>
    <t>Дюбель/анкер, 6/40</t>
  </si>
  <si>
    <t>Утеплювач базальтовий 135 кг/м3, 100мм</t>
  </si>
  <si>
    <t>Акустична мінеральна вата AcousticWool Sonet Р 1000*600*50мм</t>
  </si>
  <si>
    <t>Оцинкований металевий перфорований лист t=0,6-0,8мм з коефіцієнтом перфорації не менше ніж 30%, або 
просічно витяжний лист типу ПВЛ-102</t>
  </si>
  <si>
    <t>Саморіз DIN 750к S T4.8 l=19мм.</t>
  </si>
  <si>
    <t>2.16 (Камера трансформаторів)</t>
  </si>
  <si>
    <t>Влаштування звукоізоляції за допомогою фальшстелі в 2 шари на дворівневому каркасі</t>
  </si>
  <si>
    <t>З'єднувач хрестовий поперечний 60/60 для CD</t>
  </si>
  <si>
    <t>Кріплення Vibrofix SPU + ноніус підвіс Knauf</t>
  </si>
  <si>
    <t>Дюбель/анкер для Vibrofix, 6/60</t>
  </si>
  <si>
    <t xml:space="preserve">Звукоізоляційна стрічка Vibrofix Norma 50/5 </t>
  </si>
  <si>
    <t>Акустична мінеральна вата AcousticWool Sonet 1000*600*50мм в два шари</t>
  </si>
  <si>
    <t>Лист гіпсокартону Knauf Titan (Silentboard) 12,5 мм</t>
  </si>
  <si>
    <t>Саморізи XTN 3,9x23</t>
  </si>
  <si>
    <t>Саморізи XTN 3,9x38</t>
  </si>
  <si>
    <t>Саморізи XTN 3,9x55</t>
  </si>
  <si>
    <t>Шпаклівка гіпсова Knauf Uniflot 25 кг</t>
  </si>
  <si>
    <t>Влаштування звукопоглинального облицювання за допомогою фальшстелі в 1 шар</t>
  </si>
  <si>
    <t xml:space="preserve">Профіль направляючий  UD 28 </t>
  </si>
  <si>
    <t>Хрестоподібний кронштейн (краб) однорівневий</t>
  </si>
  <si>
    <t xml:space="preserve">П-подібний кронштейн </t>
  </si>
  <si>
    <t>Акустична мінеральна вата AcousticWool Sonet Р 1000*600*100мм</t>
  </si>
  <si>
    <t>2.9; 2.13; 2.14; 2.15; 2.18; 2.20</t>
  </si>
  <si>
    <t>2.2; 2.8; 1.3; 1.12; 2.7</t>
  </si>
  <si>
    <t>1.3; 1.12; 2.17; 2.19</t>
  </si>
  <si>
    <t>2.10; 2.8.1; 1.1; 1.2; 1.5; 1.6; 1.9; 1.23; 2.19; 1.11</t>
  </si>
  <si>
    <t xml:space="preserve">Грунтування стін перед шпаклівкою </t>
  </si>
  <si>
    <t>Улаштування звукопоглинального облицювання стін</t>
  </si>
  <si>
    <t>Звукопоглинальні панелі Tetrakustik Techno plus 2400*600*45 мм</t>
  </si>
  <si>
    <t>Гернітовий шнур д30</t>
  </si>
  <si>
    <t>Утеплювач мін вата  30 мм</t>
  </si>
  <si>
    <t xml:space="preserve">Дюбель швидкого монтажу 6x80мм </t>
  </si>
  <si>
    <t>Фарбування стін з попереднім грунтуванням  (за 2 рази)</t>
  </si>
  <si>
    <t>Maxima грунтовка акрилова</t>
  </si>
  <si>
    <t>Стрічка малярська, 38 мм</t>
  </si>
  <si>
    <t>Фарба  Farbex Універсальна поліпшена для вологих приміщень РАЛ 7030</t>
  </si>
  <si>
    <t>Влаштування звукоізоляції за допомогою ГКЛ фальшстіни в 2 шари</t>
  </si>
  <si>
    <t>Кріплення Vibrofix CD</t>
  </si>
  <si>
    <t>Дюбель/анкер для кріплення Vibrofix Liner, 8/60</t>
  </si>
  <si>
    <t>Дюбель/анкер для Vibrofix, 6/40</t>
  </si>
  <si>
    <t>Акустична мінеральна вата AcousticWool Sonet 1000*600*50мм в 2 шари</t>
  </si>
  <si>
    <t>Звукоізоляційна мембрана Vibrofix ML</t>
  </si>
  <si>
    <t>Герметик акустичний Vibrofix db20</t>
  </si>
  <si>
    <t>Влаштування звукоізоляції за допомогою фальшстіни в 1 шар з облицюванням металевим перфоромваним листом</t>
  </si>
  <si>
    <t>1.1; 1.2; 1.3; 1.5; 1.6; 1.9; 1.11, 1.12; 1.17</t>
  </si>
  <si>
    <t>2.8; 2.8.1; 2.9; 2.13; 2.14; 2.15; 2.18; 2.19; 2.20; 2.21</t>
  </si>
  <si>
    <t>Ц/п стяжка М200 армований сіткою Ø6мм, чарунками 200х200мм з ухилом 60-135мм - 100мм</t>
  </si>
  <si>
    <t>2.2; 2.10; 1.23</t>
  </si>
  <si>
    <t>Керамзитобетон 130-180мм</t>
  </si>
  <si>
    <t>Керамзитобетон 155мм</t>
  </si>
  <si>
    <t>2.16</t>
  </si>
  <si>
    <t>Обезпилення та фарбування</t>
  </si>
  <si>
    <t>Бетонна стяжка В25 армований сіткою Ø8А500С, чарунками 200х200мм 100мм.</t>
  </si>
  <si>
    <t>Бетон С20/25</t>
  </si>
  <si>
    <t>Сітка зварна з арматури у картах А500С, 200*200, Ø 8</t>
  </si>
  <si>
    <t>Поліетиленова плівка з заведенням на стіну</t>
  </si>
  <si>
    <t>Звукоізоляційний шар 20 мм</t>
  </si>
  <si>
    <t>AcousticWool Sonet F, 20мм</t>
  </si>
  <si>
    <t>Керамзитобетон 125мм</t>
  </si>
  <si>
    <t>Кромка з пружинної прокладки</t>
  </si>
  <si>
    <t>м.п</t>
  </si>
  <si>
    <t>Vibrofix Norma, 100/8мм</t>
  </si>
  <si>
    <t>Влаштування фундаментів для трансформаорів 1600кВА (1400*1900*200)                                                на віброізолюючих опорах - 2шт</t>
  </si>
  <si>
    <r>
      <t>м</t>
    </r>
    <r>
      <rPr>
        <b/>
        <vertAlign val="superscript"/>
        <sz val="10"/>
        <rFont val="Arial"/>
        <family val="2"/>
        <charset val="204"/>
      </rPr>
      <t>3</t>
    </r>
  </si>
  <si>
    <t>Влаштування фундаментів для трансформаорів 2000кВА (1700*2200*200)                                                на віброізолюючих опорах - 2шт</t>
  </si>
  <si>
    <t>Всього</t>
  </si>
  <si>
    <t>грн</t>
  </si>
  <si>
    <t>Розцінка за 1 од. виміру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</si>
</sst>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р_.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8"/>
      <name val="Arial"/>
      <family val="2"/>
      <charset val="204"/>
    </font>
    <font>
      <sz val="8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sz val="10"/>
      <color theme="8"/>
      <name val="Arial"/>
      <family val="2"/>
      <charset val="204"/>
    </font>
    <font>
      <sz val="11"/>
      <color indexed="8"/>
      <name val="Calibri"/>
      <family val="2"/>
      <charset val="204"/>
    </font>
    <font>
      <b/>
      <vertAlign val="superscript"/>
      <sz val="10"/>
      <name val="Arial"/>
      <family val="2"/>
      <charset val="204"/>
    </font>
    <font>
      <sz val="10"/>
      <name val="Franklin Gothic"/>
      <charset val="204"/>
    </font>
    <font>
      <b/>
      <sz val="10"/>
      <name val="Franklin Gothic"/>
      <charset val="204"/>
    </font>
    <font>
      <vertAlign val="superscript"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i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0" fontId="13" fillId="0" borderId="0">
      <alignment horizontal="left"/>
    </xf>
    <xf numFmtId="0" fontId="16" fillId="0" borderId="0"/>
    <xf numFmtId="0" fontId="23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>
      <protection locked="0"/>
    </xf>
    <xf numFmtId="0" fontId="26" fillId="0" borderId="0">
      <protection locked="0"/>
    </xf>
    <xf numFmtId="0" fontId="13" fillId="0" borderId="0">
      <protection locked="0"/>
    </xf>
    <xf numFmtId="0" fontId="8" fillId="0" borderId="0">
      <alignment vertical="center"/>
    </xf>
    <xf numFmtId="0" fontId="16" fillId="0" borderId="0">
      <protection locked="0"/>
    </xf>
    <xf numFmtId="43" fontId="26" fillId="0" borderId="0">
      <alignment vertical="top"/>
      <protection locked="0"/>
    </xf>
    <xf numFmtId="0" fontId="23" fillId="0" borderId="0">
      <protection locked="0"/>
    </xf>
    <xf numFmtId="9" fontId="8" fillId="0" borderId="0">
      <alignment vertical="top"/>
      <protection locked="0"/>
    </xf>
    <xf numFmtId="0" fontId="26" fillId="0" borderId="0">
      <protection locked="0"/>
    </xf>
    <xf numFmtId="0" fontId="26" fillId="0" borderId="0">
      <protection locked="0"/>
    </xf>
  </cellStyleXfs>
  <cellXfs count="231">
    <xf numFmtId="0" fontId="0" fillId="0" borderId="0" xfId="0"/>
    <xf numFmtId="0" fontId="5" fillId="0" borderId="0" xfId="2"/>
    <xf numFmtId="0" fontId="5" fillId="2" borderId="0" xfId="2" applyFill="1" applyAlignment="1">
      <alignment horizontal="center"/>
    </xf>
    <xf numFmtId="0" fontId="6" fillId="0" borderId="0" xfId="2" applyFont="1" applyAlignment="1">
      <alignment horizontal="center" vertical="center"/>
    </xf>
    <xf numFmtId="4" fontId="7" fillId="0" borderId="0" xfId="2" applyNumberFormat="1" applyFont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4" fontId="7" fillId="0" borderId="5" xfId="2" applyNumberFormat="1" applyFont="1" applyBorder="1" applyAlignment="1">
      <alignment horizontal="center" vertical="center" wrapText="1"/>
    </xf>
    <xf numFmtId="0" fontId="5" fillId="0" borderId="0" xfId="2" applyAlignment="1">
      <alignment horizontal="center"/>
    </xf>
    <xf numFmtId="49" fontId="9" fillId="3" borderId="5" xfId="2" applyNumberFormat="1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 wrapText="1"/>
    </xf>
    <xf numFmtId="4" fontId="7" fillId="3" borderId="5" xfId="2" applyNumberFormat="1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/>
    </xf>
    <xf numFmtId="4" fontId="12" fillId="3" borderId="5" xfId="2" applyNumberFormat="1" applyFont="1" applyFill="1" applyBorder="1" applyAlignment="1">
      <alignment horizontal="center" vertical="center" wrapText="1"/>
    </xf>
    <xf numFmtId="2" fontId="7" fillId="2" borderId="6" xfId="4" applyNumberFormat="1" applyFont="1" applyFill="1" applyBorder="1" applyAlignment="1">
      <alignment horizontal="center" vertical="center" wrapText="1"/>
    </xf>
    <xf numFmtId="49" fontId="9" fillId="4" borderId="7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7" fillId="4" borderId="7" xfId="4" applyFont="1" applyFill="1" applyBorder="1" applyAlignment="1">
      <alignment horizontal="center" vertical="center"/>
    </xf>
    <xf numFmtId="4" fontId="7" fillId="4" borderId="7" xfId="4" applyNumberFormat="1" applyFont="1" applyFill="1" applyBorder="1" applyAlignment="1">
      <alignment horizontal="center" vertical="center"/>
    </xf>
    <xf numFmtId="0" fontId="7" fillId="4" borderId="8" xfId="4" applyFont="1" applyFill="1" applyBorder="1" applyAlignment="1">
      <alignment horizontal="center" vertical="center" wrapText="1"/>
    </xf>
    <xf numFmtId="4" fontId="15" fillId="4" borderId="7" xfId="0" applyNumberFormat="1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2" fontId="7" fillId="0" borderId="5" xfId="2" applyNumberFormat="1" applyFont="1" applyBorder="1" applyAlignment="1">
      <alignment horizontal="right" vertical="center"/>
    </xf>
    <xf numFmtId="0" fontId="4" fillId="0" borderId="0" xfId="2" applyFont="1"/>
    <xf numFmtId="49" fontId="9" fillId="0" borderId="7" xfId="0" applyNumberFormat="1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 wrapText="1"/>
    </xf>
    <xf numFmtId="2" fontId="7" fillId="0" borderId="0" xfId="2" applyNumberFormat="1" applyFont="1" applyAlignment="1">
      <alignment horizontal="right" vertical="center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2" fontId="7" fillId="0" borderId="7" xfId="2" applyNumberFormat="1" applyFont="1" applyBorder="1" applyAlignment="1">
      <alignment horizontal="right" vertical="center"/>
    </xf>
    <xf numFmtId="0" fontId="9" fillId="0" borderId="7" xfId="5" applyFont="1" applyBorder="1" applyAlignment="1" applyProtection="1">
      <alignment horizontal="center" vertical="center" wrapText="1"/>
      <protection locked="0"/>
    </xf>
    <xf numFmtId="49" fontId="7" fillId="0" borderId="7" xfId="4" applyNumberFormat="1" applyFont="1" applyBorder="1" applyAlignment="1">
      <alignment horizontal="right" vertical="center" wrapText="1"/>
    </xf>
    <xf numFmtId="4" fontId="7" fillId="0" borderId="7" xfId="5" applyNumberFormat="1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8" xfId="5" applyFont="1" applyBorder="1" applyAlignment="1">
      <alignment horizontal="left" vertical="center" wrapText="1"/>
    </xf>
    <xf numFmtId="4" fontId="9" fillId="0" borderId="7" xfId="0" applyNumberFormat="1" applyFont="1" applyBorder="1" applyAlignment="1">
      <alignment horizontal="center" vertical="center" shrinkToFit="1"/>
    </xf>
    <xf numFmtId="4" fontId="9" fillId="0" borderId="8" xfId="0" applyNumberFormat="1" applyFont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top" wrapText="1"/>
    </xf>
    <xf numFmtId="49" fontId="7" fillId="0" borderId="8" xfId="0" applyNumberFormat="1" applyFont="1" applyBorder="1" applyAlignment="1">
      <alignment horizontal="right" vertical="top" wrapText="1"/>
    </xf>
    <xf numFmtId="4" fontId="7" fillId="0" borderId="7" xfId="0" applyNumberFormat="1" applyFont="1" applyBorder="1" applyAlignment="1">
      <alignment horizontal="center" vertical="top" wrapText="1"/>
    </xf>
    <xf numFmtId="4" fontId="10" fillId="0" borderId="7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center" vertical="top" wrapText="1"/>
    </xf>
    <xf numFmtId="4" fontId="9" fillId="0" borderId="7" xfId="0" applyNumberFormat="1" applyFont="1" applyBorder="1" applyAlignment="1">
      <alignment horizontal="center" vertical="top" wrapText="1"/>
    </xf>
    <xf numFmtId="4" fontId="9" fillId="0" borderId="8" xfId="0" applyNumberFormat="1" applyFont="1" applyBorder="1" applyAlignment="1">
      <alignment horizontal="center" vertical="top" wrapText="1"/>
    </xf>
    <xf numFmtId="0" fontId="9" fillId="2" borderId="1" xfId="2" applyFont="1" applyFill="1" applyBorder="1" applyAlignment="1">
      <alignment horizontal="center" vertical="center"/>
    </xf>
    <xf numFmtId="49" fontId="10" fillId="0" borderId="10" xfId="0" applyNumberFormat="1" applyFont="1" applyBorder="1" applyAlignment="1">
      <alignment horizontal="right" vertical="top" wrapText="1"/>
    </xf>
    <xf numFmtId="164" fontId="10" fillId="0" borderId="10" xfId="0" applyNumberFormat="1" applyFont="1" applyBorder="1" applyAlignment="1">
      <alignment horizontal="center" vertical="top" wrapText="1"/>
    </xf>
    <xf numFmtId="4" fontId="10" fillId="0" borderId="10" xfId="0" applyNumberFormat="1" applyFont="1" applyBorder="1" applyAlignment="1">
      <alignment horizontal="center" vertical="top" wrapText="1"/>
    </xf>
    <xf numFmtId="2" fontId="7" fillId="0" borderId="1" xfId="2" applyNumberFormat="1" applyFont="1" applyBorder="1" applyAlignment="1">
      <alignment horizontal="right" vertical="center"/>
    </xf>
    <xf numFmtId="0" fontId="9" fillId="2" borderId="7" xfId="2" applyFont="1" applyFill="1" applyBorder="1" applyAlignment="1">
      <alignment horizontal="center" vertical="center"/>
    </xf>
    <xf numFmtId="49" fontId="10" fillId="0" borderId="7" xfId="0" applyNumberFormat="1" applyFont="1" applyBorder="1" applyAlignment="1">
      <alignment horizontal="right" vertical="top" wrapText="1"/>
    </xf>
    <xf numFmtId="0" fontId="9" fillId="0" borderId="7" xfId="2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top" wrapText="1"/>
    </xf>
    <xf numFmtId="0" fontId="7" fillId="2" borderId="4" xfId="2" applyFont="1" applyFill="1" applyBorder="1" applyAlignment="1">
      <alignment horizontal="center" vertical="center"/>
    </xf>
    <xf numFmtId="49" fontId="9" fillId="3" borderId="4" xfId="2" applyNumberFormat="1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 wrapText="1"/>
    </xf>
    <xf numFmtId="4" fontId="7" fillId="3" borderId="4" xfId="2" applyNumberFormat="1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/>
    </xf>
    <xf numFmtId="49" fontId="7" fillId="0" borderId="7" xfId="4" applyNumberFormat="1" applyFont="1" applyBorder="1" applyAlignment="1">
      <alignment horizontal="center" vertical="center" wrapText="1"/>
    </xf>
    <xf numFmtId="0" fontId="7" fillId="0" borderId="5" xfId="2" applyFont="1" applyBorder="1" applyAlignment="1">
      <alignment horizontal="right" vertical="center" wrapText="1"/>
    </xf>
    <xf numFmtId="43" fontId="4" fillId="0" borderId="0" xfId="1" applyFont="1"/>
    <xf numFmtId="43" fontId="5" fillId="0" borderId="0" xfId="1" applyFont="1"/>
    <xf numFmtId="49" fontId="7" fillId="0" borderId="7" xfId="0" applyNumberFormat="1" applyFont="1" applyBorder="1" applyAlignment="1">
      <alignment horizontal="right" vertical="top" wrapText="1"/>
    </xf>
    <xf numFmtId="164" fontId="7" fillId="0" borderId="7" xfId="0" applyNumberFormat="1" applyFont="1" applyBorder="1" applyAlignment="1">
      <alignment horizontal="center" vertical="top" wrapText="1"/>
    </xf>
    <xf numFmtId="0" fontId="9" fillId="3" borderId="11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vertical="center"/>
    </xf>
    <xf numFmtId="4" fontId="9" fillId="3" borderId="0" xfId="2" applyNumberFormat="1" applyFont="1" applyFill="1" applyAlignment="1">
      <alignment horizontal="center" vertical="center"/>
    </xf>
    <xf numFmtId="0" fontId="9" fillId="4" borderId="5" xfId="2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right" vertical="center" wrapText="1"/>
    </xf>
    <xf numFmtId="4" fontId="7" fillId="4" borderId="1" xfId="2" applyNumberFormat="1" applyFont="1" applyFill="1" applyBorder="1" applyAlignment="1">
      <alignment horizontal="center" vertical="center" wrapText="1"/>
    </xf>
    <xf numFmtId="2" fontId="7" fillId="4" borderId="5" xfId="2" applyNumberFormat="1" applyFont="1" applyFill="1" applyBorder="1" applyAlignment="1">
      <alignment horizontal="right" vertical="center"/>
    </xf>
    <xf numFmtId="2" fontId="9" fillId="2" borderId="5" xfId="2" applyNumberFormat="1" applyFont="1" applyFill="1" applyBorder="1" applyAlignment="1">
      <alignment horizontal="center" vertical="center"/>
    </xf>
    <xf numFmtId="0" fontId="9" fillId="5" borderId="1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right" vertical="center" wrapText="1"/>
    </xf>
    <xf numFmtId="4" fontId="7" fillId="5" borderId="7" xfId="2" applyNumberFormat="1" applyFont="1" applyFill="1" applyBorder="1" applyAlignment="1">
      <alignment horizontal="center" vertical="center" wrapText="1"/>
    </xf>
    <xf numFmtId="2" fontId="7" fillId="5" borderId="13" xfId="2" applyNumberFormat="1" applyFont="1" applyFill="1" applyBorder="1" applyAlignment="1">
      <alignment horizontal="right" vertical="center"/>
    </xf>
    <xf numFmtId="2" fontId="9" fillId="2" borderId="2" xfId="2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left" vertical="center" wrapText="1"/>
    </xf>
    <xf numFmtId="4" fontId="9" fillId="0" borderId="7" xfId="2" applyNumberFormat="1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4" fontId="7" fillId="0" borderId="7" xfId="2" applyNumberFormat="1" applyFont="1" applyBorder="1" applyAlignment="1">
      <alignment horizontal="center" vertical="center"/>
    </xf>
    <xf numFmtId="2" fontId="9" fillId="0" borderId="8" xfId="2" applyNumberFormat="1" applyFont="1" applyBorder="1" applyAlignment="1">
      <alignment horizontal="center" vertical="center" wrapText="1"/>
    </xf>
    <xf numFmtId="4" fontId="14" fillId="0" borderId="7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right" vertical="center" wrapText="1"/>
    </xf>
    <xf numFmtId="2" fontId="7" fillId="0" borderId="5" xfId="2" applyNumberFormat="1" applyFont="1" applyBorder="1" applyAlignment="1">
      <alignment horizontal="right" vertical="center" wrapText="1"/>
    </xf>
    <xf numFmtId="4" fontId="9" fillId="0" borderId="5" xfId="2" applyNumberFormat="1" applyFont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/>
    </xf>
    <xf numFmtId="0" fontId="7" fillId="0" borderId="7" xfId="2" applyFont="1" applyBorder="1" applyAlignment="1">
      <alignment horizontal="right" vertical="center" wrapText="1"/>
    </xf>
    <xf numFmtId="0" fontId="7" fillId="0" borderId="9" xfId="2" applyFont="1" applyBorder="1" applyAlignment="1">
      <alignment horizontal="right" vertical="center" wrapText="1"/>
    </xf>
    <xf numFmtId="2" fontId="7" fillId="0" borderId="8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right" vertical="center"/>
    </xf>
    <xf numFmtId="0" fontId="9" fillId="0" borderId="7" xfId="2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right" vertical="center" wrapText="1"/>
    </xf>
    <xf numFmtId="4" fontId="7" fillId="0" borderId="7" xfId="2" applyNumberFormat="1" applyFont="1" applyBorder="1" applyAlignment="1">
      <alignment horizontal="center" vertical="center" wrapText="1"/>
    </xf>
    <xf numFmtId="2" fontId="7" fillId="0" borderId="15" xfId="2" applyNumberFormat="1" applyFont="1" applyBorder="1" applyAlignment="1">
      <alignment horizontal="right" vertical="center"/>
    </xf>
    <xf numFmtId="0" fontId="6" fillId="5" borderId="0" xfId="2" applyFont="1" applyFill="1" applyAlignment="1">
      <alignment horizontal="center" vertical="center"/>
    </xf>
    <xf numFmtId="0" fontId="5" fillId="5" borderId="0" xfId="2" applyFill="1"/>
    <xf numFmtId="4" fontId="5" fillId="5" borderId="0" xfId="2" applyNumberFormat="1" applyFill="1" applyAlignment="1">
      <alignment horizontal="center"/>
    </xf>
    <xf numFmtId="1" fontId="9" fillId="2" borderId="2" xfId="2" applyNumberFormat="1" applyFont="1" applyFill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2" fontId="9" fillId="0" borderId="5" xfId="2" applyNumberFormat="1" applyFont="1" applyBorder="1" applyAlignment="1">
      <alignment horizontal="center" vertical="center"/>
    </xf>
    <xf numFmtId="0" fontId="18" fillId="0" borderId="5" xfId="2" applyFont="1" applyBorder="1" applyAlignment="1">
      <alignment horizontal="right" vertical="center"/>
    </xf>
    <xf numFmtId="0" fontId="19" fillId="0" borderId="5" xfId="2" applyFont="1" applyBorder="1" applyAlignment="1">
      <alignment horizontal="center" vertical="center"/>
    </xf>
    <xf numFmtId="4" fontId="9" fillId="0" borderId="5" xfId="2" applyNumberFormat="1" applyFont="1" applyBorder="1" applyAlignment="1">
      <alignment horizontal="left" vertical="center" wrapText="1"/>
    </xf>
    <xf numFmtId="0" fontId="7" fillId="0" borderId="5" xfId="2" applyFont="1" applyBorder="1" applyAlignment="1">
      <alignment horizontal="right"/>
    </xf>
    <xf numFmtId="0" fontId="7" fillId="0" borderId="1" xfId="2" applyFont="1" applyBorder="1" applyAlignment="1">
      <alignment horizontal="right" vertical="center" wrapText="1"/>
    </xf>
    <xf numFmtId="4" fontId="7" fillId="0" borderId="1" xfId="2" applyNumberFormat="1" applyFont="1" applyBorder="1" applyAlignment="1">
      <alignment horizontal="center" vertical="center" wrapText="1"/>
    </xf>
    <xf numFmtId="2" fontId="9" fillId="0" borderId="7" xfId="2" applyNumberFormat="1" applyFont="1" applyBorder="1" applyAlignment="1">
      <alignment horizontal="center" vertical="center"/>
    </xf>
    <xf numFmtId="0" fontId="19" fillId="0" borderId="4" xfId="2" applyFont="1" applyBorder="1" applyAlignment="1">
      <alignment horizontal="left" vertical="center"/>
    </xf>
    <xf numFmtId="2" fontId="9" fillId="0" borderId="3" xfId="2" applyNumberFormat="1" applyFont="1" applyBorder="1" applyAlignment="1">
      <alignment horizontal="center" vertical="center"/>
    </xf>
    <xf numFmtId="0" fontId="18" fillId="0" borderId="4" xfId="2" applyFont="1" applyBorder="1" applyAlignment="1">
      <alignment horizontal="right" vertical="center"/>
    </xf>
    <xf numFmtId="0" fontId="1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left" vertical="center" wrapText="1"/>
    </xf>
    <xf numFmtId="0" fontId="21" fillId="0" borderId="5" xfId="2" applyFont="1" applyBorder="1" applyAlignment="1">
      <alignment horizontal="right" vertical="center" wrapText="1"/>
    </xf>
    <xf numFmtId="0" fontId="22" fillId="0" borderId="5" xfId="2" applyFont="1" applyBorder="1" applyAlignment="1">
      <alignment horizontal="center" vertical="center" wrapText="1"/>
    </xf>
    <xf numFmtId="2" fontId="9" fillId="0" borderId="7" xfId="2" applyNumberFormat="1" applyFont="1" applyBorder="1" applyAlignment="1">
      <alignment horizontal="center" vertical="center" wrapText="1"/>
    </xf>
    <xf numFmtId="49" fontId="9" fillId="2" borderId="5" xfId="2" applyNumberFormat="1" applyFont="1" applyFill="1" applyBorder="1" applyAlignment="1">
      <alignment horizontal="center" vertical="center"/>
    </xf>
    <xf numFmtId="0" fontId="7" fillId="0" borderId="5" xfId="2" applyFont="1" applyBorder="1" applyAlignment="1">
      <alignment horizontal="right" vertical="center"/>
    </xf>
    <xf numFmtId="49" fontId="9" fillId="2" borderId="7" xfId="2" applyNumberFormat="1" applyFont="1" applyFill="1" applyBorder="1" applyAlignment="1">
      <alignment horizontal="center" vertical="center"/>
    </xf>
    <xf numFmtId="0" fontId="18" fillId="0" borderId="7" xfId="2" applyFont="1" applyBorder="1" applyAlignment="1">
      <alignment horizontal="right" vertical="center"/>
    </xf>
    <xf numFmtId="0" fontId="19" fillId="0" borderId="7" xfId="2" applyFont="1" applyBorder="1" applyAlignment="1">
      <alignment horizontal="center" vertical="center"/>
    </xf>
    <xf numFmtId="2" fontId="7" fillId="0" borderId="7" xfId="2" applyNumberFormat="1" applyFont="1" applyBorder="1" applyAlignment="1">
      <alignment horizontal="right" vertical="center" wrapText="1"/>
    </xf>
    <xf numFmtId="4" fontId="5" fillId="0" borderId="7" xfId="2" applyNumberFormat="1" applyBorder="1" applyAlignment="1">
      <alignment horizontal="center"/>
    </xf>
    <xf numFmtId="49" fontId="9" fillId="2" borderId="2" xfId="2" applyNumberFormat="1" applyFont="1" applyFill="1" applyBorder="1" applyAlignment="1">
      <alignment horizontal="center" vertical="center"/>
    </xf>
    <xf numFmtId="0" fontId="7" fillId="0" borderId="7" xfId="6" applyFont="1" applyBorder="1" applyAlignment="1">
      <alignment horizontal="right" vertical="center" wrapText="1"/>
    </xf>
    <xf numFmtId="0" fontId="9" fillId="0" borderId="7" xfId="6" applyFont="1" applyBorder="1" applyAlignment="1">
      <alignment horizontal="center" vertical="center" wrapText="1"/>
    </xf>
    <xf numFmtId="4" fontId="5" fillId="0" borderId="7" xfId="2" applyNumberFormat="1" applyBorder="1" applyAlignment="1">
      <alignment horizontal="center" vertical="center"/>
    </xf>
    <xf numFmtId="0" fontId="7" fillId="0" borderId="7" xfId="2" applyFont="1" applyBorder="1" applyAlignment="1">
      <alignment horizontal="right"/>
    </xf>
    <xf numFmtId="49" fontId="9" fillId="2" borderId="4" xfId="2" applyNumberFormat="1" applyFont="1" applyFill="1" applyBorder="1" applyAlignment="1">
      <alignment horizontal="center" vertical="center"/>
    </xf>
    <xf numFmtId="4" fontId="7" fillId="0" borderId="4" xfId="2" applyNumberFormat="1" applyFont="1" applyBorder="1" applyAlignment="1">
      <alignment horizontal="center" vertical="center" wrapText="1"/>
    </xf>
    <xf numFmtId="2" fontId="7" fillId="0" borderId="4" xfId="2" applyNumberFormat="1" applyFont="1" applyBorder="1" applyAlignment="1">
      <alignment horizontal="right" vertical="center"/>
    </xf>
    <xf numFmtId="2" fontId="9" fillId="2" borderId="1" xfId="2" applyNumberFormat="1" applyFont="1" applyFill="1" applyBorder="1" applyAlignment="1">
      <alignment horizontal="center" vertical="center"/>
    </xf>
    <xf numFmtId="4" fontId="7" fillId="5" borderId="10" xfId="2" applyNumberFormat="1" applyFont="1" applyFill="1" applyBorder="1" applyAlignment="1">
      <alignment horizontal="center" vertical="center" wrapText="1"/>
    </xf>
    <xf numFmtId="4" fontId="24" fillId="0" borderId="7" xfId="2" applyNumberFormat="1" applyFont="1" applyBorder="1" applyAlignment="1">
      <alignment horizontal="center" vertical="center" wrapText="1"/>
    </xf>
    <xf numFmtId="0" fontId="5" fillId="2" borderId="0" xfId="2" applyFill="1"/>
    <xf numFmtId="4" fontId="7" fillId="0" borderId="7" xfId="2" applyNumberFormat="1" applyFont="1" applyBorder="1" applyAlignment="1">
      <alignment horizontal="center"/>
    </xf>
    <xf numFmtId="4" fontId="11" fillId="0" borderId="7" xfId="2" applyNumberFormat="1" applyFont="1" applyBorder="1" applyAlignment="1">
      <alignment horizontal="center" vertical="center" wrapText="1"/>
    </xf>
    <xf numFmtId="2" fontId="9" fillId="2" borderId="7" xfId="2" applyNumberFormat="1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 wrapText="1"/>
    </xf>
    <xf numFmtId="0" fontId="6" fillId="5" borderId="7" xfId="2" applyFont="1" applyFill="1" applyBorder="1" applyAlignment="1">
      <alignment horizontal="center" vertical="center"/>
    </xf>
    <xf numFmtId="0" fontId="5" fillId="5" borderId="7" xfId="2" applyFill="1" applyBorder="1"/>
    <xf numFmtId="4" fontId="5" fillId="5" borderId="7" xfId="2" applyNumberFormat="1" applyFill="1" applyBorder="1" applyAlignment="1">
      <alignment horizontal="center"/>
    </xf>
    <xf numFmtId="1" fontId="9" fillId="2" borderId="7" xfId="2" applyNumberFormat="1" applyFont="1" applyFill="1" applyBorder="1" applyAlignment="1">
      <alignment horizontal="center" vertical="center"/>
    </xf>
    <xf numFmtId="16" fontId="9" fillId="5" borderId="1" xfId="2" quotePrefix="1" applyNumberFormat="1" applyFont="1" applyFill="1" applyBorder="1" applyAlignment="1">
      <alignment horizontal="center" vertical="center" wrapText="1"/>
    </xf>
    <xf numFmtId="2" fontId="9" fillId="2" borderId="4" xfId="2" applyNumberFormat="1" applyFont="1" applyFill="1" applyBorder="1" applyAlignment="1">
      <alignment horizontal="center" vertical="center"/>
    </xf>
    <xf numFmtId="0" fontId="9" fillId="5" borderId="0" xfId="2" applyFont="1" applyFill="1" applyAlignment="1">
      <alignment horizontal="center" vertical="center"/>
    </xf>
    <xf numFmtId="0" fontId="7" fillId="5" borderId="0" xfId="2" applyFont="1" applyFill="1"/>
    <xf numFmtId="4" fontId="7" fillId="5" borderId="0" xfId="2" applyNumberFormat="1" applyFont="1" applyFill="1" applyAlignment="1">
      <alignment horizontal="center"/>
    </xf>
    <xf numFmtId="0" fontId="7" fillId="2" borderId="0" xfId="2" applyFont="1" applyFill="1"/>
    <xf numFmtId="17" fontId="9" fillId="5" borderId="1" xfId="2" quotePrefix="1" applyNumberFormat="1" applyFont="1" applyFill="1" applyBorder="1" applyAlignment="1">
      <alignment horizontal="center" vertical="center" wrapText="1"/>
    </xf>
    <xf numFmtId="0" fontId="9" fillId="0" borderId="7" xfId="2" applyFont="1" applyBorder="1" applyAlignment="1">
      <alignment horizontal="left" vertical="top" wrapText="1"/>
    </xf>
    <xf numFmtId="0" fontId="7" fillId="0" borderId="7" xfId="0" applyFont="1" applyBorder="1" applyAlignment="1">
      <alignment horizontal="right" vertical="center" wrapText="1"/>
    </xf>
    <xf numFmtId="0" fontId="9" fillId="0" borderId="0" xfId="2" applyFont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1" applyNumberFormat="1" applyFont="1" applyFill="1" applyBorder="1" applyAlignment="1">
      <alignment horizontal="right"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16" xfId="2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 wrapText="1"/>
    </xf>
    <xf numFmtId="0" fontId="7" fillId="2" borderId="0" xfId="2" applyFont="1" applyFill="1" applyAlignment="1">
      <alignment horizontal="center"/>
    </xf>
    <xf numFmtId="0" fontId="9" fillId="0" borderId="4" xfId="2" applyFont="1" applyBorder="1" applyAlignment="1">
      <alignment horizontal="left" vertical="center"/>
    </xf>
    <xf numFmtId="0" fontId="7" fillId="0" borderId="4" xfId="2" applyFont="1" applyBorder="1" applyAlignment="1">
      <alignment horizontal="right" vertical="center"/>
    </xf>
    <xf numFmtId="49" fontId="9" fillId="2" borderId="1" xfId="2" applyNumberFormat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right" vertical="center"/>
    </xf>
    <xf numFmtId="2" fontId="7" fillId="0" borderId="1" xfId="2" applyNumberFormat="1" applyFont="1" applyBorder="1" applyAlignment="1">
      <alignment horizontal="right" vertical="center" wrapText="1"/>
    </xf>
    <xf numFmtId="0" fontId="11" fillId="0" borderId="7" xfId="5" applyFont="1" applyBorder="1" applyAlignment="1" applyProtection="1">
      <alignment horizontal="center" vertical="center" wrapText="1"/>
      <protection locked="0"/>
    </xf>
    <xf numFmtId="2" fontId="7" fillId="0" borderId="8" xfId="0" applyNumberFormat="1" applyFont="1" applyBorder="1" applyAlignment="1">
      <alignment horizontal="right" vertical="center"/>
    </xf>
    <xf numFmtId="16" fontId="9" fillId="5" borderId="7" xfId="2" quotePrefix="1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2" fontId="9" fillId="0" borderId="8" xfId="0" applyNumberFormat="1" applyFont="1" applyBorder="1" applyAlignment="1">
      <alignment horizontal="center" vertical="center"/>
    </xf>
    <xf numFmtId="0" fontId="7" fillId="0" borderId="7" xfId="2" applyFont="1" applyBorder="1" applyAlignment="1">
      <alignment horizontal="right" vertical="top"/>
    </xf>
    <xf numFmtId="0" fontId="7" fillId="0" borderId="10" xfId="2" applyFont="1" applyBorder="1" applyAlignment="1">
      <alignment horizontal="right" wrapText="1"/>
    </xf>
    <xf numFmtId="0" fontId="9" fillId="0" borderId="10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right" vertical="center"/>
    </xf>
    <xf numFmtId="4" fontId="7" fillId="0" borderId="10" xfId="2" applyNumberFormat="1" applyFont="1" applyBorder="1" applyAlignment="1">
      <alignment horizontal="center" vertical="center"/>
    </xf>
    <xf numFmtId="2" fontId="9" fillId="2" borderId="0" xfId="2" applyNumberFormat="1" applyFont="1" applyFill="1" applyAlignment="1">
      <alignment horizontal="center" vertical="center"/>
    </xf>
    <xf numFmtId="0" fontId="7" fillId="0" borderId="7" xfId="2" applyFont="1" applyBorder="1" applyAlignment="1">
      <alignment horizontal="right" wrapText="1"/>
    </xf>
    <xf numFmtId="2" fontId="9" fillId="2" borderId="12" xfId="2" applyNumberFormat="1" applyFont="1" applyFill="1" applyBorder="1" applyAlignment="1">
      <alignment horizontal="center" vertical="center"/>
    </xf>
    <xf numFmtId="16" fontId="9" fillId="5" borderId="17" xfId="2" quotePrefix="1" applyNumberFormat="1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right" vertical="center" wrapText="1"/>
    </xf>
    <xf numFmtId="0" fontId="7" fillId="2" borderId="7" xfId="2" applyFont="1" applyFill="1" applyBorder="1"/>
    <xf numFmtId="49" fontId="9" fillId="2" borderId="7" xfId="0" applyNumberFormat="1" applyFont="1" applyFill="1" applyBorder="1" applyAlignment="1">
      <alignment horizontal="left" vertical="center" wrapText="1"/>
    </xf>
    <xf numFmtId="2" fontId="25" fillId="0" borderId="8" xfId="0" applyNumberFormat="1" applyFont="1" applyBorder="1" applyAlignment="1">
      <alignment horizontal="center" vertical="center"/>
    </xf>
    <xf numFmtId="43" fontId="4" fillId="0" borderId="0" xfId="1" applyFont="1" applyFill="1"/>
    <xf numFmtId="0" fontId="7" fillId="0" borderId="9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2" xfId="2" applyFont="1" applyBorder="1" applyAlignment="1">
      <alignment horizontal="right" vertical="center"/>
    </xf>
    <xf numFmtId="0" fontId="7" fillId="0" borderId="3" xfId="2" applyFont="1" applyBorder="1" applyAlignment="1">
      <alignment horizontal="right" vertical="center" wrapText="1"/>
    </xf>
    <xf numFmtId="0" fontId="7" fillId="0" borderId="9" xfId="2" applyFont="1" applyBorder="1" applyAlignment="1">
      <alignment horizontal="right"/>
    </xf>
    <xf numFmtId="0" fontId="7" fillId="0" borderId="8" xfId="2" applyFont="1" applyBorder="1" applyAlignment="1">
      <alignment horizontal="right" vertical="center" wrapText="1"/>
    </xf>
    <xf numFmtId="0" fontId="10" fillId="0" borderId="9" xfId="0" applyFont="1" applyBorder="1" applyAlignment="1">
      <alignment horizontal="left" vertical="center" wrapText="1"/>
    </xf>
    <xf numFmtId="0" fontId="9" fillId="0" borderId="9" xfId="2" applyFont="1" applyBorder="1" applyAlignment="1">
      <alignment horizontal="left" vertical="top" wrapText="1"/>
    </xf>
    <xf numFmtId="0" fontId="10" fillId="0" borderId="9" xfId="0" applyFont="1" applyBorder="1" applyAlignment="1">
      <alignment horizontal="right" vertical="center" wrapText="1"/>
    </xf>
    <xf numFmtId="0" fontId="9" fillId="0" borderId="5" xfId="2" applyFont="1" applyBorder="1" applyAlignment="1">
      <alignment horizontal="right" vertical="center" wrapText="1"/>
    </xf>
    <xf numFmtId="4" fontId="9" fillId="0" borderId="5" xfId="2" applyNumberFormat="1" applyFont="1" applyBorder="1" applyAlignment="1">
      <alignment horizontal="center" vertical="center"/>
    </xf>
    <xf numFmtId="4" fontId="14" fillId="0" borderId="18" xfId="2" applyNumberFormat="1" applyFont="1" applyBorder="1" applyAlignment="1">
      <alignment horizontal="center" vertical="center" wrapText="1"/>
    </xf>
    <xf numFmtId="4" fontId="9" fillId="4" borderId="7" xfId="4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8" fillId="0" borderId="4" xfId="2" applyFont="1" applyBorder="1"/>
    <xf numFmtId="0" fontId="9" fillId="0" borderId="4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4" fontId="9" fillId="0" borderId="1" xfId="2" applyNumberFormat="1" applyFont="1" applyBorder="1" applyAlignment="1">
      <alignment horizontal="center" vertical="center" wrapText="1"/>
    </xf>
    <xf numFmtId="4" fontId="9" fillId="0" borderId="4" xfId="2" applyNumberFormat="1" applyFont="1" applyBorder="1" applyAlignment="1">
      <alignment horizontal="center" vertical="center" wrapText="1"/>
    </xf>
    <xf numFmtId="0" fontId="8" fillId="0" borderId="3" xfId="2" applyFont="1" applyBorder="1"/>
    <xf numFmtId="0" fontId="9" fillId="0" borderId="19" xfId="2" applyFont="1" applyBorder="1" applyAlignment="1">
      <alignment horizontal="center" vertical="center" wrapText="1"/>
    </xf>
  </cellXfs>
  <cellStyles count="22">
    <cellStyle name="Excel Built-in Normal" xfId="5" xr:uid="{7F02984B-B4E3-441E-8599-617E7CC9D683}"/>
    <cellStyle name="Excel Built-in Normal 2" xfId="16" xr:uid="{B511ECA1-5A76-45EB-9ED1-A44034BF1F14}"/>
    <cellStyle name="Звичайний 2" xfId="3" xr:uid="{D706FC3D-77B3-4C35-B0DD-5EFB6AF732E4}"/>
    <cellStyle name="Звичайний 2 2" xfId="13" xr:uid="{0D6032B0-FBD2-4DBE-8A66-BB35D00C6EF7}"/>
    <cellStyle name="Звичайний 3 10" xfId="9" xr:uid="{F191AA17-15FC-4151-925F-61F56D644630}"/>
    <cellStyle name="Звичайний 3 10 2" xfId="21" xr:uid="{917CCBD5-7BDE-460C-8D6F-F7A95B80C15F}"/>
    <cellStyle name="Обычный" xfId="0" builtinId="0"/>
    <cellStyle name="Обычный 2" xfId="10" xr:uid="{A324A8D3-6F9D-42E4-94FD-971B3B751B00}"/>
    <cellStyle name="Обычный 2 12" xfId="8" xr:uid="{C702A9F6-3EF0-408C-AEA6-9B2E02DDDF5A}"/>
    <cellStyle name="Обычный 2 12 2" xfId="20" xr:uid="{1E2465A4-5E56-473C-8C28-93026BC55D24}"/>
    <cellStyle name="Обычный 2 2" xfId="4" xr:uid="{F9464C11-F934-4AE3-8F51-2CEB75FA23E3}"/>
    <cellStyle name="Обычный 2 2 2" xfId="14" xr:uid="{822F2390-D1C5-4D4C-8F53-0998FA986238}"/>
    <cellStyle name="Обычный 2 2 3" xfId="6" xr:uid="{F11898BD-E80E-40FE-B10A-623532BCBDE6}"/>
    <cellStyle name="Обычный 2 2 3 2" xfId="18" xr:uid="{EAC88F13-D922-41EE-874F-AE430222657A}"/>
    <cellStyle name="Обычный 3" xfId="15" xr:uid="{7B2CE921-ECB6-4909-BA23-A93FF43A6F40}"/>
    <cellStyle name="Обычный 3 3" xfId="2" xr:uid="{00C9AB77-3967-41D4-85C6-BF19659E3898}"/>
    <cellStyle name="Обычный 3 3 2" xfId="12" xr:uid="{14939E33-84E0-45D3-9081-2A40F40FAA10}"/>
    <cellStyle name="Процентный 2" xfId="7" xr:uid="{8002BFE1-FA2A-4557-BD64-FF31978BA659}"/>
    <cellStyle name="Процентный 2 2" xfId="19" xr:uid="{A3FFEDC8-AF47-4F1F-A9AE-F1776D4D4163}"/>
    <cellStyle name="Финансовый" xfId="1" builtinId="3"/>
    <cellStyle name="Финансовый 2" xfId="11" xr:uid="{593BADE2-B8DF-4027-ACB3-C098BAED6454}"/>
    <cellStyle name="Финансовый 3" xfId="17" xr:uid="{84DA65A7-D743-4705-A92F-08ED1BEFC131}"/>
  </cellStyles>
  <dxfs count="2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!!!%20&#1055;&#1056;&#1054;&#1062;&#1045;&#1053;&#1058;&#1054;&#1042;&#1040;&#1053;&#1048;&#1045;_&#1055;&#1041;&#1060;_&#1042;&#1086;&#1089;&#1082;&#1088;&#1077;&#1089;&#1077;&#1085;&#1089;&#1082;&#1072;&#1103;,7_&#1044;&#1086;&#1084;7-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onora/Downloads/STL/&#1055;&#1041;&#1060;%20&#1043;&#1088;&#1091;&#1087;/4.%20&#1044;&#1043;&#1058;5/&#1040;&#1042;&#1056;%20&#1044;&#1043;070317/&#1040;&#1042;&#1056;%203_08.2017_&#1044;&#1043;0703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nysh/AppData/Local/Temp/&#1074;&#1091;&#1083;.&#1042;&#1086;&#1089;&#1082;&#1088;&#1077;&#1089;&#1077;&#1085;&#1089;&#1100;&#1082;&#1072;%207,%20&#1073;&#1091;&#1076;.1%20-%20&#1074;&#1085;&#1091;&#1090;&#1088;&#1110;&#1096;&#1085;&#1110;%20&#1110;&#1085;&#1078;.&#1089;&#1080;&#1089;&#1090;&#1077;&#1084;&#1080;%20-%20&#1079;&#1074;&#1077;&#1076;&#1077;&#1085;&#1072;%20&#1087;&#1088;&#1086;&#1087;&#1086;&#1079;&#1080;&#1094;&#1110;&#1103;%20&#1058;&#1056;&#1045;&#1050;&#1057;_&#10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ig-fs02/Users/Admin/AppData/Local/Temp/!!!%20&#1055;&#1056;&#1054;&#1062;&#1045;&#1053;&#1058;&#1054;&#1042;&#1040;&#1053;&#1048;&#1045;_&#1055;&#1041;&#1060;_&#1042;&#1086;&#1089;&#1082;&#1088;&#1077;&#1089;&#1077;&#1085;&#1089;&#1082;&#1072;&#1103;,7_&#1044;&#1086;&#1084;7-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as1/koshtorys/&#1089;&#1082;&#1072;&#1085;-&#1082;&#1086;&#1087;&#1080;&#1080;/&#1055;&#1086;&#1079;&#1085;&#1103;&#1082;&#1080;/&#1044;&#1054;&#1052;%204/&#1041;&#1102;&#1076;&#1078;&#1077;&#1090;%20&#1043;&#1045;&#1053;&#1055;&#1054;&#1044;&#1056;&#1071;&#1044;/&#1041;&#1102;&#1076;&#1078;&#1077;&#1090;%20&#1055;&#1047;&#1053;_4%20&#1050;&#1054;&#1056;&#1048;&#1043;&#1059;&#1042;&#1040;&#1053;&#1053;&#1071;%20(12.02.18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TL/&#1055;&#1041;&#1060;%20&#1043;&#1088;&#1091;&#1087;/7.%20Svitlopark/&#1040;&#1042;&#1056;_&#1057;&#1055;160818_Svitlopark/&#1040;&#1082;&#1090;&#1080;%202_&#1078;&#1073;123_1,04_SvitloPark_06.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1;&#1060;%20&#1043;&#1088;&#1091;&#1087;/&#1053;&#1072;%20&#1087;&#1086;&#1076;&#1087;&#1080;&#1089;&#1100;%20&#1087;&#1083;&#1086;&#1097;&#1072;&#1076;&#1082;&#1077;/&#1040;&#1082;&#1090;%2039_&#1084;&#1086;&#1085;&#1086;&#1083;&#1080;&#1090;_1.2018_&#1044;&#1043;070317_&#1044;&#1043;&#1058;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ig-fs02/Documents%20and%20Settings/user/&#1056;&#1072;&#1073;&#1086;&#1095;&#1080;&#1081;%20&#1089;&#1090;&#1086;&#1083;/&#1053;&#1040;&#1058;&#1040;&#1051;&#1030;&#1071;/&#1053;&#1040;&#1058;&#1040;&#1051;&#1048;&#1071;/&#1055;&#1056;&#1048;&#1050;&#1051;&#1040;&#1044;&#1048;%20&#1041;&#1070;&#1044;&#1046;&#1045;&#1058;&#1030;&#1042;/&#1047;&#1084;.6_&#1041;&#1102;&#1076;&#1078;&#1077;&#1090;%20&#1044;&#1043;&#1058;&#8470;3_18.11%20(version%20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onora/Downloads/Documents%20and%20Settings/Admin/&#1052;&#1086;&#1080;%20&#1076;&#1086;&#1082;&#1091;&#1084;&#1077;&#1085;&#1090;&#1099;/Downloads/&#1053;&#1086;&#1074;&#1072;&#1103;%20&#1087;&#1072;&#1087;&#1082;&#1072;/&#1040;&#1082;&#1090;%2074_&#1082;&#1083;&#1072;&#1076;&#1082;&#1072;_05.2018_&#1044;&#1043;070317_&#1044;&#1043;&#1058;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TL/&#1055;&#1041;&#1060;%20&#1043;&#1088;&#1091;&#1087;/7.%20Svitlopark/&#1055;&#1086;&#1075;&#1086;&#1076;&#1078;&#1077;&#1085;&#1085;&#1103;/&#1055;&#1086;&#1082;&#1088;&#1110;&#1074;&#1083;&#1103;/&#1058;&#1054;&#1042;%20&#1055;&#1041;&#1060;%20&#1043;&#1056;&#1059;&#1055;_&#1044;&#1062;_2%20848%20243,91%20&#1075;&#1088;&#1085;_10.06.2019_&#1082;&#1088;&#1086;&#1074;&#1083;&#1103;%20&#1076;.3_SvitloPa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ЦЕНТОВАНИЕ"/>
      <sheetName val="Накопление"/>
      <sheetName val="АВР №1"/>
      <sheetName val="КБ-3 №1"/>
      <sheetName val="АВР №2"/>
      <sheetName val="КБ-3 №2"/>
      <sheetName val="АВР №3"/>
      <sheetName val="КБ-3 №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Б-3 VІІІ.17"/>
      <sheetName val="Розрахунок 9Н"/>
      <sheetName val="Служ."/>
      <sheetName val="за вик р-ти VІІІ.16"/>
      <sheetName val="9Н-3_акт за 08.17"/>
      <sheetName val="Реестр актів"/>
      <sheetName val="Акт 11_09.17"/>
      <sheetName val="Сводная по арматуре"/>
      <sheetName val="Акт 14_09.17"/>
      <sheetName val="Акт 9_08.17"/>
      <sheetName val="Акт 9_09.17 (9Н)"/>
      <sheetName val="Акт 8_07.17"/>
      <sheetName val="Акт 8_07.17 (9Н)"/>
      <sheetName val="Акт 10_09.17"/>
      <sheetName val="Акт 1_03.17"/>
      <sheetName val="Акт 2_04.17"/>
      <sheetName val="Акт 3_05.17"/>
      <sheetName val="Акт 4_06.17 "/>
      <sheetName val="Акт 5_05.17 "/>
      <sheetName val="Акт 6_06.17 "/>
      <sheetName val="Акт 7_06.17 "/>
      <sheetName val="КБ-3 VІІ.17"/>
      <sheetName val="Служ. 9Н_VІІ.17"/>
      <sheetName val="за вик р-ти VІІ.16"/>
      <sheetName val="9Н-2_акт за 07.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 t="str">
            <v>Арматура Ø6,5 класу А240 (Рах.4572 від 08.06.17)</v>
          </cell>
        </row>
        <row r="6">
          <cell r="B6" t="str">
            <v>Арматура Ø6,5 класу А240 (Рах.555945 від 01.08.17)</v>
          </cell>
        </row>
        <row r="7">
          <cell r="B7" t="str">
            <v>Арматура Ø6,5 класу А240 (Рах.5568 від 28.08.17)</v>
          </cell>
        </row>
        <row r="8">
          <cell r="B8" t="str">
            <v>Арматура Ø8 класу А240 (Рах.4572 від 08.06.17)</v>
          </cell>
        </row>
        <row r="9">
          <cell r="B9" t="str">
            <v>Арматура Ø8 класу А240 (Рах.555945 від 01.08.17)</v>
          </cell>
        </row>
        <row r="10">
          <cell r="B10" t="str">
            <v>Арматура Ø8 класу А240 (Рах.5568 від 28.08.17)</v>
          </cell>
        </row>
        <row r="11">
          <cell r="B11" t="str">
            <v>Арматура Ø8 класу А500 (Рах.4572 від 08.06.17)</v>
          </cell>
        </row>
        <row r="12">
          <cell r="B12" t="str">
            <v>Арматура Ø8 класу А500 (Рах.555945 від 01.08.17)</v>
          </cell>
        </row>
        <row r="13">
          <cell r="B13" t="str">
            <v>Арматура Ø8 класу А500 (Рах.5568 від 28.08.17)</v>
          </cell>
        </row>
        <row r="14">
          <cell r="B14" t="str">
            <v>Арматура Ø10 класу А500 (Рах.4572 від 08.06.17)</v>
          </cell>
        </row>
        <row r="15">
          <cell r="B15" t="str">
            <v>Арматура Ø10 класу А500 (Рах.555945 від 01.08.17)</v>
          </cell>
        </row>
        <row r="16">
          <cell r="B16" t="str">
            <v>Арматура Ø10 класу А500 (Рах.5568 від 28.08.17)</v>
          </cell>
        </row>
        <row r="17">
          <cell r="B17" t="str">
            <v>Арматура Ø12 класу А500 (Рах.4572 від 08.06.17)</v>
          </cell>
        </row>
        <row r="18">
          <cell r="B18" t="str">
            <v>Арматура Ø12 класу А500 (Рах.555945 від 01.08.17)</v>
          </cell>
        </row>
        <row r="19">
          <cell r="B19" t="str">
            <v>Арматура Ø12 класу А500 (Рах.5568 від 28.08.17)</v>
          </cell>
        </row>
        <row r="20">
          <cell r="B20" t="str">
            <v>Арматура Ø16 класу А500 (Рах.4572 від 08.06.17)</v>
          </cell>
        </row>
        <row r="21">
          <cell r="B21" t="str">
            <v>Арматура Ø16 класу А500 (Рах.555945 від 01.08.17)</v>
          </cell>
        </row>
        <row r="22">
          <cell r="B22" t="str">
            <v>Арматура Ø16 класу А500 (Рах.5568 від 28.08.17)</v>
          </cell>
        </row>
        <row r="23">
          <cell r="B23" t="str">
            <v>Арматура Ø18 класу А500 (Рах.5568 від 28.08.17)</v>
          </cell>
        </row>
        <row r="25">
          <cell r="B25" t="str">
            <v>Арматура Ø20 класу А500 (Рах.4572 від 08.06.17)</v>
          </cell>
        </row>
        <row r="26">
          <cell r="B26" t="str">
            <v>Арматура Ø20 класу А500 (Рах.555945 від 01.08.17)</v>
          </cell>
        </row>
        <row r="27">
          <cell r="B27" t="str">
            <v>Арматура Ø20 класу А500 (Рах.5568 від 28.08.17)</v>
          </cell>
        </row>
        <row r="28">
          <cell r="B28" t="str">
            <v>Арматура Ø22 класу А500 (Рах.4572 від 08.06.17)</v>
          </cell>
        </row>
        <row r="29">
          <cell r="B29" t="str">
            <v>Арматура Ø22 класу А500 (Рах.555945 від 01.08.17)</v>
          </cell>
        </row>
        <row r="30">
          <cell r="B30" t="str">
            <v>Арматура Ø22 класу А500 (Рах.5568 від 28.08.17)</v>
          </cell>
        </row>
        <row r="31">
          <cell r="B31" t="str">
            <v>Арматура Ø25 класу А500 (Рах.4572 від 08.06.17)</v>
          </cell>
        </row>
        <row r="32">
          <cell r="B32" t="str">
            <v>Арматура Ø25 класу А500 (Рах.555945 від 01.08.17)</v>
          </cell>
        </row>
        <row r="33">
          <cell r="B33" t="str">
            <v>Арматура Ø25 класу А500 (Рах.5568 від 28.08.17)</v>
          </cell>
        </row>
        <row r="34">
          <cell r="B34" t="str">
            <v>Арматура Ø28 класу А500 (Рах.4572 від 08.06.17)</v>
          </cell>
        </row>
        <row r="35">
          <cell r="B35" t="str">
            <v>Арматура Ø32 класу А500 (Рах.4572 від 08.06.17)</v>
          </cell>
        </row>
        <row r="36">
          <cell r="B36" t="str">
            <v>Смуга 40х4мм (Рах.4572 від 08.06.17)</v>
          </cell>
        </row>
        <row r="38">
          <cell r="B38" t="str">
            <v>Дріт сталевий Ø1,2 мм (Рах.4572 від 08.06.17)</v>
          </cell>
        </row>
        <row r="39">
          <cell r="B39" t="str">
            <v xml:space="preserve">Дріт сталевий Ø1,2 мм (Рах.КИФ369 від 30.05.17 р.) </v>
          </cell>
        </row>
        <row r="40">
          <cell r="B40" t="str">
            <v>Дріт сталевий Ø1,2 мм (Рах.555945 від 01.08.17)</v>
          </cell>
        </row>
        <row r="41">
          <cell r="B41" t="str">
            <v>Дріт сталевий Ø1,2 мм (Рах.5568 від 28.08.17)</v>
          </cell>
        </row>
        <row r="48">
          <cell r="B48" t="str">
            <v>Бетон П4 В30 F200 W6 з доставкою на об'єкт</v>
          </cell>
        </row>
        <row r="49">
          <cell r="B49" t="str">
            <v>Бетон П4 В25 F200 W6 з доставкою на об'єкт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рек-С"/>
      <sheetName val="ВК+ВКН"/>
      <sheetName val="Опалення"/>
    </sheetNames>
    <sheetDataSet>
      <sheetData sheetId="0"/>
      <sheetData sheetId="1">
        <row r="13">
          <cell r="I13">
            <v>18559.86</v>
          </cell>
        </row>
      </sheetData>
      <sheetData sheetId="2">
        <row r="33">
          <cell r="I33">
            <v>614920.59120000002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ЦЕНТОВАНИЕ"/>
      <sheetName val="Накопление"/>
      <sheetName val="АВР №1"/>
      <sheetName val="КБ-3 №1"/>
      <sheetName val="АВР №2"/>
      <sheetName val="КБ-3 №2"/>
      <sheetName val="АВР №3"/>
      <sheetName val="КБ-3 №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ПЗН_4"/>
      <sheetName val="Порівн ПЗН_4 (2)"/>
      <sheetName val="Для Бюджету  (Білінський)"/>
      <sheetName val="Бюджет "/>
      <sheetName val="Бюджет (звернута форма)"/>
      <sheetName val="гідроізол на 1 м2"/>
      <sheetName val="покрівля на 1м2"/>
      <sheetName val="фасад 1 м2"/>
      <sheetName val="опорядження на 1м2"/>
      <sheetName val="2 башенних крана  "/>
      <sheetName val="Фундамент под БШ"/>
      <sheetName val="Лист4"/>
      <sheetName val="опалення"/>
      <sheetName val="вк+вкн"/>
    </sheetNames>
    <sheetDataSet>
      <sheetData sheetId="0"/>
      <sheetData sheetId="1">
        <row r="2">
          <cell r="O2">
            <v>26796.04</v>
          </cell>
          <cell r="R2">
            <v>24593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Б-3_жб1"/>
      <sheetName val="КБ-3_жб2"/>
      <sheetName val="КБ-3_жб3"/>
      <sheetName val="КБ-3_від.прод"/>
      <sheetName val="КБ-3_інш.черга"/>
      <sheetName val="Сводная "/>
      <sheetName val="Акт 120_б.2_VІ.19"/>
      <sheetName val="Акт 119_в.п_V.19"/>
      <sheetName val="Акт 118_б.3_V.19"/>
      <sheetName val="Акт 117_б.2_V.19"/>
      <sheetName val="Акт 116_б.1_V.19"/>
      <sheetName val="Акт 115_б.3_V.19"/>
      <sheetName val="Акт 114_б.2_V.19"/>
      <sheetName val="Акт 113_б.1_V.19"/>
      <sheetName val="Акт 112_б.2_V.19"/>
      <sheetName val="Акт 111_б.2_V.19"/>
      <sheetName val="Акт 110_б.2_V.19"/>
      <sheetName val="Акт 108_V.19"/>
      <sheetName val="Акт 103_V.19"/>
      <sheetName val="Акт 102_V.19"/>
      <sheetName val="Акт 101_V.19"/>
      <sheetName val="Акт 100_V.19"/>
      <sheetName val="Акт 109_б.2_V.19"/>
      <sheetName val="Акт 107_б.2_ІV.19"/>
      <sheetName val="Акт 106_б.3_ІV.19"/>
      <sheetName val="Акт 105_б.2_ІV.19"/>
      <sheetName val="Акт 104_б.1_ІV.19"/>
      <sheetName val="Акт 99_б.3_ІV.19"/>
      <sheetName val="Акт 98_б.2_ІV.19"/>
      <sheetName val="Акт 97_б.1_ІV.19"/>
      <sheetName val="Акт 96_б.3_ІV.19"/>
      <sheetName val="Акт 95_б.2_ІV.19"/>
      <sheetName val="Акт 94_б.1_ІV.19"/>
      <sheetName val="Акт 93_б.3_ІV.19"/>
      <sheetName val="Акт 92_б.2_ІV.19"/>
      <sheetName val="Акт 91_б.1_ІV.19"/>
      <sheetName val="Акт 90_б.3_ІV.19"/>
      <sheetName val="Акт 89_б.2_ІV.19"/>
      <sheetName val="Акт 88_б.1_ІV.19"/>
      <sheetName val="ВР_04.2019"/>
      <sheetName val="Акт 87_б.2_ІІІ.19"/>
      <sheetName val="Акт 86_б.1_ІІІ.19"/>
      <sheetName val="Акт 85"/>
      <sheetName val="Акт 84_б.3_ІІІ.19"/>
      <sheetName val="Акт 83_б.1_ІІІ.19"/>
      <sheetName val="Акт 82_б.3_ІІІ.19"/>
      <sheetName val="Акт 81_б.2_ІІІ.19"/>
      <sheetName val="Акт 80_б.1_ІІІ.19"/>
      <sheetName val="Акт 79_б.1_ІІІ.19"/>
      <sheetName val="Акт 78_б.3_ІІІ.19"/>
      <sheetName val="Акт 77_б.1_ІІ.19"/>
      <sheetName val="Акт 76_б.3_ІІІ.19"/>
      <sheetName val="Акт 75_б.2_ІІІ.19"/>
      <sheetName val="Акт 74_б.1_ІІІ.19"/>
      <sheetName val="Акт 73"/>
      <sheetName val="Акт 72"/>
      <sheetName val="Акт 71"/>
      <sheetName val="Акт 70"/>
      <sheetName val="Акт 69_б.3_ІІ.19"/>
      <sheetName val="Акт 68_б.2_ІІ.19"/>
      <sheetName val="Акт 67_б.1_ІІ.19"/>
      <sheetName val="ВР_02.2019"/>
      <sheetName val="Акт 66_б.3_ІІ.19"/>
      <sheetName val="Акт 65_б.2_ІІ.19"/>
      <sheetName val="Акт 64_б.1_ІІ.19"/>
      <sheetName val="Акт 63_б.1_ІІ.19"/>
      <sheetName val="Акт 62_б.3_ІІ.19"/>
      <sheetName val="Акт 61_б.2_ІІ.19"/>
      <sheetName val="Акт 60_б.1_ІІ.19"/>
      <sheetName val="Акт 59_б.3_ІІ.19"/>
      <sheetName val="Акт 58_б.1_ІІ.19"/>
      <sheetName val="Акт 57_б.3_ІІ.19"/>
      <sheetName val="Акт 56_б.2_ІІ.19"/>
      <sheetName val="Акт 55_б.1_ІІ.19"/>
      <sheetName val="Акт 54_б.3_І.19"/>
      <sheetName val="Акт 53_б.2_І.19"/>
      <sheetName val="Акт 52_б.1_І.19"/>
      <sheetName val="Акт 51_б.3_І.19"/>
      <sheetName val="Акт 50_б.1_І.19"/>
      <sheetName val="ВР_01.2019"/>
      <sheetName val="Акт 49_б.1_І.19"/>
      <sheetName val="Акт 48_б.3_І.19"/>
      <sheetName val="Акт 47_б.1_І.19"/>
      <sheetName val="Акт 46_б.3_І.19"/>
      <sheetName val="Акт 45_б.1_І.19"/>
      <sheetName val="Акт 44_б.3_І.19"/>
      <sheetName val="Акт 43_б.1_І.19"/>
      <sheetName val="Акт 38_б.3_І.19"/>
      <sheetName val="Акт 20_б.1_ХІІ.18"/>
      <sheetName val="Акт 21_б.3_ХІІ.18"/>
      <sheetName val="ВР_12.2018"/>
      <sheetName val="Акт 37_б.3_ХІІ.18"/>
      <sheetName val="Акт 36_б.2_ХІІ.18"/>
      <sheetName val="Акт 35_б.1_ХІІ.18"/>
      <sheetName val="Акт 34_б.3_ХІІ.18"/>
      <sheetName val="Акт 33_б.1_ХІІ.18"/>
      <sheetName val="Акт 32_впр_ХІІ.18"/>
      <sheetName val="Акт 31_б.3_ХІІ.18"/>
      <sheetName val="Акт 30_б.2_ХІІ.18"/>
      <sheetName val="Акт 29_б.2_ХІІ.18"/>
      <sheetName val="Акт 28_б.3_ХІІ.18"/>
      <sheetName val="Акт 27_б.1_ХІІ.18"/>
      <sheetName val="Акт 26_б.1_ХІІ.18"/>
      <sheetName val="Акт 25_б.3_ХІІ.18"/>
      <sheetName val="Акт 24_б.1_ХІІ.18"/>
      <sheetName val="Акт 19_б.3_ХІ.18"/>
      <sheetName val="Акт 18_б.2_ХІ.18"/>
      <sheetName val="Акт 17_б.1_ХІ.18"/>
      <sheetName val="Акт 16_б.2_ХІ.18"/>
      <sheetName val="Акт 15_б.3_ХІ.18"/>
      <sheetName val="Акт 14_б.2_ХІ.18"/>
      <sheetName val="Акт 13_б.1_ХІ.18"/>
      <sheetName val="Акт 12_б.3_Х.18"/>
      <sheetName val="Акт 11_б.2_Х.18"/>
      <sheetName val="Акт 10_б.1_Х.18"/>
      <sheetName val="Акт 9_б.3_Х.18"/>
      <sheetName val="Акт 8_б.2_Х.18"/>
      <sheetName val="Акт 7_б.1_Х.18"/>
      <sheetName val="Акт 3_б.2_ІХ.18"/>
      <sheetName val="Акт 2_б.1_ІХ.18"/>
      <sheetName val="Акт 1_б.3_ІХ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5">
          <cell r="B15" t="str">
            <v>Бетон П4 В35 W6 з доставкою на об'єкт</v>
          </cell>
        </row>
        <row r="16">
          <cell r="B16" t="str">
            <v>Бетон П4 В25 W6 з доставкою на об'єкт</v>
          </cell>
        </row>
        <row r="17">
          <cell r="B17" t="str">
            <v>Бетон П4 В35 W6 з 01.11.2018</v>
          </cell>
        </row>
        <row r="18">
          <cell r="B18" t="str">
            <v>Бетон П4 В25 W6 з 01.11.2018</v>
          </cell>
        </row>
        <row r="19">
          <cell r="B19" t="str">
            <v>Бетон П4 В35 W6 (З)</v>
          </cell>
        </row>
        <row r="20">
          <cell r="B20" t="str">
            <v>Бетон П4 В25 W6 (З)</v>
          </cell>
        </row>
        <row r="21">
          <cell r="B21" t="str">
            <v>Бетон П4 В35 W6 (М5)</v>
          </cell>
        </row>
        <row r="22">
          <cell r="B22" t="str">
            <v>Бетон П4 В25 W6 (М5)</v>
          </cell>
        </row>
        <row r="23">
          <cell r="B23" t="str">
            <v>Бетон П4 В35 W6 (М10-15)</v>
          </cell>
        </row>
        <row r="24">
          <cell r="B24" t="str">
            <v>Бетон П4 В25 W6 (М10-15)</v>
          </cell>
        </row>
        <row r="25">
          <cell r="B25" t="str">
            <v>Арматура Ø25А500С</v>
          </cell>
        </row>
        <row r="26">
          <cell r="B26" t="str">
            <v>Арматура Ø25А500С (стрижні по 3,5 м.п.)</v>
          </cell>
        </row>
        <row r="27">
          <cell r="B27" t="str">
            <v>Арматура Ø20А500С</v>
          </cell>
        </row>
        <row r="28">
          <cell r="B28" t="str">
            <v>Арматура Ø16А500С</v>
          </cell>
        </row>
        <row r="29">
          <cell r="B29" t="str">
            <v>Арматура Ø12А500С</v>
          </cell>
        </row>
        <row r="30">
          <cell r="B30" t="str">
            <v>Арматура Ø10А500С</v>
          </cell>
        </row>
        <row r="31">
          <cell r="B31" t="str">
            <v>Арматура Ø10А240С</v>
          </cell>
        </row>
        <row r="32">
          <cell r="B32" t="str">
            <v>Арматура Ø8А240С</v>
          </cell>
        </row>
        <row r="33">
          <cell r="B33" t="str">
            <v>Арматура Ø6А240С</v>
          </cell>
        </row>
        <row r="34">
          <cell r="B34" t="str">
            <v xml:space="preserve">Дріт сталевий Ø1,2 мм </v>
          </cell>
        </row>
        <row r="35">
          <cell r="B35" t="str">
            <v>Дріт сталевий Ø4 мм (сітка)</v>
          </cell>
        </row>
        <row r="36">
          <cell r="B36" t="str">
            <v>Труба 159х3,5</v>
          </cell>
        </row>
        <row r="37">
          <cell r="B37" t="str">
            <v>Труба 108х3</v>
          </cell>
        </row>
        <row r="38">
          <cell r="B38" t="str">
            <v>Труба 48х3</v>
          </cell>
        </row>
        <row r="39">
          <cell r="B39" t="str">
            <v>Полоса 50х8</v>
          </cell>
        </row>
        <row r="40">
          <cell r="B40" t="str">
            <v>Вентиляційний блок ВБ 3-30</v>
          </cell>
        </row>
        <row r="41">
          <cell r="B41" t="str">
            <v>Вентиляційний блок ВБ 4-30</v>
          </cell>
        </row>
        <row r="42">
          <cell r="B42" t="str">
            <v>Кутник 63х63х5</v>
          </cell>
        </row>
        <row r="43">
          <cell r="B43" t="str">
            <v>Кутник 75х75х5</v>
          </cell>
        </row>
        <row r="44">
          <cell r="B44" t="str">
            <v>Кутник 100х100х6,5</v>
          </cell>
        </row>
        <row r="45">
          <cell r="B45" t="str">
            <v>Механічних анкер М10  =110</v>
          </cell>
        </row>
        <row r="46">
          <cell r="B46" t="str">
            <v>Розчин РК М75 П12 з доставкою на об'єкт (М5)</v>
          </cell>
        </row>
        <row r="47">
          <cell r="B47" t="str">
            <v>Кутик 125*10_1 шт. 6 м.п.</v>
          </cell>
        </row>
        <row r="48">
          <cell r="B48" t="str">
            <v>Анкер  Хілті 16,5</v>
          </cell>
        </row>
        <row r="49">
          <cell r="B49" t="str">
            <v>Марш сходовий 1ЛМ 30.12.15-4-С, серія 1.151.1-7</v>
          </cell>
        </row>
        <row r="50">
          <cell r="B50" t="str">
            <v>Площадка сходова 2ЛП 25-12-4-Г, серія 1.152.1-8</v>
          </cell>
        </row>
        <row r="51">
          <cell r="B51" t="str">
            <v>Прогрів монолітних конструкцій</v>
          </cell>
        </row>
        <row r="52">
          <cell r="B52">
            <v>0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кт 28_ХIІ.17"/>
      <sheetName val="Акт 29_ХIІ.17"/>
      <sheetName val="Акт 30_ХIІ.17"/>
      <sheetName val="Акт 35_ХIІ.17"/>
      <sheetName val="Акт 38_І.18 "/>
      <sheetName val="Акт 39_І.18"/>
      <sheetName val="Акт 40_І.18"/>
      <sheetName val="Акт 41_І.18"/>
      <sheetName val="Акт 42_І.18"/>
      <sheetName val="Сводная по мат-ла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B5" t="str">
            <v>Арматура Ø6,5 класу А240 (Рах.4572 від 08.06.17)</v>
          </cell>
        </row>
        <row r="6">
          <cell r="B6" t="str">
            <v>Арматура Ø6,5 класу А240 (Рах.555945 від 01.08.17)</v>
          </cell>
        </row>
        <row r="7">
          <cell r="B7" t="str">
            <v>Арматура Ø6,5 класу А240 (Рах.5568 від 28.08.17)</v>
          </cell>
        </row>
        <row r="8">
          <cell r="B8" t="str">
            <v>Арматура Ø6,5 класу А240 (Рах.6815 від 17.10.17)</v>
          </cell>
        </row>
        <row r="9">
          <cell r="B9" t="str">
            <v>Арматура Ø6,5 класу А240 (Рах.588588 від 02.11.17)</v>
          </cell>
        </row>
        <row r="10">
          <cell r="B10" t="str">
            <v>Арматура Ø8 класу А240 (Рах.4572 від 08.06.17)</v>
          </cell>
        </row>
        <row r="11">
          <cell r="B11" t="str">
            <v>Арматура Ø8 класу А240 (Рах.555945 від 01.08.17)</v>
          </cell>
        </row>
        <row r="12">
          <cell r="B12" t="str">
            <v>Арматура Ø8 класу А240 (Рах.5568 від 28.08.17)</v>
          </cell>
        </row>
        <row r="13">
          <cell r="B13" t="str">
            <v>Арматура Ø8 класу А240 (Рах.6815 від 17.10.17)</v>
          </cell>
        </row>
        <row r="14">
          <cell r="B14" t="str">
            <v>Арматура Ø8 класу А240  (Рах.588588 від 02.11.17)</v>
          </cell>
        </row>
        <row r="15">
          <cell r="B15" t="str">
            <v>Арматура Ø8 класу А500 (Рах.4572 від 08.06.17)</v>
          </cell>
        </row>
        <row r="16">
          <cell r="B16" t="str">
            <v>Арматура Ø8 класу А500 (Рах.555945 від 01.08.17)</v>
          </cell>
        </row>
        <row r="17">
          <cell r="B17" t="str">
            <v>Арматура Ø8 класу А500 (Рах.5568 від 28.08.17)</v>
          </cell>
        </row>
        <row r="18">
          <cell r="B18" t="str">
            <v>Арматура Ø8 класу А500 (Рах.6815 від 17.10.17)</v>
          </cell>
        </row>
        <row r="19">
          <cell r="B19" t="str">
            <v>Арматура Ø8 класу А500  (Рах.588588 від 02.11.17)</v>
          </cell>
        </row>
        <row r="20">
          <cell r="B20" t="str">
            <v>Арматура Ø10 класу А500 (Рах.4572 від 08.06.17)</v>
          </cell>
        </row>
        <row r="21">
          <cell r="B21" t="str">
            <v>Арматура Ø10 класу А500 (Рах.555945 від 01.08.17)</v>
          </cell>
        </row>
        <row r="22">
          <cell r="B22" t="str">
            <v>Арматура Ø10 класу А500 (Рах.5568 від 28.08.17)</v>
          </cell>
        </row>
        <row r="23">
          <cell r="B23" t="str">
            <v>Арматура Ø10 класу А500 (Рах.6815 від 17.10.17)</v>
          </cell>
        </row>
        <row r="24">
          <cell r="B24" t="str">
            <v>Арматура Ø10 класу А500  (Рах.588588 від 02.11.17)</v>
          </cell>
        </row>
        <row r="25">
          <cell r="B25" t="str">
            <v>Арматура Ø12 класу А500 (Рах.4572 від 08.06.17)</v>
          </cell>
        </row>
        <row r="26">
          <cell r="B26" t="str">
            <v>Арматура Ø12 класу А500 (Рах.555945 від 01.08.17)</v>
          </cell>
        </row>
        <row r="27">
          <cell r="B27" t="str">
            <v>Арматура Ø12 класу А500 (Рах.5568 від 28.08.17)</v>
          </cell>
        </row>
        <row r="28">
          <cell r="B28" t="str">
            <v>Арматура Ø12 класу А500 (Рах.6815 від 17.10.17)</v>
          </cell>
        </row>
        <row r="29">
          <cell r="B29" t="str">
            <v>Арматура Ø12 класу А500  (Рах.588588 від 02.11.17)</v>
          </cell>
        </row>
        <row r="30">
          <cell r="B30" t="str">
            <v>Арматура Ø16 класу А500 (Рах.4572 від 08.06.17)</v>
          </cell>
        </row>
        <row r="31">
          <cell r="B31" t="str">
            <v>Арматура Ø16 класу А500 (Рах.555945 від 01.08.17)</v>
          </cell>
        </row>
        <row r="32">
          <cell r="B32" t="str">
            <v>Арматура Ø16 класу А500 (Рах.5568 від 28.08.17)</v>
          </cell>
        </row>
        <row r="33">
          <cell r="B33" t="str">
            <v>Арматура Ø16 класу А500 (Рах.6815 від 17.10.17)</v>
          </cell>
        </row>
        <row r="34">
          <cell r="B34" t="str">
            <v>Арматура Ø16 класу А500  (Рах.588588 від 02.11.17)</v>
          </cell>
        </row>
        <row r="35">
          <cell r="B35" t="str">
            <v>Арматура Ø18 класу А500 (Рах.5568 від 28.08.17)</v>
          </cell>
        </row>
        <row r="36">
          <cell r="B36" t="str">
            <v>Арматура Ø18 класу А500 (Рах.6815 від 17.10.17)</v>
          </cell>
        </row>
        <row r="37">
          <cell r="B37">
            <v>0</v>
          </cell>
        </row>
        <row r="38">
          <cell r="B38" t="str">
            <v>Арматура Ø20 класу А500 (Рах.4572 від 08.06.17)</v>
          </cell>
        </row>
        <row r="39">
          <cell r="B39" t="str">
            <v>Арматура Ø20 класу А500 (Рах.555945 від 01.08.17)</v>
          </cell>
        </row>
        <row r="40">
          <cell r="B40" t="str">
            <v>Арматура Ø20 класу А500 (Рах.5568 від 28.08.17)</v>
          </cell>
        </row>
        <row r="41">
          <cell r="B41" t="str">
            <v>Арматура Ø20 класу А500 (Рах.6815 від 17.10.17)</v>
          </cell>
        </row>
        <row r="42">
          <cell r="B42" t="str">
            <v>Арматура Ø20 класу А500  (Рах.588588 від 02.11.17)</v>
          </cell>
        </row>
        <row r="43">
          <cell r="B43" t="str">
            <v>Арматура Ø22 класу А500 (Рах.4572 від 08.06.17)</v>
          </cell>
        </row>
        <row r="44">
          <cell r="B44" t="str">
            <v>Арматура Ø22 класу А500 (Рах.555945 від 01.08.17)</v>
          </cell>
        </row>
        <row r="45">
          <cell r="B45" t="str">
            <v>Арматура Ø22 класу А500 (Рах.5568 від 28.08.17)</v>
          </cell>
        </row>
        <row r="46">
          <cell r="B46" t="str">
            <v>Арматура Ø25 класу А500 (Рах.4572 від 08.06.17)</v>
          </cell>
        </row>
        <row r="47">
          <cell r="B47" t="str">
            <v>Арматура Ø25 класу А500 (Рах.555945 від 01.08.17)</v>
          </cell>
        </row>
        <row r="48">
          <cell r="B48" t="str">
            <v>Арматура Ø25 класу А500 (Рах.5568 від 28.08.17)</v>
          </cell>
        </row>
        <row r="49">
          <cell r="B49" t="str">
            <v>Арматура Ø25 класу А500 (КИФ6363 від 21.08.2017)</v>
          </cell>
        </row>
        <row r="50">
          <cell r="B50" t="str">
            <v>Арматура Ø28 класу А500 (Рах.4572 від 08.06.17)</v>
          </cell>
        </row>
        <row r="51">
          <cell r="B51" t="str">
            <v>Арматура Ø32 класу А500 (Рах.4572 від 08.06.17)</v>
          </cell>
        </row>
        <row r="52">
          <cell r="B52" t="str">
            <v>Смуга 40х4мм (Рах.4572 від 08.06.17)</v>
          </cell>
        </row>
        <row r="53">
          <cell r="B53">
            <v>0</v>
          </cell>
        </row>
        <row r="54">
          <cell r="B54" t="str">
            <v>Дріт сталевий Ø1,2 мм (Рах.4572 від 08.06.17)</v>
          </cell>
        </row>
        <row r="55">
          <cell r="B55" t="str">
            <v xml:space="preserve">Дріт сталевий Ø1,2 мм (Рах.КИФ369 від 30.05.17 р.) </v>
          </cell>
        </row>
        <row r="56">
          <cell r="B56" t="str">
            <v>Дріт сталевий Ø1,2 мм (Рах.555945 від 01.08.17)</v>
          </cell>
        </row>
        <row r="57">
          <cell r="B57" t="str">
            <v>Дріт сталевий Ø1,2 мм (Рах.5568 від 28.08.17)</v>
          </cell>
        </row>
        <row r="58">
          <cell r="B58" t="str">
            <v>Дріт сталевий Ø1,2 мм   (Рах.6815 від 17.10.17)</v>
          </cell>
        </row>
        <row r="59">
          <cell r="B59" t="str">
            <v>Дріт сталевий Ø1,2 мм  (Рах.588588 від 02.11.17)</v>
          </cell>
        </row>
        <row r="66">
          <cell r="B66" t="str">
            <v>Бетон П4 В30 F200 W6 з доставкою на об'єкт</v>
          </cell>
        </row>
        <row r="67">
          <cell r="B67" t="str">
            <v>Бетон П4 В30 F200 W6 (З) з доставкою на об'єкт</v>
          </cell>
        </row>
        <row r="68">
          <cell r="B68" t="str">
            <v>Бетон П4 В30 F200 W6 (М5) з доставкою на об'єкт</v>
          </cell>
        </row>
        <row r="69">
          <cell r="B69" t="str">
            <v>Бетон П4 В30 F200 W6 (М10-15) з доставкою на об'єкт</v>
          </cell>
        </row>
        <row r="70">
          <cell r="B70" t="str">
            <v>Бетон П4 В25 F200 W6 з доставкою на об'єкт</v>
          </cell>
        </row>
        <row r="71">
          <cell r="B71" t="str">
            <v>Бетон П4 В25 F200 W6 (З) з доставкою на об'єкт</v>
          </cell>
        </row>
        <row r="72">
          <cell r="B72" t="str">
            <v>Бетон П4 В25 F200 W6 (М5) з доставкою на об'єкт</v>
          </cell>
        </row>
        <row r="73">
          <cell r="B73" t="str">
            <v>Бетон П4 В25 F200 W6 (М10-15) з доставкою на об'єкт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шт. №1(зм.в.3)"/>
      <sheetName val="матер-ли"/>
      <sheetName val="Лист1"/>
    </sheetNames>
    <sheetDataSet>
      <sheetData sheetId="0" refreshError="1"/>
      <sheetData sheetId="1">
        <row r="6">
          <cell r="B6" t="str">
            <v>Арматура Ø6-8 класу А240</v>
          </cell>
        </row>
        <row r="7">
          <cell r="B7" t="str">
            <v>Арматура Ø10 класу  А500</v>
          </cell>
        </row>
        <row r="8">
          <cell r="B8" t="str">
            <v>Арматура Ø12-32 класу А500</v>
          </cell>
        </row>
        <row r="9">
          <cell r="B9" t="str">
            <v>Балка для марша</v>
          </cell>
        </row>
        <row r="10">
          <cell r="B10" t="str">
            <v>Бетон П4 В25 F200 W6  з доставкою на об'єкт</v>
          </cell>
        </row>
        <row r="11">
          <cell r="B11" t="str">
            <v>Бетон П4 В30 F200 W6 з доставкою на об'єкт</v>
          </cell>
        </row>
        <row r="12">
          <cell r="B12" t="str">
            <v>Бетон П4 В25 F200 W6 М5 з доставкою на об'єкт</v>
          </cell>
        </row>
        <row r="13">
          <cell r="B13" t="str">
            <v>Бетон П4 В30 F200 W6 М5 з доставкою на об'єкт</v>
          </cell>
        </row>
        <row r="14">
          <cell r="B14" t="str">
            <v>Бетон П4 В30 F200 W6 М15 з доставкою на об'єкт</v>
          </cell>
        </row>
        <row r="15">
          <cell r="B15" t="str">
            <v>Бетон П4 В25 F200 W6 М15 з доставкою на об'єкт</v>
          </cell>
        </row>
        <row r="16">
          <cell r="B16" t="str">
            <v>Бетон П4 В12,5 F50 Р4 W6 З з доставкою на об'єкт</v>
          </cell>
        </row>
        <row r="17">
          <cell r="B17" t="str">
            <v>Вентблоки ВБ-3-30</v>
          </cell>
        </row>
        <row r="18">
          <cell r="B18" t="str">
            <v>Вентблоки ВБ-4-30</v>
          </cell>
        </row>
        <row r="19">
          <cell r="B19" t="str">
            <v>Вироби будівельні керамічні "СБК 250*380*215"</v>
          </cell>
        </row>
        <row r="20">
          <cell r="B20" t="str">
            <v>Відлив фарбований (RAL)зі сталі товщ.0,7мм</v>
          </cell>
        </row>
        <row r="21">
          <cell r="B21" t="str">
            <v>Газ пропан</v>
          </cell>
        </row>
        <row r="22">
          <cell r="B22" t="str">
            <v>Гемофон полотно ППЄ 5 мм</v>
          </cell>
        </row>
        <row r="23">
          <cell r="B23" t="str">
            <v>Геотекстиль</v>
          </cell>
        </row>
        <row r="24">
          <cell r="B24" t="str">
            <v>Герметик поліуретановий</v>
          </cell>
        </row>
        <row r="25">
          <cell r="B25" t="str">
            <v>Гідроізоляція CR-65</v>
          </cell>
        </row>
        <row r="26">
          <cell r="B26" t="str">
            <v>Грунт універсальний Уні Праймер</v>
          </cell>
        </row>
        <row r="27">
          <cell r="B27" t="str">
            <v>Грунт Baumit Grunt</v>
          </cell>
        </row>
        <row r="28">
          <cell r="B28" t="str">
            <v>Ґрунт доставляється з вул. Деміївська на вул. Дегтяренка, коефіцієнт ущільнення 1,2</v>
          </cell>
        </row>
        <row r="29">
          <cell r="B29" t="str">
            <v>Ґрунтовка ГФ-021</v>
          </cell>
        </row>
        <row r="30">
          <cell r="B30" t="str">
            <v>Ґрунтовка СТ-17</v>
          </cell>
        </row>
        <row r="31">
          <cell r="B31" t="str">
            <v>Дріт в'язальний</v>
          </cell>
        </row>
        <row r="32">
          <cell r="B32" t="str">
            <v>Джгут</v>
          </cell>
        </row>
        <row r="33">
          <cell r="B33" t="str">
            <v>Диск відр. Ø230 мм</v>
          </cell>
        </row>
        <row r="34">
          <cell r="B34" t="str">
            <v>Дюбель 10х220мм, з подовженою розпірною базою, зі сталевим оцинкованим цвяхом та пластиковою голівкою</v>
          </cell>
        </row>
        <row r="35">
          <cell r="B35" t="str">
            <v>Дюбель 10х140 мм з металевим цвяхом з подовженою розпірною частиною</v>
          </cell>
        </row>
        <row r="36">
          <cell r="B36" t="str">
            <v>Дюбель 6х40 мм</v>
          </cell>
        </row>
        <row r="37">
          <cell r="B37" t="str">
            <v>Дюбель анкерний</v>
          </cell>
        </row>
        <row r="38">
          <cell r="B38" t="str">
            <v>Елементи кріплення</v>
          </cell>
        </row>
        <row r="39">
          <cell r="B39" t="str">
            <v>Закладні деталі з полоси 40х4</v>
          </cell>
        </row>
        <row r="40">
          <cell r="B40" t="str">
            <v>Залізобетонні марш-площадки</v>
          </cell>
        </row>
        <row r="41">
          <cell r="B41" t="str">
            <v>Керамічних блоків 2NF ТМ "Керамкомфорт" ПАТ"СБК" з доставкою на об'єкт</v>
          </cell>
        </row>
        <row r="42">
          <cell r="B42" t="str">
            <v>Керамзитобетон М100</v>
          </cell>
        </row>
        <row r="43">
          <cell r="B43" t="str">
            <v>Клей ПроКонтакт</v>
          </cell>
        </row>
        <row r="44">
          <cell r="B44" t="str">
            <v>Клей Баумакол Медіо</v>
          </cell>
        </row>
        <row r="45">
          <cell r="B45" t="str">
            <v>Кутовий профіль зовнішній ПВХ з сіткою100х100мм</v>
          </cell>
        </row>
        <row r="46">
          <cell r="B46" t="str">
            <v>Ліфти (2 шт - 630 кг, 1 шт - 1000 кг)</v>
          </cell>
        </row>
        <row r="47">
          <cell r="B47" t="str">
            <v>Мастика бітумно-полімерна Техноніколь</v>
          </cell>
        </row>
        <row r="48">
          <cell r="B48" t="str">
            <v xml:space="preserve">Мембрана дренажна </v>
          </cell>
        </row>
        <row r="49">
          <cell r="B49" t="str">
            <v xml:space="preserve"> Металопластикові вікна та балконі двері (профіль 5-ти камерний,  склопакет - 2-х камерний енергозберігаючий), в т.ч. підвіконник та відлив</v>
          </cell>
        </row>
        <row r="50">
          <cell r="B50" t="str">
            <v>Металопластикові вікна балконів та лоджій (профіль 3 камерний, склопакет - 1-однокамерний)</v>
          </cell>
        </row>
        <row r="51">
          <cell r="B51" t="str">
            <v>Металопластикові вікна та двері в місцях загального користування, в т.ч. нежитлових приміщеннях (профіль 3 камерний, склопакет - 1-однокамерний)</v>
          </cell>
        </row>
        <row r="52">
          <cell r="B52" t="str">
            <v>Металеві протиударні двері (двополі з фрамугою 1260*2460мм)</v>
          </cell>
        </row>
        <row r="53">
          <cell r="B53" t="str">
            <v>Металеві вхідні двері в квартири з МДФ накладками (ЕІ 30) + монтаж</v>
          </cell>
        </row>
        <row r="54">
          <cell r="B54" t="str">
            <v>Металеві двері вхідної групи з МДФ накладками</v>
          </cell>
        </row>
        <row r="55">
          <cell r="B55" t="str">
            <v>Металеві люки в нішах інженерних комунікацій (900*1070мм)</v>
          </cell>
        </row>
        <row r="56">
          <cell r="B56" t="str">
            <v>Мін. декор.штук.Едель Пуц "барашек К"</v>
          </cell>
        </row>
        <row r="57">
          <cell r="B57" t="str">
            <v>Мінераловатна плита  145 кг/м3</v>
          </cell>
        </row>
        <row r="58">
          <cell r="B58" t="str">
            <v>Мінераловатна плита  135 кг/м3</v>
          </cell>
        </row>
        <row r="59">
          <cell r="B59" t="str">
            <v>Мозаїчна штукатурка BAUMIT</v>
          </cell>
        </row>
        <row r="60">
          <cell r="B60" t="str">
            <v>Паробар'єр</v>
          </cell>
        </row>
        <row r="61">
          <cell r="B61" t="str">
            <v>Перемичка 1ПБ13-1</v>
          </cell>
        </row>
        <row r="62">
          <cell r="B62" t="str">
            <v>Пінопласт ПСБ-С-25 ГОСТ</v>
          </cell>
        </row>
        <row r="63">
          <cell r="B63" t="str">
            <v>Пінополістирол екструдований Г-1</v>
          </cell>
        </row>
        <row r="64">
          <cell r="B64" t="str">
            <v>Пінополістирол екструдований Г-4</v>
          </cell>
        </row>
        <row r="65">
          <cell r="B65" t="str">
            <v>Пісок річковий з доставкою на об'єкт</v>
          </cell>
        </row>
        <row r="66">
          <cell r="B66" t="str">
            <v>Пісок овражний з доставкою на об'єкт</v>
          </cell>
        </row>
        <row r="67">
          <cell r="B67" t="str">
            <v>Плівка ПЕ 150 мкр</v>
          </cell>
        </row>
        <row r="68">
          <cell r="B68" t="str">
            <v>Плитка Керамограніт(фасад)</v>
          </cell>
        </row>
        <row r="69">
          <cell r="B69" t="str">
            <v>Плитка Грес А100</v>
          </cell>
        </row>
        <row r="70">
          <cell r="B70" t="str">
            <v>Плитка Грес Х200</v>
          </cell>
        </row>
        <row r="71">
          <cell r="B71" t="str">
            <v>Плитка бетонна с доставкою</v>
          </cell>
        </row>
        <row r="72">
          <cell r="B72" t="str">
            <v>Праймер бітумний Техноніколь</v>
          </cell>
        </row>
        <row r="73">
          <cell r="B73" t="str">
            <v>Профіль декоративний "Бронза"</v>
          </cell>
        </row>
        <row r="74">
          <cell r="B74" t="str">
            <v>Розчин РК М75 П-12 З з доставкою на об'єкт</v>
          </cell>
        </row>
        <row r="75">
          <cell r="B75" t="str">
            <v>Розчин РК М100 П-12-С з доставкою на об'єкт</v>
          </cell>
        </row>
        <row r="76">
          <cell r="B76" t="str">
            <v>Розчин РК М150 П-12-С з доставкою на об'єкт</v>
          </cell>
        </row>
        <row r="77">
          <cell r="B77" t="str">
            <v>Саморізи покрівельні</v>
          </cell>
        </row>
        <row r="78">
          <cell r="B78" t="str">
            <v>Сітка Бауміт стар Текс</v>
          </cell>
        </row>
        <row r="79">
          <cell r="B79" t="str">
            <v>Сітка кладочна ВР-1 Ø4мм 50х50</v>
          </cell>
        </row>
        <row r="80">
          <cell r="B80" t="str">
            <v>Сітка кладочна ВР-1 Ø3мм 100х100</v>
          </cell>
        </row>
        <row r="81">
          <cell r="B81" t="str">
            <v>Силіконова фарба Бауміт</v>
          </cell>
        </row>
        <row r="82">
          <cell r="B82" t="str">
            <v xml:space="preserve">Скриньки поштові </v>
          </cell>
        </row>
        <row r="83">
          <cell r="B83" t="str">
            <v>Стрічка К2</v>
          </cell>
        </row>
        <row r="84">
          <cell r="B84" t="str">
            <v>Стрічка перфорована</v>
          </cell>
        </row>
        <row r="85">
          <cell r="B85" t="str">
            <v xml:space="preserve">Суміш Кнауф МП-75,  30 кг </v>
          </cell>
        </row>
        <row r="86">
          <cell r="B86" t="str">
            <v>Труба 30х30х3</v>
          </cell>
        </row>
        <row r="87">
          <cell r="B87" t="str">
            <v>Уніфлекс ЕПП Техноніколь</v>
          </cell>
        </row>
        <row r="88">
          <cell r="B88" t="str">
            <v>Уніфлекс ЕКП сланець сірий Техноніколь</v>
          </cell>
        </row>
        <row r="89">
          <cell r="B89" t="str">
            <v>Фарба масляна</v>
          </cell>
        </row>
        <row r="90">
          <cell r="B90" t="str">
            <v>Фарба в/е</v>
          </cell>
        </row>
        <row r="91">
          <cell r="B91" t="str">
            <v>Фіксатори для сітки</v>
          </cell>
        </row>
        <row r="92">
          <cell r="B92" t="str">
            <v>Фуга СЕ-40</v>
          </cell>
        </row>
        <row r="93">
          <cell r="B93" t="str">
            <v>Цегла повнотіла з доставкою на об'єкт М-100</v>
          </cell>
        </row>
        <row r="94">
          <cell r="B94" t="str">
            <v>Цемент М400</v>
          </cell>
        </row>
        <row r="95">
          <cell r="B95" t="str">
            <v>Шпаклівка Knauf фініш</v>
          </cell>
        </row>
        <row r="96">
          <cell r="B96" t="str">
            <v>Шпаклівка Knauf мульти-фініш</v>
          </cell>
        </row>
        <row r="97">
          <cell r="B97" t="str">
            <v>Шліфщкурка 115 мм</v>
          </cell>
        </row>
        <row r="98">
          <cell r="B98" t="str">
            <v>Щебінь (20-40, 40-70)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кт 74_V.18"/>
      <sheetName val="ИВР акту 74"/>
      <sheetName val="Лист1"/>
      <sheetName val="Акт 44_ІІ.18"/>
      <sheetName val="Акт 50_ІІ.18"/>
    </sheetNames>
    <sheetDataSet>
      <sheetData sheetId="0" refreshError="1"/>
      <sheetData sheetId="1">
        <row r="15">
          <cell r="B15" t="str">
            <v>Газоблок D500 (600х250х200) газобетонний блок щільністю 500 кг/м.куб., клас міцності В2,5, морозостійкість F100</v>
          </cell>
        </row>
        <row r="16">
          <cell r="B16" t="str">
            <v>Газоблок D500 (600х250х200) клас міцності В2,5  (аванс 2 від 29.01.18 на суму 1 961 204,38 грн)</v>
          </cell>
        </row>
        <row r="17">
          <cell r="B17" t="str">
            <v>Газоблок D500 (600х250х200) клас міцності В2,5  (аванс 3 від 16.03.18 на суму 981 442,56 грн)</v>
          </cell>
        </row>
        <row r="18">
          <cell r="B18" t="str">
            <v>Газоблок D500 (600х250х200) клас міцності В2,5  (аванс 4 від 24.04.18 а суму 4 057 914,86 грн)</v>
          </cell>
        </row>
        <row r="19">
          <cell r="B19" t="str">
            <v>Газоблок D500 (600х100х200) газобетонний блок щільністю 500 кг/м.куб., клас міцності В2,5, морозостійкість F100</v>
          </cell>
        </row>
        <row r="20">
          <cell r="B20" t="str">
            <v>Газоблок D500 (600х100х200) газобетонний блок щільністю 500 кг/м.куб., клас міцності В2,5, (аванс 2 від 29.01.18 на суму 1 961 204,38 грн)</v>
          </cell>
        </row>
        <row r="21">
          <cell r="B21" t="str">
            <v>Газоблок D500 (600х100х200) клас міцності В2,5  (аванс 3 від 16.03.18 на суму 981 442,56 грн)</v>
          </cell>
        </row>
        <row r="22">
          <cell r="B22" t="str">
            <v>Газоблок D500 (600х100х200) клас міцності В2,5  (аванс 4 від 24.04.18 а суму 4 057 914,86 грн)</v>
          </cell>
        </row>
        <row r="23">
          <cell r="B23" t="str">
            <v>Цегла повнотіла М-100</v>
          </cell>
        </row>
        <row r="24">
          <cell r="B24" t="str">
            <v>Цегла повнотіла М-100 (аванс 2 від 29.01.18 на суму 1 961 204,38 грн)</v>
          </cell>
        </row>
        <row r="25">
          <cell r="B25" t="str">
            <v>Цегла повнотіла М-100(аванс 3 від 04.04.18 на суму 360 000,00грн)</v>
          </cell>
        </row>
        <row r="26">
          <cell r="B26" t="str">
            <v>Цегла повнотіла М-100(аванс 4 від 23.05.18 на суму 546 700,00грн)</v>
          </cell>
        </row>
        <row r="27">
          <cell r="B27" t="str">
            <v>Сітка кладочна ВР-1 d4мм 50х50</v>
          </cell>
        </row>
        <row r="28">
          <cell r="B28" t="str">
            <v>Сітка кладочна ВР-1 d4мм 50х50 (аванс 2 від 29.01.18 на суму 1 961 204,38 грн)</v>
          </cell>
        </row>
        <row r="29">
          <cell r="B29" t="str">
            <v>Сітка кладочна ВР-1 d4мм 50х50 (аванс 3 від 30.05.18 на суму  223 437,47 грн)</v>
          </cell>
        </row>
        <row r="30">
          <cell r="B30" t="str">
            <v>Суміш мурувальна Anserglob BCM 11 з зимов.</v>
          </cell>
        </row>
        <row r="31">
          <cell r="B31" t="str">
            <v>Суміш мурувальна Anserglob BCM 11 з зимов. (аванс 2 від 29.01.18 на суму 1 961 204,38 грн)</v>
          </cell>
        </row>
        <row r="32">
          <cell r="B32" t="str">
            <v>Суміш мурувальна Anserglob BCM 11 (аванс 3 від 18.03.18 на суму 197 051,41 грн)</v>
          </cell>
        </row>
        <row r="34">
          <cell r="B34" t="str">
            <v>Розчин РК М75 П12 (З) з доставкою на об'єкт</v>
          </cell>
        </row>
        <row r="35">
          <cell r="B35" t="str">
            <v>Розчин РК М75 П12 з доставкою на об'єкт</v>
          </cell>
        </row>
        <row r="36">
          <cell r="B36" t="str">
            <v>Арматура Ø8 класу А500</v>
          </cell>
        </row>
        <row r="37">
          <cell r="B37" t="str">
            <v>Арматура Ø8 класу А500(аванс 2 від 29.01.18 на суму 1 961 204,38 грн)</v>
          </cell>
        </row>
        <row r="38">
          <cell r="B38" t="str">
            <v>Арматура Ø8 класу А500(аванс 3 від 05.05.18 на суму 350 366,76 грн)</v>
          </cell>
        </row>
        <row r="40">
          <cell r="B40" t="str">
            <v>Арматура Ø12 к1204,38 класу А500 (аванс 3 від 05.05.18 на суму 6</v>
          </cell>
        </row>
        <row r="41">
          <cell r="B41" t="str">
            <v>Арматура Ø10 класу А500(аванс 3 від 05.05.18 на суму 350 366,76 грн)</v>
          </cell>
        </row>
        <row r="42">
          <cell r="B42" t="str">
            <v>Арматура Ø12 класу А500(аванс 1 від 23.11.17 на суму 350 366,76 грн)</v>
          </cell>
        </row>
        <row r="43">
          <cell r="B43" t="str">
            <v>Арматура Ø12 класу А500 (аванс 3 від 05.05.18 на суму 196</v>
          </cell>
        </row>
        <row r="44">
          <cell r="B44" t="str">
            <v>Арматура Ø12 класу А500(аванс 3 від 05.05.18 на суму 350 366,76 грн)</v>
          </cell>
        </row>
        <row r="46">
          <cell r="B46" t="str">
            <v>Кутник 75х75х6 міра</v>
          </cell>
        </row>
        <row r="51">
          <cell r="B51" t="str">
            <v>Дріт в'язальний</v>
          </cell>
        </row>
        <row r="52">
          <cell r="B52" t="str">
            <v>Всього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Ц"/>
      <sheetName val="Відомість ресурсів"/>
      <sheetName val="Лист3"/>
    </sheetNames>
    <sheetDataSet>
      <sheetData sheetId="0"/>
      <sheetData sheetId="1">
        <row r="2">
          <cell r="B2" t="str">
            <v>Назва матеріалу</v>
          </cell>
        </row>
        <row r="3">
          <cell r="B3" t="str">
            <v>Аератор (дефлектор) Д=110 мм</v>
          </cell>
        </row>
        <row r="4">
          <cell r="B4" t="str">
            <v>Анкер 110</v>
          </cell>
        </row>
        <row r="5">
          <cell r="B5" t="str">
            <v>Воронка 110/600 з нерж.фланцем, з термокабелем</v>
          </cell>
        </row>
        <row r="6">
          <cell r="B6" t="str">
            <v>Газ пропан</v>
          </cell>
        </row>
        <row r="7">
          <cell r="B7" t="str">
            <v>Герметик поліуретановий (600 мл)</v>
          </cell>
        </row>
        <row r="8">
          <cell r="B8" t="str">
            <v>Гравій фр. 5-20</v>
          </cell>
        </row>
        <row r="9">
          <cell r="B9" t="str">
            <v>Грунт Baumit Grund</v>
          </cell>
        </row>
        <row r="10">
          <cell r="B10" t="str">
            <v>Дріт в'язальний для сітки</v>
          </cell>
        </row>
        <row r="11">
          <cell r="B11" t="str">
            <v>Дюбель 10х100мм, з стал.оцин.цвяхом з термоголов.</v>
          </cell>
        </row>
        <row r="12">
          <cell r="B12" t="str">
            <v>Дюбель 10х160мм, з стал.оцин.цвяхом з термоголов.</v>
          </cell>
        </row>
        <row r="13">
          <cell r="B13" t="str">
            <v>Дюбель 10х220мм, з стал.оцин.цвяхом з термоголов.</v>
          </cell>
        </row>
        <row r="14">
          <cell r="B14" t="str">
            <v>Дюбель-цвях 60х8</v>
          </cell>
        </row>
        <row r="15">
          <cell r="B15" t="str">
            <v>Капельник металевий оцинкований (шир 60мм)</v>
          </cell>
        </row>
        <row r="16">
          <cell r="B16" t="str">
            <v>Керамзитобетон В7,5</v>
          </cell>
        </row>
        <row r="17">
          <cell r="B17" t="str">
            <v>Клей для теплоізоляції Baumit Pro Contact</v>
          </cell>
        </row>
        <row r="18">
          <cell r="B18" t="str">
            <v>Лоток з оцинкованої сталі (100х100х650мм)</v>
          </cell>
        </row>
        <row r="19">
          <cell r="B19" t="str">
            <v>Мінеральна вата, t=100мм, (ρ=145кг/м³)</v>
          </cell>
        </row>
        <row r="20">
          <cell r="B20" t="str">
            <v>Мінеральна вата, t=150мм, (ρ=145кг/м³)</v>
          </cell>
        </row>
        <row r="21">
          <cell r="B21" t="str">
            <v>Мінеральна вата, t=250мм, (ρ=125кг/м³)</v>
          </cell>
        </row>
        <row r="22">
          <cell r="B22" t="str">
            <v>Мінеральна вата, t=100мм, (ρ=125кг/м³)</v>
          </cell>
        </row>
        <row r="23">
          <cell r="B23" t="str">
            <v>Мінеральна вата, t=150мм, (ρ=125кг/м³)</v>
          </cell>
        </row>
        <row r="24">
          <cell r="B24" t="str">
            <v>Мінеральна вата, t=30мм, (ρ=180кг/м³)</v>
          </cell>
        </row>
        <row r="25">
          <cell r="B25" t="str">
            <v>Мінеральна вата, t=50мм, (ρ=145кг/м³)</v>
          </cell>
        </row>
        <row r="26">
          <cell r="B26" t="str">
            <v>Елемент підігріву для покрівельної воронки</v>
          </cell>
        </row>
        <row r="27">
          <cell r="B27" t="str">
            <v>Паробар'єр СА500 (або Бікроеласт ТПП)</v>
          </cell>
        </row>
        <row r="28">
          <cell r="B28" t="str">
            <v>Піна монтажна</v>
          </cell>
        </row>
        <row r="29">
          <cell r="B29" t="str">
            <v>Пісок річковий</v>
          </cell>
        </row>
        <row r="30">
          <cell r="B30" t="str">
            <v>Плівка поліетиленова 200мкм</v>
          </cell>
        </row>
        <row r="31">
          <cell r="B31" t="str">
            <v>Полоса П-ка 40</v>
          </cell>
        </row>
        <row r="32">
          <cell r="B32" t="str">
            <v xml:space="preserve">Праймер бітумний </v>
          </cell>
        </row>
        <row r="33">
          <cell r="B33" t="str">
            <v>Розчин цементно-піщаний М100 П12</v>
          </cell>
        </row>
        <row r="34">
          <cell r="B34" t="str">
            <v>Розчинник "Уайтспирит"</v>
          </cell>
        </row>
        <row r="35">
          <cell r="B35" t="str">
            <v>Рубероїд Уніфлекс ЕКП сланець сірий</v>
          </cell>
        </row>
        <row r="36">
          <cell r="B36" t="str">
            <v>Рубероїд Уніфлекс ЕПП</v>
          </cell>
        </row>
        <row r="37">
          <cell r="B37" t="str">
            <v>Саморіз (для кріплення до мінвати)</v>
          </cell>
        </row>
        <row r="38">
          <cell r="B38" t="str">
            <v>Сітка Ø3 Вр-I 100х100мм</v>
          </cell>
        </row>
        <row r="39">
          <cell r="B39" t="str">
            <v>Сітка фасадна Baumit DuoTex</v>
          </cell>
        </row>
        <row r="40">
          <cell r="B40" t="str">
            <v>Стрічка К2 (герметик К2_1шт 45м/п)</v>
          </cell>
        </row>
        <row r="41">
          <cell r="B41" t="str">
            <v>Суміш для приклеювання утеплювача Baumit NivoFix</v>
          </cell>
        </row>
        <row r="42">
          <cell r="B42" t="str">
            <v>ФЕМ 400х400х40</v>
          </cell>
        </row>
        <row r="43">
          <cell r="B43" t="str">
            <v>Фіксатори для сітки</v>
          </cell>
        </row>
        <row r="44">
          <cell r="B44" t="str">
            <v>цемент М100</v>
          </cell>
        </row>
        <row r="45">
          <cell r="B45" t="str">
            <v>Цементно-стружечна плита t=12мм</v>
          </cell>
        </row>
        <row r="46">
          <cell r="B46" t="str">
            <v>Шайба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C4F7C-5F83-41D1-BBBB-8BA3717FA76F}">
  <dimension ref="A1:H858"/>
  <sheetViews>
    <sheetView tabSelected="1" view="pageBreakPreview" zoomScaleNormal="100" zoomScaleSheetLayoutView="100" workbookViewId="0">
      <selection activeCell="G3" sqref="G3"/>
    </sheetView>
  </sheetViews>
  <sheetFormatPr defaultColWidth="12.6640625" defaultRowHeight="15" customHeight="1"/>
  <cols>
    <col min="1" max="1" width="7.33203125" style="2" customWidth="1"/>
    <col min="2" max="2" width="53.33203125" style="1" customWidth="1"/>
    <col min="3" max="3" width="7.44140625" style="3" customWidth="1"/>
    <col min="4" max="4" width="8.33203125" style="4" customWidth="1"/>
    <col min="5" max="5" width="11.109375" style="1" customWidth="1"/>
    <col min="6" max="6" width="7.6640625" style="1" customWidth="1"/>
    <col min="7" max="7" width="11.33203125" style="1" customWidth="1"/>
    <col min="8" max="8" width="15.88671875" style="1" customWidth="1"/>
    <col min="9" max="16384" width="12.6640625" style="1"/>
  </cols>
  <sheetData>
    <row r="1" spans="1:8" ht="33.75" customHeight="1">
      <c r="A1" s="221" t="s">
        <v>0</v>
      </c>
      <c r="B1" s="223" t="s">
        <v>1</v>
      </c>
      <c r="C1" s="223" t="s">
        <v>2</v>
      </c>
      <c r="D1" s="227" t="s">
        <v>4</v>
      </c>
      <c r="E1" s="223" t="s">
        <v>5</v>
      </c>
      <c r="F1" s="226" t="s">
        <v>3</v>
      </c>
      <c r="G1" s="230"/>
      <c r="H1" s="229"/>
    </row>
    <row r="2" spans="1:8" ht="25.5" customHeight="1">
      <c r="A2" s="222"/>
      <c r="B2" s="224"/>
      <c r="C2" s="225"/>
      <c r="D2" s="228"/>
      <c r="E2" s="224"/>
      <c r="F2" s="224"/>
      <c r="G2" s="9" t="s">
        <v>250</v>
      </c>
      <c r="H2" s="9" t="s">
        <v>6</v>
      </c>
    </row>
    <row r="3" spans="1:8" s="15" customFormat="1" ht="15" customHeight="1">
      <c r="A3" s="10" t="s">
        <v>7</v>
      </c>
      <c r="B3" s="11">
        <v>2</v>
      </c>
      <c r="C3" s="12"/>
      <c r="D3" s="14"/>
      <c r="E3" s="11">
        <v>4</v>
      </c>
      <c r="F3" s="13">
        <v>3</v>
      </c>
      <c r="G3" s="13"/>
      <c r="H3" s="13">
        <v>6</v>
      </c>
    </row>
    <row r="4" spans="1:8" ht="25.5" customHeight="1">
      <c r="A4" s="10"/>
      <c r="B4" s="16" t="s">
        <v>8</v>
      </c>
      <c r="C4" s="17"/>
      <c r="D4" s="19"/>
      <c r="E4" s="20"/>
      <c r="F4" s="18"/>
      <c r="G4" s="19"/>
      <c r="H4" s="21"/>
    </row>
    <row r="5" spans="1:8" ht="15" customHeight="1">
      <c r="A5" s="22"/>
      <c r="B5" s="23" t="s">
        <v>9</v>
      </c>
      <c r="C5" s="24"/>
      <c r="D5" s="26"/>
      <c r="E5" s="27"/>
      <c r="F5" s="25"/>
      <c r="G5" s="220"/>
      <c r="H5" s="28"/>
    </row>
    <row r="6" spans="1:8" ht="15" customHeight="1">
      <c r="A6" s="29">
        <v>1</v>
      </c>
      <c r="B6" s="30" t="s">
        <v>10</v>
      </c>
      <c r="C6" s="31" t="s">
        <v>11</v>
      </c>
      <c r="D6" s="33"/>
      <c r="E6" s="34">
        <v>47.1</v>
      </c>
      <c r="F6" s="32" t="s">
        <v>12</v>
      </c>
      <c r="G6" s="33">
        <v>225</v>
      </c>
      <c r="H6" s="104">
        <f>E6*G6</f>
        <v>10597.5</v>
      </c>
    </row>
    <row r="7" spans="1:8" s="39" customFormat="1" ht="15" customHeight="1">
      <c r="A7" s="22"/>
      <c r="B7" s="35" t="s">
        <v>13</v>
      </c>
      <c r="C7" s="31"/>
      <c r="D7" s="37">
        <v>0.3</v>
      </c>
      <c r="E7" s="38">
        <f>D7*E6</f>
        <v>14.13</v>
      </c>
      <c r="F7" s="36" t="s">
        <v>14</v>
      </c>
      <c r="G7" s="33"/>
      <c r="H7" s="104"/>
    </row>
    <row r="8" spans="1:8" s="39" customFormat="1" ht="15" customHeight="1">
      <c r="A8" s="2"/>
      <c r="B8" s="35" t="s">
        <v>15</v>
      </c>
      <c r="C8" s="31"/>
      <c r="D8" s="37">
        <v>10</v>
      </c>
      <c r="E8" s="38">
        <f>D8*E6</f>
        <v>471</v>
      </c>
      <c r="F8" s="36" t="s">
        <v>14</v>
      </c>
      <c r="G8" s="33"/>
      <c r="H8" s="104"/>
    </row>
    <row r="9" spans="1:8" ht="15" customHeight="1">
      <c r="A9" s="29">
        <f>A6+1</f>
        <v>2</v>
      </c>
      <c r="B9" s="30" t="s">
        <v>16</v>
      </c>
      <c r="C9" s="31" t="s">
        <v>17</v>
      </c>
      <c r="D9" s="33"/>
      <c r="E9" s="34">
        <f>E6</f>
        <v>47.1</v>
      </c>
      <c r="F9" s="32" t="s">
        <v>12</v>
      </c>
      <c r="G9" s="33">
        <v>240</v>
      </c>
      <c r="H9" s="104">
        <f>E9*G9</f>
        <v>11304</v>
      </c>
    </row>
    <row r="10" spans="1:8" s="39" customFormat="1" ht="15" customHeight="1">
      <c r="A10" s="22"/>
      <c r="B10" s="35" t="s">
        <v>18</v>
      </c>
      <c r="C10" s="31"/>
      <c r="D10" s="37">
        <v>0.15</v>
      </c>
      <c r="E10" s="38">
        <f>D10*E9</f>
        <v>7.0650000000000004</v>
      </c>
      <c r="F10" s="36" t="s">
        <v>19</v>
      </c>
      <c r="G10" s="33"/>
      <c r="H10" s="104"/>
    </row>
    <row r="11" spans="1:8" s="39" customFormat="1" ht="15" customHeight="1">
      <c r="A11" s="22"/>
      <c r="B11" s="35" t="s">
        <v>20</v>
      </c>
      <c r="C11" s="31"/>
      <c r="D11" s="37">
        <v>1.8</v>
      </c>
      <c r="E11" s="38">
        <f>D11*E9</f>
        <v>84.78</v>
      </c>
      <c r="F11" s="36" t="s">
        <v>14</v>
      </c>
      <c r="G11" s="33"/>
      <c r="H11" s="104"/>
    </row>
    <row r="12" spans="1:8" s="39" customFormat="1" ht="15" customHeight="1">
      <c r="A12" s="22"/>
      <c r="B12" s="35" t="s">
        <v>21</v>
      </c>
      <c r="C12" s="31"/>
      <c r="D12" s="37">
        <v>1.1000000000000001</v>
      </c>
      <c r="E12" s="38">
        <f>D12*E9</f>
        <v>51.81</v>
      </c>
      <c r="F12" s="36" t="s">
        <v>22</v>
      </c>
      <c r="G12" s="33"/>
      <c r="H12" s="104"/>
    </row>
    <row r="13" spans="1:8" ht="38.25" customHeight="1">
      <c r="A13" s="29">
        <f>A9+1</f>
        <v>3</v>
      </c>
      <c r="B13" s="40" t="s">
        <v>23</v>
      </c>
      <c r="C13" s="31" t="s">
        <v>17</v>
      </c>
      <c r="D13" s="33"/>
      <c r="E13" s="34">
        <f>E9</f>
        <v>47.1</v>
      </c>
      <c r="F13" s="41" t="s">
        <v>12</v>
      </c>
      <c r="G13" s="33">
        <v>160</v>
      </c>
      <c r="H13" s="104">
        <f>E13*G13</f>
        <v>7536</v>
      </c>
    </row>
    <row r="14" spans="1:8" s="39" customFormat="1" ht="15" customHeight="1">
      <c r="A14" s="22"/>
      <c r="B14" s="35" t="s">
        <v>24</v>
      </c>
      <c r="C14" s="31"/>
      <c r="D14" s="37">
        <v>0.112</v>
      </c>
      <c r="E14" s="38">
        <f>D14*E13</f>
        <v>5.2751999999999999</v>
      </c>
      <c r="F14" s="36" t="s">
        <v>19</v>
      </c>
      <c r="G14" s="33"/>
      <c r="H14" s="104"/>
    </row>
    <row r="15" spans="1:8" s="39" customFormat="1" ht="15" customHeight="1">
      <c r="A15" s="22"/>
      <c r="B15" s="35" t="s">
        <v>25</v>
      </c>
      <c r="C15" s="31"/>
      <c r="D15" s="37">
        <v>0.36599999999999999</v>
      </c>
      <c r="E15" s="38">
        <f>D15*E13</f>
        <v>17.238600000000002</v>
      </c>
      <c r="F15" s="36" t="s">
        <v>14</v>
      </c>
      <c r="G15" s="33"/>
      <c r="H15" s="104"/>
    </row>
    <row r="16" spans="1:8" ht="15" customHeight="1">
      <c r="A16" s="22"/>
      <c r="B16" s="35" t="s">
        <v>26</v>
      </c>
      <c r="C16" s="31"/>
      <c r="D16" s="37">
        <v>0.252</v>
      </c>
      <c r="E16" s="38">
        <f>D16*E13</f>
        <v>11.869200000000001</v>
      </c>
      <c r="F16" s="36" t="s">
        <v>19</v>
      </c>
      <c r="G16" s="33"/>
      <c r="H16" s="104"/>
    </row>
    <row r="17" spans="1:8" ht="15" customHeight="1">
      <c r="A17" s="29"/>
      <c r="B17" s="35" t="s">
        <v>27</v>
      </c>
      <c r="C17" s="31"/>
      <c r="D17" s="37">
        <v>3.0000000000000001E-3</v>
      </c>
      <c r="E17" s="38">
        <f>D17*E13</f>
        <v>0.14130000000000001</v>
      </c>
      <c r="F17" s="36" t="s">
        <v>19</v>
      </c>
      <c r="G17" s="33"/>
      <c r="H17" s="104"/>
    </row>
    <row r="18" spans="1:8" ht="15" customHeight="1">
      <c r="A18" s="42"/>
      <c r="B18" s="35" t="s">
        <v>28</v>
      </c>
      <c r="C18" s="31"/>
      <c r="D18" s="37">
        <v>3.0000000000000001E-3</v>
      </c>
      <c r="E18" s="38">
        <f>D18*E13</f>
        <v>0.14130000000000001</v>
      </c>
      <c r="F18" s="36" t="s">
        <v>19</v>
      </c>
      <c r="G18" s="33"/>
      <c r="H18" s="104"/>
    </row>
    <row r="19" spans="1:8" ht="15" customHeight="1">
      <c r="A19" s="42"/>
      <c r="B19" s="35" t="s">
        <v>29</v>
      </c>
      <c r="C19" s="31"/>
      <c r="D19" s="37">
        <v>3.0000000000000001E-3</v>
      </c>
      <c r="E19" s="38">
        <f>D19*E13</f>
        <v>0.14130000000000001</v>
      </c>
      <c r="F19" s="36" t="s">
        <v>19</v>
      </c>
      <c r="G19" s="33"/>
      <c r="H19" s="104"/>
    </row>
    <row r="20" spans="1:8" ht="15" customHeight="1">
      <c r="A20" s="43"/>
      <c r="B20" s="35"/>
      <c r="C20" s="31"/>
      <c r="D20" s="37"/>
      <c r="E20" s="45"/>
      <c r="F20" s="44"/>
      <c r="G20" s="33"/>
      <c r="H20" s="104"/>
    </row>
    <row r="21" spans="1:8" ht="15" customHeight="1">
      <c r="A21" s="22"/>
      <c r="B21" s="23" t="s">
        <v>30</v>
      </c>
      <c r="C21" s="24"/>
      <c r="D21" s="26"/>
      <c r="E21" s="27"/>
      <c r="F21" s="25"/>
      <c r="G21" s="33"/>
      <c r="H21" s="104"/>
    </row>
    <row r="22" spans="1:8" ht="15" customHeight="1">
      <c r="A22" s="29">
        <f>A13+1</f>
        <v>4</v>
      </c>
      <c r="B22" s="40" t="s">
        <v>31</v>
      </c>
      <c r="C22" s="31" t="s">
        <v>11</v>
      </c>
      <c r="D22" s="33"/>
      <c r="E22" s="34">
        <v>155.19999999999999</v>
      </c>
      <c r="F22" s="41" t="s">
        <v>12</v>
      </c>
      <c r="G22" s="33">
        <v>200</v>
      </c>
      <c r="H22" s="104">
        <f>E22*G22</f>
        <v>31039.999999999996</v>
      </c>
    </row>
    <row r="23" spans="1:8" s="39" customFormat="1" ht="15" customHeight="1">
      <c r="A23" s="46"/>
      <c r="B23" s="35" t="s">
        <v>13</v>
      </c>
      <c r="C23" s="31"/>
      <c r="D23" s="37">
        <v>0.3</v>
      </c>
      <c r="E23" s="38">
        <f>D23*E22</f>
        <v>46.559999999999995</v>
      </c>
      <c r="F23" s="36" t="s">
        <v>14</v>
      </c>
      <c r="G23" s="33"/>
      <c r="H23" s="104"/>
    </row>
    <row r="24" spans="1:8" s="39" customFormat="1" ht="15" customHeight="1">
      <c r="A24" s="46"/>
      <c r="B24" s="35" t="s">
        <v>32</v>
      </c>
      <c r="C24" s="31"/>
      <c r="D24" s="37">
        <v>1</v>
      </c>
      <c r="E24" s="38">
        <f>D24*E22</f>
        <v>155.19999999999999</v>
      </c>
      <c r="F24" s="36" t="s">
        <v>33</v>
      </c>
      <c r="G24" s="33"/>
      <c r="H24" s="104"/>
    </row>
    <row r="25" spans="1:8" s="39" customFormat="1" ht="15" customHeight="1">
      <c r="A25" s="46"/>
      <c r="B25" s="35" t="s">
        <v>15</v>
      </c>
      <c r="C25" s="31"/>
      <c r="D25" s="37">
        <v>18</v>
      </c>
      <c r="E25" s="38">
        <f>D25*E22</f>
        <v>2793.6</v>
      </c>
      <c r="F25" s="36" t="s">
        <v>14</v>
      </c>
      <c r="G25" s="33"/>
      <c r="H25" s="104"/>
    </row>
    <row r="26" spans="1:8" ht="15" customHeight="1">
      <c r="A26" s="29">
        <f>A22+1</f>
        <v>5</v>
      </c>
      <c r="B26" s="40" t="s">
        <v>34</v>
      </c>
      <c r="C26" s="31" t="s">
        <v>17</v>
      </c>
      <c r="D26" s="33"/>
      <c r="E26" s="34">
        <f>E22</f>
        <v>155.19999999999999</v>
      </c>
      <c r="F26" s="41" t="s">
        <v>12</v>
      </c>
      <c r="G26" s="33">
        <v>200</v>
      </c>
      <c r="H26" s="104">
        <f>E26*G26</f>
        <v>31039.999999999996</v>
      </c>
    </row>
    <row r="27" spans="1:8" s="39" customFormat="1" ht="15" customHeight="1">
      <c r="A27" s="46"/>
      <c r="B27" s="35" t="s">
        <v>18</v>
      </c>
      <c r="C27" s="31"/>
      <c r="D27" s="37">
        <v>0.15</v>
      </c>
      <c r="E27" s="38">
        <f>D27*E26</f>
        <v>23.279999999999998</v>
      </c>
      <c r="F27" s="36" t="s">
        <v>19</v>
      </c>
      <c r="G27" s="33"/>
      <c r="H27" s="104"/>
    </row>
    <row r="28" spans="1:8" s="39" customFormat="1" ht="15" customHeight="1">
      <c r="A28" s="46"/>
      <c r="B28" s="35" t="s">
        <v>20</v>
      </c>
      <c r="C28" s="31"/>
      <c r="D28" s="37">
        <v>2</v>
      </c>
      <c r="E28" s="38">
        <f>D28*E26</f>
        <v>310.39999999999998</v>
      </c>
      <c r="F28" s="36" t="s">
        <v>14</v>
      </c>
      <c r="G28" s="33"/>
      <c r="H28" s="104"/>
    </row>
    <row r="29" spans="1:8" s="39" customFormat="1" ht="15" customHeight="1">
      <c r="A29" s="47"/>
      <c r="B29" s="35" t="s">
        <v>21</v>
      </c>
      <c r="C29" s="31"/>
      <c r="D29" s="37">
        <v>1.1000000000000001</v>
      </c>
      <c r="E29" s="48">
        <f>D29*E26</f>
        <v>170.72</v>
      </c>
      <c r="F29" s="36" t="s">
        <v>22</v>
      </c>
      <c r="G29" s="33"/>
      <c r="H29" s="104"/>
    </row>
    <row r="30" spans="1:8" ht="38.25" customHeight="1">
      <c r="A30" s="29">
        <f>A26+1</f>
        <v>6</v>
      </c>
      <c r="B30" s="40" t="s">
        <v>35</v>
      </c>
      <c r="C30" s="31" t="s">
        <v>17</v>
      </c>
      <c r="D30" s="33"/>
      <c r="E30" s="34">
        <f>E26</f>
        <v>155.19999999999999</v>
      </c>
      <c r="F30" s="41" t="s">
        <v>12</v>
      </c>
      <c r="G30" s="33">
        <v>160</v>
      </c>
      <c r="H30" s="104">
        <f>E30*G30</f>
        <v>24832</v>
      </c>
    </row>
    <row r="31" spans="1:8" s="39" customFormat="1" ht="15" customHeight="1">
      <c r="A31" s="22"/>
      <c r="B31" s="35" t="s">
        <v>24</v>
      </c>
      <c r="C31" s="31"/>
      <c r="D31" s="37">
        <v>0.112</v>
      </c>
      <c r="E31" s="38">
        <f>D31*E30</f>
        <v>17.382400000000001</v>
      </c>
      <c r="F31" s="36" t="s">
        <v>19</v>
      </c>
      <c r="G31" s="33"/>
      <c r="H31" s="104"/>
    </row>
    <row r="32" spans="1:8" s="39" customFormat="1" ht="15" customHeight="1">
      <c r="A32" s="22"/>
      <c r="B32" s="35" t="s">
        <v>25</v>
      </c>
      <c r="C32" s="31"/>
      <c r="D32" s="37">
        <v>0.36599999999999999</v>
      </c>
      <c r="E32" s="38">
        <f>D32*E30</f>
        <v>56.803199999999997</v>
      </c>
      <c r="F32" s="36" t="s">
        <v>14</v>
      </c>
      <c r="G32" s="33"/>
      <c r="H32" s="104"/>
    </row>
    <row r="33" spans="1:8" ht="15" customHeight="1">
      <c r="A33" s="22"/>
      <c r="B33" s="35" t="s">
        <v>26</v>
      </c>
      <c r="C33" s="31"/>
      <c r="D33" s="37">
        <v>0.252</v>
      </c>
      <c r="E33" s="38">
        <f>D33*E30</f>
        <v>39.110399999999998</v>
      </c>
      <c r="F33" s="36" t="s">
        <v>19</v>
      </c>
      <c r="G33" s="33"/>
      <c r="H33" s="104"/>
    </row>
    <row r="34" spans="1:8" ht="15" customHeight="1">
      <c r="A34" s="29"/>
      <c r="B34" s="35" t="s">
        <v>27</v>
      </c>
      <c r="C34" s="31"/>
      <c r="D34" s="37">
        <v>3.0000000000000001E-3</v>
      </c>
      <c r="E34" s="38">
        <f>D34*E30</f>
        <v>0.46559999999999996</v>
      </c>
      <c r="F34" s="36" t="s">
        <v>19</v>
      </c>
      <c r="G34" s="33"/>
      <c r="H34" s="104"/>
    </row>
    <row r="35" spans="1:8" ht="15" customHeight="1">
      <c r="A35" s="42"/>
      <c r="B35" s="35" t="s">
        <v>28</v>
      </c>
      <c r="C35" s="31"/>
      <c r="D35" s="37">
        <v>3.0000000000000001E-3</v>
      </c>
      <c r="E35" s="38">
        <f>D35*E30</f>
        <v>0.46559999999999996</v>
      </c>
      <c r="F35" s="36" t="s">
        <v>19</v>
      </c>
      <c r="G35" s="33"/>
      <c r="H35" s="104"/>
    </row>
    <row r="36" spans="1:8" ht="15" customHeight="1">
      <c r="A36" s="42"/>
      <c r="B36" s="35" t="s">
        <v>29</v>
      </c>
      <c r="C36" s="31"/>
      <c r="D36" s="37">
        <v>3.0000000000000001E-3</v>
      </c>
      <c r="E36" s="38">
        <f>D36*E30</f>
        <v>0.46559999999999996</v>
      </c>
      <c r="F36" s="36" t="s">
        <v>19</v>
      </c>
      <c r="G36" s="33"/>
      <c r="H36" s="104"/>
    </row>
    <row r="37" spans="1:8" ht="15" customHeight="1">
      <c r="A37" s="43"/>
      <c r="B37" s="35"/>
      <c r="C37" s="31"/>
      <c r="D37" s="37"/>
      <c r="E37" s="45"/>
      <c r="F37" s="44"/>
      <c r="G37" s="33"/>
      <c r="H37" s="104"/>
    </row>
    <row r="38" spans="1:8" ht="15" customHeight="1">
      <c r="A38" s="22"/>
      <c r="B38" s="23" t="s">
        <v>36</v>
      </c>
      <c r="C38" s="24"/>
      <c r="D38" s="26"/>
      <c r="E38" s="27"/>
      <c r="F38" s="25"/>
      <c r="G38" s="33"/>
      <c r="H38" s="104"/>
    </row>
    <row r="39" spans="1:8" ht="25.5" customHeight="1">
      <c r="A39" s="29">
        <f>A30+1</f>
        <v>7</v>
      </c>
      <c r="B39" s="40" t="s">
        <v>37</v>
      </c>
      <c r="C39" s="31" t="s">
        <v>38</v>
      </c>
      <c r="D39" s="33"/>
      <c r="E39" s="34">
        <v>52.76</v>
      </c>
      <c r="F39" s="41" t="s">
        <v>12</v>
      </c>
      <c r="G39" s="33">
        <v>40</v>
      </c>
      <c r="H39" s="104">
        <f>E39*G39</f>
        <v>2110.4</v>
      </c>
    </row>
    <row r="40" spans="1:8" s="39" customFormat="1" ht="15" customHeight="1">
      <c r="A40" s="22"/>
      <c r="B40" s="35" t="s">
        <v>18</v>
      </c>
      <c r="C40" s="49"/>
      <c r="D40" s="51">
        <v>0.15</v>
      </c>
      <c r="E40" s="38">
        <f>D40*E39</f>
        <v>7.9139999999999997</v>
      </c>
      <c r="F40" s="50" t="s">
        <v>19</v>
      </c>
      <c r="G40" s="33"/>
      <c r="H40" s="104"/>
    </row>
    <row r="41" spans="1:8" ht="25.5" customHeight="1">
      <c r="A41" s="29">
        <f>A39+1</f>
        <v>8</v>
      </c>
      <c r="B41" s="40" t="s">
        <v>39</v>
      </c>
      <c r="C41" s="31" t="s">
        <v>38</v>
      </c>
      <c r="D41" s="33"/>
      <c r="E41" s="34">
        <f>E39</f>
        <v>52.76</v>
      </c>
      <c r="F41" s="41" t="s">
        <v>12</v>
      </c>
      <c r="G41" s="33">
        <v>680</v>
      </c>
      <c r="H41" s="104">
        <f>E41*G41</f>
        <v>35876.799999999996</v>
      </c>
    </row>
    <row r="42" spans="1:8" ht="15" customHeight="1">
      <c r="A42" s="22"/>
      <c r="B42" s="35" t="s">
        <v>40</v>
      </c>
      <c r="C42" s="49"/>
      <c r="D42" s="51">
        <v>1.1000000000000001</v>
      </c>
      <c r="E42" s="38">
        <f>D42*E41</f>
        <v>58.036000000000001</v>
      </c>
      <c r="F42" s="50" t="s">
        <v>12</v>
      </c>
      <c r="G42" s="33"/>
      <c r="H42" s="104"/>
    </row>
    <row r="43" spans="1:8" ht="25.5" customHeight="1">
      <c r="A43" s="22"/>
      <c r="B43" s="35" t="s">
        <v>41</v>
      </c>
      <c r="C43" s="49"/>
      <c r="D43" s="51">
        <f>12</f>
        <v>12</v>
      </c>
      <c r="E43" s="38">
        <f>D43*E41</f>
        <v>633.12</v>
      </c>
      <c r="F43" s="50" t="s">
        <v>42</v>
      </c>
      <c r="G43" s="33"/>
      <c r="H43" s="104"/>
    </row>
    <row r="44" spans="1:8" s="39" customFormat="1" ht="25.5" customHeight="1">
      <c r="A44" s="22"/>
      <c r="B44" s="35" t="s">
        <v>43</v>
      </c>
      <c r="C44" s="49"/>
      <c r="D44" s="51">
        <v>7</v>
      </c>
      <c r="E44" s="38">
        <f>D44*E41</f>
        <v>369.32</v>
      </c>
      <c r="F44" s="50" t="s">
        <v>14</v>
      </c>
      <c r="G44" s="33"/>
      <c r="H44" s="104"/>
    </row>
    <row r="45" spans="1:8" s="39" customFormat="1" ht="15" customHeight="1">
      <c r="A45" s="22"/>
      <c r="B45" s="35" t="s">
        <v>44</v>
      </c>
      <c r="C45" s="49"/>
      <c r="D45" s="51">
        <v>0.3</v>
      </c>
      <c r="E45" s="38">
        <f>D45*E41</f>
        <v>15.827999999999999</v>
      </c>
      <c r="F45" s="50" t="s">
        <v>14</v>
      </c>
      <c r="G45" s="33"/>
      <c r="H45" s="104"/>
    </row>
    <row r="46" spans="1:8" ht="15" customHeight="1">
      <c r="A46" s="29">
        <f>A41+1</f>
        <v>9</v>
      </c>
      <c r="B46" s="30" t="s">
        <v>45</v>
      </c>
      <c r="C46" s="31" t="s">
        <v>38</v>
      </c>
      <c r="D46" s="33"/>
      <c r="E46" s="34">
        <v>57.1</v>
      </c>
      <c r="F46" s="32" t="s">
        <v>22</v>
      </c>
      <c r="G46" s="33">
        <v>160</v>
      </c>
      <c r="H46" s="104">
        <f>E46*G46</f>
        <v>9136</v>
      </c>
    </row>
    <row r="47" spans="1:8" s="39" customFormat="1" ht="25.5" customHeight="1">
      <c r="A47" s="22"/>
      <c r="B47" s="35" t="s">
        <v>43</v>
      </c>
      <c r="C47" s="49"/>
      <c r="D47" s="51">
        <f>7*0.1</f>
        <v>0.70000000000000007</v>
      </c>
      <c r="E47" s="38">
        <f>D47*E46</f>
        <v>39.970000000000006</v>
      </c>
      <c r="F47" s="50" t="s">
        <v>14</v>
      </c>
      <c r="G47" s="33"/>
      <c r="H47" s="104"/>
    </row>
    <row r="48" spans="1:8" ht="15" customHeight="1">
      <c r="A48" s="22"/>
      <c r="B48" s="35" t="s">
        <v>40</v>
      </c>
      <c r="C48" s="49"/>
      <c r="D48" s="51">
        <v>0.10299999999999999</v>
      </c>
      <c r="E48" s="38">
        <f>D48*E46</f>
        <v>5.8812999999999995</v>
      </c>
      <c r="F48" s="50" t="s">
        <v>12</v>
      </c>
      <c r="G48" s="33"/>
      <c r="H48" s="104"/>
    </row>
    <row r="49" spans="1:8" s="39" customFormat="1" ht="15" customHeight="1">
      <c r="A49" s="22"/>
      <c r="B49" s="35" t="s">
        <v>44</v>
      </c>
      <c r="C49" s="49"/>
      <c r="D49" s="51">
        <v>0.1</v>
      </c>
      <c r="E49" s="38">
        <f>D49*E46</f>
        <v>5.7100000000000009</v>
      </c>
      <c r="F49" s="50" t="s">
        <v>14</v>
      </c>
      <c r="G49" s="33"/>
      <c r="H49" s="104"/>
    </row>
    <row r="50" spans="1:8" ht="15" customHeight="1">
      <c r="A50" s="29">
        <f>A46+1</f>
        <v>10</v>
      </c>
      <c r="B50" s="30" t="s">
        <v>46</v>
      </c>
      <c r="C50" s="31" t="s">
        <v>38</v>
      </c>
      <c r="D50" s="33"/>
      <c r="E50" s="34">
        <f>51*2</f>
        <v>102</v>
      </c>
      <c r="F50" s="52" t="s">
        <v>22</v>
      </c>
      <c r="G50" s="33">
        <v>280</v>
      </c>
      <c r="H50" s="104">
        <f>E50*G50</f>
        <v>28560</v>
      </c>
    </row>
    <row r="51" spans="1:8" ht="38.25" customHeight="1">
      <c r="A51" s="29">
        <f>A50+1</f>
        <v>11</v>
      </c>
      <c r="B51" s="53" t="s">
        <v>47</v>
      </c>
      <c r="C51" s="31" t="s">
        <v>38</v>
      </c>
      <c r="D51" s="54"/>
      <c r="E51" s="55">
        <f>E39*0.1</f>
        <v>5.2759999999999998</v>
      </c>
      <c r="F51" s="54" t="s">
        <v>12</v>
      </c>
      <c r="G51" s="33">
        <v>200</v>
      </c>
      <c r="H51" s="104">
        <f>E51*G51</f>
        <v>1055.2</v>
      </c>
    </row>
    <row r="52" spans="1:8" s="39" customFormat="1" ht="15" customHeight="1">
      <c r="A52" s="56"/>
      <c r="B52" s="57" t="s">
        <v>48</v>
      </c>
      <c r="C52" s="31"/>
      <c r="D52" s="58">
        <v>32</v>
      </c>
      <c r="E52" s="38">
        <f>D52*E51</f>
        <v>168.83199999999999</v>
      </c>
      <c r="F52" s="44" t="s">
        <v>14</v>
      </c>
      <c r="G52" s="33"/>
      <c r="H52" s="104"/>
    </row>
    <row r="53" spans="1:8" s="39" customFormat="1" ht="15" customHeight="1">
      <c r="A53" s="56"/>
      <c r="B53" s="35" t="s">
        <v>32</v>
      </c>
      <c r="C53" s="31"/>
      <c r="D53" s="58">
        <v>1</v>
      </c>
      <c r="E53" s="38">
        <f>D53*E51</f>
        <v>5.2759999999999998</v>
      </c>
      <c r="F53" s="36" t="s">
        <v>33</v>
      </c>
      <c r="G53" s="33"/>
      <c r="H53" s="104"/>
    </row>
    <row r="54" spans="1:8" ht="15.75" customHeight="1">
      <c r="A54" s="29">
        <f>A51+1</f>
        <v>12</v>
      </c>
      <c r="B54" s="60" t="s">
        <v>49</v>
      </c>
      <c r="C54" s="31" t="s">
        <v>11</v>
      </c>
      <c r="D54" s="62"/>
      <c r="E54" s="63">
        <f>E39</f>
        <v>52.76</v>
      </c>
      <c r="F54" s="61" t="s">
        <v>12</v>
      </c>
      <c r="G54" s="33">
        <v>40</v>
      </c>
      <c r="H54" s="104">
        <f>E54*G54</f>
        <v>2110.4</v>
      </c>
    </row>
    <row r="55" spans="1:8" s="39" customFormat="1" ht="15.75" customHeight="1">
      <c r="A55" s="64"/>
      <c r="B55" s="65" t="s">
        <v>50</v>
      </c>
      <c r="C55" s="6"/>
      <c r="D55" s="67">
        <v>5.0869999999999999E-2</v>
      </c>
      <c r="E55" s="68">
        <f>D55*E54</f>
        <v>2.6839011999999998</v>
      </c>
      <c r="F55" s="66" t="s">
        <v>42</v>
      </c>
      <c r="G55" s="33"/>
      <c r="H55" s="104"/>
    </row>
    <row r="56" spans="1:8" s="39" customFormat="1" ht="15.75" customHeight="1">
      <c r="A56" s="69"/>
      <c r="B56" s="70" t="s">
        <v>51</v>
      </c>
      <c r="C56" s="71"/>
      <c r="D56" s="59">
        <v>1.1000000000000001</v>
      </c>
      <c r="E56" s="48">
        <f>D56*E54</f>
        <v>58.036000000000001</v>
      </c>
      <c r="F56" s="72" t="s">
        <v>12</v>
      </c>
      <c r="G56" s="33"/>
      <c r="H56" s="104"/>
    </row>
    <row r="57" spans="1:8" s="39" customFormat="1" ht="15.75" customHeight="1">
      <c r="A57" s="69"/>
      <c r="B57" s="70" t="s">
        <v>52</v>
      </c>
      <c r="C57" s="71"/>
      <c r="D57" s="59">
        <v>1.1000000000000001</v>
      </c>
      <c r="E57" s="48">
        <f>D57*E54</f>
        <v>58.036000000000001</v>
      </c>
      <c r="F57" s="72" t="s">
        <v>12</v>
      </c>
      <c r="G57" s="33"/>
      <c r="H57" s="104"/>
    </row>
    <row r="58" spans="1:8" ht="15" customHeight="1">
      <c r="A58" s="56"/>
      <c r="B58" s="35"/>
      <c r="C58" s="31"/>
      <c r="D58" s="58"/>
      <c r="E58" s="48"/>
      <c r="F58" s="44"/>
      <c r="G58" s="33"/>
      <c r="H58" s="104"/>
    </row>
    <row r="59" spans="1:8" ht="25.5" customHeight="1">
      <c r="A59" s="73"/>
      <c r="B59" s="74" t="s">
        <v>53</v>
      </c>
      <c r="C59" s="75"/>
      <c r="D59" s="77"/>
      <c r="E59" s="78"/>
      <c r="F59" s="76"/>
      <c r="G59" s="33"/>
      <c r="H59" s="104"/>
    </row>
    <row r="60" spans="1:8" ht="15" customHeight="1">
      <c r="A60" s="22"/>
      <c r="B60" s="23" t="s">
        <v>9</v>
      </c>
      <c r="C60" s="24"/>
      <c r="D60" s="26"/>
      <c r="E60" s="27"/>
      <c r="F60" s="25"/>
      <c r="G60" s="33"/>
      <c r="H60" s="104"/>
    </row>
    <row r="61" spans="1:8" ht="15" customHeight="1">
      <c r="A61" s="29">
        <v>1</v>
      </c>
      <c r="B61" s="30" t="s">
        <v>10</v>
      </c>
      <c r="C61" s="31" t="s">
        <v>11</v>
      </c>
      <c r="D61" s="33"/>
      <c r="E61" s="34">
        <v>48.3</v>
      </c>
      <c r="F61" s="32" t="s">
        <v>12</v>
      </c>
      <c r="G61" s="33">
        <v>225</v>
      </c>
      <c r="H61" s="104">
        <f>E61*G61</f>
        <v>10867.5</v>
      </c>
    </row>
    <row r="62" spans="1:8" s="39" customFormat="1" ht="15" customHeight="1">
      <c r="A62" s="22"/>
      <c r="B62" s="35" t="s">
        <v>13</v>
      </c>
      <c r="C62" s="31"/>
      <c r="D62" s="37">
        <v>0.3</v>
      </c>
      <c r="E62" s="38">
        <f>D62*E61</f>
        <v>14.489999999999998</v>
      </c>
      <c r="F62" s="36" t="s">
        <v>14</v>
      </c>
      <c r="G62" s="33"/>
      <c r="H62" s="104"/>
    </row>
    <row r="63" spans="1:8" s="39" customFormat="1" ht="15" customHeight="1">
      <c r="A63" s="29">
        <f>A61+1</f>
        <v>2</v>
      </c>
      <c r="B63" s="35" t="s">
        <v>15</v>
      </c>
      <c r="C63" s="31"/>
      <c r="D63" s="37">
        <v>10</v>
      </c>
      <c r="E63" s="38">
        <f>D63*E61</f>
        <v>483</v>
      </c>
      <c r="F63" s="36" t="s">
        <v>14</v>
      </c>
      <c r="G63" s="33"/>
      <c r="H63" s="104"/>
    </row>
    <row r="64" spans="1:8" ht="15" customHeight="1">
      <c r="A64" s="22"/>
      <c r="B64" s="30" t="s">
        <v>16</v>
      </c>
      <c r="C64" s="31" t="s">
        <v>17</v>
      </c>
      <c r="D64" s="33"/>
      <c r="E64" s="34">
        <f>E61</f>
        <v>48.3</v>
      </c>
      <c r="F64" s="32" t="s">
        <v>12</v>
      </c>
      <c r="G64" s="33">
        <v>240</v>
      </c>
      <c r="H64" s="104">
        <f>E64*G64</f>
        <v>11592</v>
      </c>
    </row>
    <row r="65" spans="1:8" s="39" customFormat="1" ht="15" customHeight="1">
      <c r="A65" s="22"/>
      <c r="B65" s="35" t="s">
        <v>18</v>
      </c>
      <c r="C65" s="31"/>
      <c r="D65" s="37">
        <v>0.15</v>
      </c>
      <c r="E65" s="38">
        <f>D65*E64</f>
        <v>7.2449999999999992</v>
      </c>
      <c r="F65" s="36" t="s">
        <v>19</v>
      </c>
      <c r="G65" s="33"/>
      <c r="H65" s="104"/>
    </row>
    <row r="66" spans="1:8" s="39" customFormat="1" ht="15" customHeight="1">
      <c r="A66" s="22"/>
      <c r="B66" s="35" t="s">
        <v>20</v>
      </c>
      <c r="C66" s="31"/>
      <c r="D66" s="37">
        <v>1.8</v>
      </c>
      <c r="E66" s="38">
        <f>D66*E64</f>
        <v>86.94</v>
      </c>
      <c r="F66" s="36" t="s">
        <v>14</v>
      </c>
      <c r="G66" s="33"/>
      <c r="H66" s="104"/>
    </row>
    <row r="67" spans="1:8" s="39" customFormat="1" ht="15" customHeight="1">
      <c r="A67" s="22"/>
      <c r="B67" s="35" t="s">
        <v>21</v>
      </c>
      <c r="C67" s="31"/>
      <c r="D67" s="37">
        <v>1.1000000000000001</v>
      </c>
      <c r="E67" s="38">
        <f>D67*E64</f>
        <v>53.13</v>
      </c>
      <c r="F67" s="36" t="s">
        <v>22</v>
      </c>
      <c r="G67" s="33"/>
      <c r="H67" s="104"/>
    </row>
    <row r="68" spans="1:8" ht="38.25" customHeight="1">
      <c r="A68" s="29">
        <f>A63+1</f>
        <v>3</v>
      </c>
      <c r="B68" s="40" t="s">
        <v>23</v>
      </c>
      <c r="C68" s="31" t="s">
        <v>17</v>
      </c>
      <c r="D68" s="33"/>
      <c r="E68" s="34">
        <f>E64</f>
        <v>48.3</v>
      </c>
      <c r="F68" s="41" t="s">
        <v>12</v>
      </c>
      <c r="G68" s="33">
        <v>160</v>
      </c>
      <c r="H68" s="104">
        <f>E68*G68</f>
        <v>7728</v>
      </c>
    </row>
    <row r="69" spans="1:8" s="39" customFormat="1" ht="15" customHeight="1">
      <c r="A69" s="22"/>
      <c r="B69" s="35" t="s">
        <v>24</v>
      </c>
      <c r="C69" s="31"/>
      <c r="D69" s="37">
        <v>0.112</v>
      </c>
      <c r="E69" s="38">
        <f>D69*E68</f>
        <v>5.4096000000000002</v>
      </c>
      <c r="F69" s="36" t="s">
        <v>19</v>
      </c>
      <c r="G69" s="33"/>
      <c r="H69" s="104"/>
    </row>
    <row r="70" spans="1:8" s="39" customFormat="1" ht="15" customHeight="1">
      <c r="A70" s="22"/>
      <c r="B70" s="35" t="s">
        <v>25</v>
      </c>
      <c r="C70" s="31"/>
      <c r="D70" s="37">
        <v>0.36599999999999999</v>
      </c>
      <c r="E70" s="38">
        <f>D70*E68</f>
        <v>17.677799999999998</v>
      </c>
      <c r="F70" s="36" t="s">
        <v>14</v>
      </c>
      <c r="G70" s="33"/>
      <c r="H70" s="104"/>
    </row>
    <row r="71" spans="1:8" ht="15" customHeight="1">
      <c r="A71" s="22"/>
      <c r="B71" s="35" t="s">
        <v>26</v>
      </c>
      <c r="C71" s="31"/>
      <c r="D71" s="37">
        <v>0.252</v>
      </c>
      <c r="E71" s="38">
        <f>D71*E68</f>
        <v>12.1716</v>
      </c>
      <c r="F71" s="36" t="s">
        <v>19</v>
      </c>
      <c r="G71" s="33"/>
      <c r="H71" s="104"/>
    </row>
    <row r="72" spans="1:8" ht="15" customHeight="1">
      <c r="A72" s="29"/>
      <c r="B72" s="35" t="s">
        <v>27</v>
      </c>
      <c r="C72" s="31"/>
      <c r="D72" s="37">
        <v>3.0000000000000001E-3</v>
      </c>
      <c r="E72" s="38">
        <f>D72*E68</f>
        <v>0.1449</v>
      </c>
      <c r="F72" s="36" t="s">
        <v>19</v>
      </c>
      <c r="G72" s="33"/>
      <c r="H72" s="104"/>
    </row>
    <row r="73" spans="1:8" ht="15" customHeight="1">
      <c r="A73" s="42"/>
      <c r="B73" s="35" t="s">
        <v>28</v>
      </c>
      <c r="C73" s="31"/>
      <c r="D73" s="37">
        <v>3.0000000000000001E-3</v>
      </c>
      <c r="E73" s="38">
        <f>D73*E68</f>
        <v>0.1449</v>
      </c>
      <c r="F73" s="36" t="s">
        <v>19</v>
      </c>
      <c r="G73" s="33"/>
      <c r="H73" s="104"/>
    </row>
    <row r="74" spans="1:8" ht="15" customHeight="1">
      <c r="A74" s="42"/>
      <c r="B74" s="35" t="s">
        <v>29</v>
      </c>
      <c r="C74" s="31"/>
      <c r="D74" s="37">
        <v>3.0000000000000001E-3</v>
      </c>
      <c r="E74" s="38">
        <f>D74*E68</f>
        <v>0.1449</v>
      </c>
      <c r="F74" s="36" t="s">
        <v>19</v>
      </c>
      <c r="G74" s="33"/>
      <c r="H74" s="104"/>
    </row>
    <row r="75" spans="1:8" ht="15" customHeight="1">
      <c r="A75" s="43"/>
      <c r="B75" s="35"/>
      <c r="C75" s="31"/>
      <c r="D75" s="37"/>
      <c r="E75" s="45"/>
      <c r="F75" s="44"/>
      <c r="G75" s="33"/>
      <c r="H75" s="104"/>
    </row>
    <row r="76" spans="1:8" ht="15" customHeight="1">
      <c r="A76" s="22"/>
      <c r="B76" s="23" t="s">
        <v>30</v>
      </c>
      <c r="C76" s="24"/>
      <c r="D76" s="26"/>
      <c r="E76" s="27"/>
      <c r="F76" s="25"/>
      <c r="G76" s="33"/>
      <c r="H76" s="104"/>
    </row>
    <row r="77" spans="1:8" ht="15" customHeight="1">
      <c r="A77" s="29">
        <f>A68+1</f>
        <v>4</v>
      </c>
      <c r="B77" s="40" t="s">
        <v>31</v>
      </c>
      <c r="C77" s="31" t="s">
        <v>11</v>
      </c>
      <c r="D77" s="33"/>
      <c r="E77" s="34">
        <v>175.7</v>
      </c>
      <c r="F77" s="41" t="s">
        <v>12</v>
      </c>
      <c r="G77" s="33">
        <v>200</v>
      </c>
      <c r="H77" s="104">
        <f>E77*G77</f>
        <v>35140</v>
      </c>
    </row>
    <row r="78" spans="1:8" s="39" customFormat="1" ht="15" customHeight="1">
      <c r="A78" s="46"/>
      <c r="B78" s="35" t="s">
        <v>13</v>
      </c>
      <c r="C78" s="31"/>
      <c r="D78" s="37">
        <v>0.3</v>
      </c>
      <c r="E78" s="38">
        <f>D78*E77</f>
        <v>52.709999999999994</v>
      </c>
      <c r="F78" s="36" t="s">
        <v>14</v>
      </c>
      <c r="G78" s="33"/>
      <c r="H78" s="104"/>
    </row>
    <row r="79" spans="1:8" s="39" customFormat="1" ht="15" customHeight="1">
      <c r="A79" s="46"/>
      <c r="B79" s="35" t="s">
        <v>32</v>
      </c>
      <c r="C79" s="31"/>
      <c r="D79" s="37">
        <v>1</v>
      </c>
      <c r="E79" s="38">
        <f>D79*E77</f>
        <v>175.7</v>
      </c>
      <c r="F79" s="36" t="s">
        <v>33</v>
      </c>
      <c r="G79" s="33"/>
      <c r="H79" s="104"/>
    </row>
    <row r="80" spans="1:8" s="39" customFormat="1" ht="15" customHeight="1">
      <c r="A80" s="46"/>
      <c r="B80" s="35" t="s">
        <v>15</v>
      </c>
      <c r="C80" s="31"/>
      <c r="D80" s="37">
        <v>18</v>
      </c>
      <c r="E80" s="38">
        <f>D80*E77</f>
        <v>3162.6</v>
      </c>
      <c r="F80" s="36" t="s">
        <v>14</v>
      </c>
      <c r="G80" s="33"/>
      <c r="H80" s="104"/>
    </row>
    <row r="81" spans="1:8" ht="15" customHeight="1">
      <c r="A81" s="29">
        <f>A77+1</f>
        <v>5</v>
      </c>
      <c r="B81" s="40" t="s">
        <v>34</v>
      </c>
      <c r="C81" s="31" t="s">
        <v>17</v>
      </c>
      <c r="D81" s="33"/>
      <c r="E81" s="34">
        <f>E77</f>
        <v>175.7</v>
      </c>
      <c r="F81" s="41" t="s">
        <v>12</v>
      </c>
      <c r="G81" s="33">
        <v>200</v>
      </c>
      <c r="H81" s="104">
        <f>E81*G81</f>
        <v>35140</v>
      </c>
    </row>
    <row r="82" spans="1:8" s="39" customFormat="1" ht="15" customHeight="1">
      <c r="A82" s="46"/>
      <c r="B82" s="35" t="s">
        <v>18</v>
      </c>
      <c r="C82" s="31"/>
      <c r="D82" s="37">
        <v>0.15</v>
      </c>
      <c r="E82" s="38">
        <f>D82*E81</f>
        <v>26.354999999999997</v>
      </c>
      <c r="F82" s="36" t="s">
        <v>19</v>
      </c>
      <c r="G82" s="33"/>
      <c r="H82" s="104"/>
    </row>
    <row r="83" spans="1:8" s="39" customFormat="1" ht="15" customHeight="1">
      <c r="A83" s="46"/>
      <c r="B83" s="35" t="s">
        <v>20</v>
      </c>
      <c r="C83" s="31"/>
      <c r="D83" s="37">
        <v>2</v>
      </c>
      <c r="E83" s="38">
        <f>D83*E81</f>
        <v>351.4</v>
      </c>
      <c r="F83" s="36" t="s">
        <v>14</v>
      </c>
      <c r="G83" s="33"/>
      <c r="H83" s="104"/>
    </row>
    <row r="84" spans="1:8" s="39" customFormat="1" ht="15" customHeight="1">
      <c r="A84" s="47"/>
      <c r="B84" s="35" t="s">
        <v>21</v>
      </c>
      <c r="C84" s="31"/>
      <c r="D84" s="37">
        <v>1.1000000000000001</v>
      </c>
      <c r="E84" s="48">
        <f>D84*E81</f>
        <v>193.27</v>
      </c>
      <c r="F84" s="36" t="s">
        <v>22</v>
      </c>
      <c r="G84" s="33"/>
      <c r="H84" s="104"/>
    </row>
    <row r="85" spans="1:8" ht="38.25" customHeight="1">
      <c r="A85" s="29">
        <f>A81+1</f>
        <v>6</v>
      </c>
      <c r="B85" s="40" t="s">
        <v>35</v>
      </c>
      <c r="C85" s="31" t="s">
        <v>17</v>
      </c>
      <c r="D85" s="33"/>
      <c r="E85" s="34">
        <f>E81</f>
        <v>175.7</v>
      </c>
      <c r="F85" s="41" t="s">
        <v>12</v>
      </c>
      <c r="G85" s="33">
        <v>160</v>
      </c>
      <c r="H85" s="104">
        <f>E85*G85</f>
        <v>28112</v>
      </c>
    </row>
    <row r="86" spans="1:8" s="39" customFormat="1" ht="15" customHeight="1">
      <c r="A86" s="22"/>
      <c r="B86" s="35" t="s">
        <v>24</v>
      </c>
      <c r="C86" s="31"/>
      <c r="D86" s="37">
        <v>0.112</v>
      </c>
      <c r="E86" s="38">
        <f>D86*E85</f>
        <v>19.6784</v>
      </c>
      <c r="F86" s="36" t="s">
        <v>19</v>
      </c>
      <c r="G86" s="33"/>
      <c r="H86" s="104"/>
    </row>
    <row r="87" spans="1:8" s="39" customFormat="1" ht="15" customHeight="1">
      <c r="A87" s="22"/>
      <c r="B87" s="35" t="s">
        <v>25</v>
      </c>
      <c r="C87" s="31"/>
      <c r="D87" s="37">
        <v>0.36599999999999999</v>
      </c>
      <c r="E87" s="38">
        <f>D87*E85</f>
        <v>64.30619999999999</v>
      </c>
      <c r="F87" s="36" t="s">
        <v>14</v>
      </c>
      <c r="G87" s="33"/>
      <c r="H87" s="104"/>
    </row>
    <row r="88" spans="1:8" ht="15" customHeight="1">
      <c r="A88" s="22"/>
      <c r="B88" s="35" t="s">
        <v>26</v>
      </c>
      <c r="C88" s="31"/>
      <c r="D88" s="37">
        <v>0.252</v>
      </c>
      <c r="E88" s="38">
        <f>D88*E85</f>
        <v>44.276399999999995</v>
      </c>
      <c r="F88" s="36" t="s">
        <v>19</v>
      </c>
      <c r="G88" s="33"/>
      <c r="H88" s="104"/>
    </row>
    <row r="89" spans="1:8" ht="15" customHeight="1">
      <c r="A89" s="29"/>
      <c r="B89" s="35" t="s">
        <v>27</v>
      </c>
      <c r="C89" s="31"/>
      <c r="D89" s="37">
        <v>3.0000000000000001E-3</v>
      </c>
      <c r="E89" s="38">
        <f>D89*E85</f>
        <v>0.52710000000000001</v>
      </c>
      <c r="F89" s="36" t="s">
        <v>19</v>
      </c>
      <c r="G89" s="33"/>
      <c r="H89" s="104"/>
    </row>
    <row r="90" spans="1:8" ht="15" customHeight="1">
      <c r="A90" s="42"/>
      <c r="B90" s="35" t="s">
        <v>28</v>
      </c>
      <c r="C90" s="31"/>
      <c r="D90" s="37">
        <v>3.0000000000000001E-3</v>
      </c>
      <c r="E90" s="38">
        <f>D90*E85</f>
        <v>0.52710000000000001</v>
      </c>
      <c r="F90" s="36" t="s">
        <v>19</v>
      </c>
      <c r="G90" s="33"/>
      <c r="H90" s="104"/>
    </row>
    <row r="91" spans="1:8" ht="15" customHeight="1">
      <c r="A91" s="42"/>
      <c r="B91" s="35" t="s">
        <v>29</v>
      </c>
      <c r="C91" s="31"/>
      <c r="D91" s="37">
        <v>3.0000000000000001E-3</v>
      </c>
      <c r="E91" s="38">
        <f>D91*E85</f>
        <v>0.52710000000000001</v>
      </c>
      <c r="F91" s="36" t="s">
        <v>19</v>
      </c>
      <c r="G91" s="33"/>
      <c r="H91" s="104"/>
    </row>
    <row r="92" spans="1:8" ht="15" customHeight="1">
      <c r="A92" s="43"/>
      <c r="B92" s="35"/>
      <c r="C92" s="31"/>
      <c r="D92" s="37"/>
      <c r="E92" s="45"/>
      <c r="F92" s="44"/>
      <c r="G92" s="33"/>
      <c r="H92" s="104"/>
    </row>
    <row r="93" spans="1:8" ht="15" customHeight="1">
      <c r="A93" s="22"/>
      <c r="B93" s="23" t="s">
        <v>36</v>
      </c>
      <c r="C93" s="24"/>
      <c r="D93" s="26"/>
      <c r="E93" s="27"/>
      <c r="F93" s="25"/>
      <c r="G93" s="33"/>
      <c r="H93" s="104"/>
    </row>
    <row r="94" spans="1:8" ht="25.5" customHeight="1">
      <c r="A94" s="29">
        <f>A85+1</f>
        <v>7</v>
      </c>
      <c r="B94" s="40" t="s">
        <v>37</v>
      </c>
      <c r="C94" s="31" t="s">
        <v>38</v>
      </c>
      <c r="D94" s="33"/>
      <c r="E94" s="34">
        <f>14.1+31.4</f>
        <v>45.5</v>
      </c>
      <c r="F94" s="41" t="s">
        <v>12</v>
      </c>
      <c r="G94" s="33">
        <v>40</v>
      </c>
      <c r="H94" s="104">
        <f>E94*G94</f>
        <v>1820</v>
      </c>
    </row>
    <row r="95" spans="1:8" s="39" customFormat="1" ht="15" customHeight="1">
      <c r="A95" s="22"/>
      <c r="B95" s="35" t="s">
        <v>18</v>
      </c>
      <c r="C95" s="49"/>
      <c r="D95" s="51">
        <v>0.15</v>
      </c>
      <c r="E95" s="38">
        <f>D95*E94</f>
        <v>6.8250000000000002</v>
      </c>
      <c r="F95" s="79" t="s">
        <v>19</v>
      </c>
      <c r="G95" s="33"/>
      <c r="H95" s="104"/>
    </row>
    <row r="96" spans="1:8" ht="25.5" customHeight="1">
      <c r="A96" s="29">
        <f>A94+1</f>
        <v>8</v>
      </c>
      <c r="B96" s="40" t="s">
        <v>39</v>
      </c>
      <c r="C96" s="31" t="s">
        <v>38</v>
      </c>
      <c r="D96" s="33"/>
      <c r="E96" s="34">
        <f>E94</f>
        <v>45.5</v>
      </c>
      <c r="F96" s="41" t="s">
        <v>12</v>
      </c>
      <c r="G96" s="33">
        <v>680</v>
      </c>
      <c r="H96" s="104">
        <f>E96*G96</f>
        <v>30940</v>
      </c>
    </row>
    <row r="97" spans="1:8" ht="15" customHeight="1">
      <c r="A97" s="22"/>
      <c r="B97" s="35" t="s">
        <v>40</v>
      </c>
      <c r="C97" s="49"/>
      <c r="D97" s="51">
        <v>1.1000000000000001</v>
      </c>
      <c r="E97" s="38">
        <f>D97*E96</f>
        <v>50.050000000000004</v>
      </c>
      <c r="F97" s="79" t="s">
        <v>12</v>
      </c>
      <c r="G97" s="33"/>
      <c r="H97" s="104"/>
    </row>
    <row r="98" spans="1:8" ht="25.5" customHeight="1">
      <c r="A98" s="22"/>
      <c r="B98" s="35" t="s">
        <v>41</v>
      </c>
      <c r="C98" s="49"/>
      <c r="D98" s="51">
        <f>12</f>
        <v>12</v>
      </c>
      <c r="E98" s="38">
        <f>D98*E96</f>
        <v>546</v>
      </c>
      <c r="F98" s="79" t="s">
        <v>42</v>
      </c>
      <c r="G98" s="33"/>
      <c r="H98" s="104"/>
    </row>
    <row r="99" spans="1:8" s="39" customFormat="1" ht="25.5" customHeight="1">
      <c r="A99" s="22"/>
      <c r="B99" s="35" t="s">
        <v>43</v>
      </c>
      <c r="C99" s="49"/>
      <c r="D99" s="51">
        <v>7</v>
      </c>
      <c r="E99" s="38">
        <f>D99*E96</f>
        <v>318.5</v>
      </c>
      <c r="F99" s="79" t="s">
        <v>14</v>
      </c>
      <c r="G99" s="33"/>
      <c r="H99" s="104"/>
    </row>
    <row r="100" spans="1:8" s="39" customFormat="1" ht="15" customHeight="1">
      <c r="A100" s="22"/>
      <c r="B100" s="35" t="s">
        <v>44</v>
      </c>
      <c r="C100" s="49"/>
      <c r="D100" s="51">
        <v>0.3</v>
      </c>
      <c r="E100" s="38">
        <f>D100*E96</f>
        <v>13.65</v>
      </c>
      <c r="F100" s="79" t="s">
        <v>14</v>
      </c>
      <c r="G100" s="33"/>
      <c r="H100" s="104"/>
    </row>
    <row r="101" spans="1:8" ht="15" customHeight="1">
      <c r="A101" s="29">
        <f>A96+1</f>
        <v>9</v>
      </c>
      <c r="B101" s="30" t="s">
        <v>45</v>
      </c>
      <c r="C101" s="31" t="s">
        <v>38</v>
      </c>
      <c r="D101" s="33"/>
      <c r="E101" s="34">
        <v>55</v>
      </c>
      <c r="F101" s="32" t="s">
        <v>22</v>
      </c>
      <c r="G101" s="33">
        <v>160</v>
      </c>
      <c r="H101" s="104">
        <f>E101*G101</f>
        <v>8800</v>
      </c>
    </row>
    <row r="102" spans="1:8" s="39" customFormat="1" ht="25.5" customHeight="1">
      <c r="A102" s="22"/>
      <c r="B102" s="35" t="s">
        <v>43</v>
      </c>
      <c r="C102" s="49"/>
      <c r="D102" s="51">
        <f>7*0.1</f>
        <v>0.70000000000000007</v>
      </c>
      <c r="E102" s="38">
        <f>D102*E101</f>
        <v>38.500000000000007</v>
      </c>
      <c r="F102" s="79" t="s">
        <v>14</v>
      </c>
      <c r="G102" s="33"/>
      <c r="H102" s="104"/>
    </row>
    <row r="103" spans="1:8" ht="15" customHeight="1">
      <c r="A103" s="22"/>
      <c r="B103" s="35" t="s">
        <v>40</v>
      </c>
      <c r="C103" s="49"/>
      <c r="D103" s="51">
        <v>0.10299999999999999</v>
      </c>
      <c r="E103" s="38">
        <f>D103*E101</f>
        <v>5.665</v>
      </c>
      <c r="F103" s="79" t="s">
        <v>12</v>
      </c>
      <c r="G103" s="33"/>
      <c r="H103" s="104"/>
    </row>
    <row r="104" spans="1:8" s="39" customFormat="1" ht="15" customHeight="1">
      <c r="A104" s="22"/>
      <c r="B104" s="35" t="s">
        <v>44</v>
      </c>
      <c r="C104" s="49"/>
      <c r="D104" s="51">
        <v>0.1</v>
      </c>
      <c r="E104" s="38">
        <f>D104*E101</f>
        <v>5.5</v>
      </c>
      <c r="F104" s="79" t="s">
        <v>14</v>
      </c>
      <c r="G104" s="33"/>
      <c r="H104" s="104"/>
    </row>
    <row r="105" spans="1:8" ht="15" customHeight="1">
      <c r="A105" s="29">
        <f>A101+1</f>
        <v>10</v>
      </c>
      <c r="B105" s="30" t="s">
        <v>46</v>
      </c>
      <c r="C105" s="31" t="s">
        <v>38</v>
      </c>
      <c r="D105" s="33"/>
      <c r="E105" s="34">
        <f>52*2</f>
        <v>104</v>
      </c>
      <c r="F105" s="52" t="s">
        <v>22</v>
      </c>
      <c r="G105" s="33">
        <v>280</v>
      </c>
      <c r="H105" s="104">
        <f>E105*G105</f>
        <v>29120</v>
      </c>
    </row>
    <row r="106" spans="1:8" ht="38.25" customHeight="1">
      <c r="A106" s="29">
        <f>A105+1</f>
        <v>11</v>
      </c>
      <c r="B106" s="53" t="s">
        <v>47</v>
      </c>
      <c r="C106" s="31" t="s">
        <v>38</v>
      </c>
      <c r="D106" s="54"/>
      <c r="E106" s="55">
        <f>E94*0.1</f>
        <v>4.55</v>
      </c>
      <c r="F106" s="54" t="s">
        <v>12</v>
      </c>
      <c r="G106" s="33">
        <v>200</v>
      </c>
      <c r="H106" s="104">
        <f>E106*G106</f>
        <v>910</v>
      </c>
    </row>
    <row r="107" spans="1:8" s="39" customFormat="1" ht="15" customHeight="1">
      <c r="A107" s="56"/>
      <c r="B107" s="57" t="s">
        <v>48</v>
      </c>
      <c r="C107" s="31"/>
      <c r="D107" s="58">
        <v>32</v>
      </c>
      <c r="E107" s="38">
        <f>D107*E106</f>
        <v>145.6</v>
      </c>
      <c r="F107" s="44" t="s">
        <v>14</v>
      </c>
      <c r="G107" s="33"/>
      <c r="H107" s="104"/>
    </row>
    <row r="108" spans="1:8" s="39" customFormat="1" ht="15" customHeight="1">
      <c r="A108" s="56"/>
      <c r="B108" s="35" t="s">
        <v>32</v>
      </c>
      <c r="C108" s="31"/>
      <c r="D108" s="58">
        <v>1</v>
      </c>
      <c r="E108" s="38">
        <f>D108*E106</f>
        <v>4.55</v>
      </c>
      <c r="F108" s="44" t="s">
        <v>33</v>
      </c>
      <c r="G108" s="33"/>
      <c r="H108" s="104"/>
    </row>
    <row r="109" spans="1:8" ht="15.75" customHeight="1">
      <c r="A109" s="29">
        <f>A106+1</f>
        <v>12</v>
      </c>
      <c r="B109" s="60" t="s">
        <v>49</v>
      </c>
      <c r="C109" s="31" t="s">
        <v>11</v>
      </c>
      <c r="D109" s="62"/>
      <c r="E109" s="63">
        <f>E94</f>
        <v>45.5</v>
      </c>
      <c r="F109" s="61" t="s">
        <v>12</v>
      </c>
      <c r="G109" s="33">
        <v>40</v>
      </c>
      <c r="H109" s="104">
        <f>E109*G109</f>
        <v>1820</v>
      </c>
    </row>
    <row r="110" spans="1:8" s="39" customFormat="1" ht="15.75" customHeight="1">
      <c r="A110" s="42"/>
      <c r="B110" s="70" t="s">
        <v>50</v>
      </c>
      <c r="C110" s="9"/>
      <c r="D110" s="59">
        <v>5.0869999999999999E-2</v>
      </c>
      <c r="E110" s="38">
        <f>D110*E109</f>
        <v>2.3145850000000001</v>
      </c>
      <c r="F110" s="72" t="s">
        <v>42</v>
      </c>
      <c r="G110" s="33"/>
      <c r="H110" s="104"/>
    </row>
    <row r="111" spans="1:8" s="39" customFormat="1" ht="15.75" customHeight="1">
      <c r="A111" s="42"/>
      <c r="B111" s="70" t="s">
        <v>51</v>
      </c>
      <c r="C111" s="9"/>
      <c r="D111" s="59">
        <v>1.1000000000000001</v>
      </c>
      <c r="E111" s="38">
        <f>D111*E109</f>
        <v>50.050000000000004</v>
      </c>
      <c r="F111" s="72" t="s">
        <v>12</v>
      </c>
      <c r="G111" s="33"/>
      <c r="H111" s="104"/>
    </row>
    <row r="112" spans="1:8" s="39" customFormat="1" ht="15.75" customHeight="1">
      <c r="A112" s="42"/>
      <c r="B112" s="70" t="s">
        <v>52</v>
      </c>
      <c r="C112" s="9"/>
      <c r="D112" s="59">
        <v>1.1000000000000001</v>
      </c>
      <c r="E112" s="38">
        <f>D112*E109</f>
        <v>50.050000000000004</v>
      </c>
      <c r="F112" s="72" t="s">
        <v>12</v>
      </c>
      <c r="G112" s="33"/>
      <c r="H112" s="104"/>
    </row>
    <row r="113" spans="1:8" ht="15" customHeight="1">
      <c r="A113" s="42"/>
      <c r="B113" s="80"/>
      <c r="C113" s="9"/>
      <c r="D113" s="14"/>
      <c r="E113" s="38"/>
      <c r="F113" s="80"/>
      <c r="G113" s="33"/>
      <c r="H113" s="104"/>
    </row>
    <row r="114" spans="1:8" ht="25.5" customHeight="1">
      <c r="A114" s="10"/>
      <c r="B114" s="16" t="s">
        <v>54</v>
      </c>
      <c r="C114" s="17"/>
      <c r="D114" s="19"/>
      <c r="E114" s="20"/>
      <c r="F114" s="18"/>
      <c r="G114" s="33"/>
      <c r="H114" s="104"/>
    </row>
    <row r="115" spans="1:8" ht="15" customHeight="1">
      <c r="A115" s="22"/>
      <c r="B115" s="23" t="s">
        <v>9</v>
      </c>
      <c r="C115" s="24"/>
      <c r="D115" s="26"/>
      <c r="E115" s="27"/>
      <c r="F115" s="25"/>
      <c r="G115" s="33"/>
      <c r="H115" s="104"/>
    </row>
    <row r="116" spans="1:8" ht="15" customHeight="1">
      <c r="A116" s="29">
        <v>1</v>
      </c>
      <c r="B116" s="30" t="s">
        <v>10</v>
      </c>
      <c r="C116" s="31" t="s">
        <v>11</v>
      </c>
      <c r="D116" s="33"/>
      <c r="E116" s="34">
        <v>52.36</v>
      </c>
      <c r="F116" s="32" t="s">
        <v>12</v>
      </c>
      <c r="G116" s="33">
        <v>225</v>
      </c>
      <c r="H116" s="104">
        <f>E116*G116</f>
        <v>11781</v>
      </c>
    </row>
    <row r="117" spans="1:8" s="39" customFormat="1" ht="15" customHeight="1">
      <c r="A117" s="22"/>
      <c r="B117" s="35" t="s">
        <v>13</v>
      </c>
      <c r="C117" s="31"/>
      <c r="D117" s="37">
        <v>0.3</v>
      </c>
      <c r="E117" s="38">
        <f>D117*E116</f>
        <v>15.707999999999998</v>
      </c>
      <c r="F117" s="44" t="s">
        <v>14</v>
      </c>
      <c r="G117" s="33"/>
      <c r="H117" s="104"/>
    </row>
    <row r="118" spans="1:8" s="39" customFormat="1" ht="15" customHeight="1">
      <c r="A118" s="29">
        <f>A116+1</f>
        <v>2</v>
      </c>
      <c r="B118" s="35" t="s">
        <v>15</v>
      </c>
      <c r="C118" s="31"/>
      <c r="D118" s="37">
        <v>10</v>
      </c>
      <c r="E118" s="38">
        <f>D118*E116</f>
        <v>523.6</v>
      </c>
      <c r="F118" s="44" t="s">
        <v>14</v>
      </c>
      <c r="G118" s="33"/>
      <c r="H118" s="104"/>
    </row>
    <row r="119" spans="1:8" ht="15" customHeight="1">
      <c r="A119" s="22"/>
      <c r="B119" s="30" t="s">
        <v>16</v>
      </c>
      <c r="C119" s="31" t="s">
        <v>17</v>
      </c>
      <c r="D119" s="33"/>
      <c r="E119" s="34">
        <f>E116</f>
        <v>52.36</v>
      </c>
      <c r="F119" s="32" t="s">
        <v>12</v>
      </c>
      <c r="G119" s="33">
        <v>240</v>
      </c>
      <c r="H119" s="104">
        <f>E119*G119</f>
        <v>12566.4</v>
      </c>
    </row>
    <row r="120" spans="1:8" s="39" customFormat="1" ht="15" customHeight="1">
      <c r="A120" s="22"/>
      <c r="B120" s="35" t="s">
        <v>18</v>
      </c>
      <c r="C120" s="31"/>
      <c r="D120" s="37">
        <v>0.15</v>
      </c>
      <c r="E120" s="38">
        <f>D120*E119</f>
        <v>7.8539999999999992</v>
      </c>
      <c r="F120" s="44" t="s">
        <v>19</v>
      </c>
      <c r="G120" s="33"/>
      <c r="H120" s="104"/>
    </row>
    <row r="121" spans="1:8" s="39" customFormat="1" ht="15" customHeight="1">
      <c r="A121" s="22"/>
      <c r="B121" s="35" t="s">
        <v>20</v>
      </c>
      <c r="C121" s="31"/>
      <c r="D121" s="37">
        <v>1.8</v>
      </c>
      <c r="E121" s="38">
        <f>D121*E119</f>
        <v>94.248000000000005</v>
      </c>
      <c r="F121" s="44" t="s">
        <v>14</v>
      </c>
      <c r="G121" s="33"/>
      <c r="H121" s="104"/>
    </row>
    <row r="122" spans="1:8" s="39" customFormat="1" ht="15" customHeight="1">
      <c r="A122" s="22"/>
      <c r="B122" s="35" t="s">
        <v>21</v>
      </c>
      <c r="C122" s="31"/>
      <c r="D122" s="37">
        <v>1.1000000000000001</v>
      </c>
      <c r="E122" s="38">
        <f>D122*E119</f>
        <v>57.596000000000004</v>
      </c>
      <c r="F122" s="44" t="s">
        <v>22</v>
      </c>
      <c r="G122" s="33"/>
      <c r="H122" s="104"/>
    </row>
    <row r="123" spans="1:8" ht="38.25" customHeight="1">
      <c r="A123" s="29">
        <f>A118+1</f>
        <v>3</v>
      </c>
      <c r="B123" s="40" t="s">
        <v>23</v>
      </c>
      <c r="C123" s="31" t="s">
        <v>17</v>
      </c>
      <c r="D123" s="33"/>
      <c r="E123" s="34">
        <f>E119</f>
        <v>52.36</v>
      </c>
      <c r="F123" s="41" t="s">
        <v>12</v>
      </c>
      <c r="G123" s="33">
        <v>160</v>
      </c>
      <c r="H123" s="104">
        <f>E123*G123</f>
        <v>8377.6</v>
      </c>
    </row>
    <row r="124" spans="1:8" s="39" customFormat="1" ht="15" customHeight="1">
      <c r="A124" s="22"/>
      <c r="B124" s="35" t="s">
        <v>24</v>
      </c>
      <c r="C124" s="31"/>
      <c r="D124" s="37">
        <v>0.112</v>
      </c>
      <c r="E124" s="38">
        <f>D124*E123</f>
        <v>5.8643200000000002</v>
      </c>
      <c r="F124" s="44" t="s">
        <v>19</v>
      </c>
      <c r="G124" s="33"/>
      <c r="H124" s="104"/>
    </row>
    <row r="125" spans="1:8" s="81" customFormat="1" ht="15" customHeight="1">
      <c r="A125" s="22"/>
      <c r="B125" s="35" t="s">
        <v>25</v>
      </c>
      <c r="C125" s="31"/>
      <c r="D125" s="37">
        <v>0.36599999999999999</v>
      </c>
      <c r="E125" s="38">
        <f>D125*E123</f>
        <v>19.16376</v>
      </c>
      <c r="F125" s="44" t="s">
        <v>14</v>
      </c>
      <c r="G125" s="33"/>
      <c r="H125" s="104"/>
    </row>
    <row r="126" spans="1:8" s="82" customFormat="1" ht="15" customHeight="1">
      <c r="A126" s="22"/>
      <c r="B126" s="35" t="s">
        <v>26</v>
      </c>
      <c r="C126" s="31"/>
      <c r="D126" s="37">
        <v>0.252</v>
      </c>
      <c r="E126" s="38">
        <f>D126*E123</f>
        <v>13.19472</v>
      </c>
      <c r="F126" s="44" t="s">
        <v>19</v>
      </c>
      <c r="G126" s="33"/>
      <c r="H126" s="104"/>
    </row>
    <row r="127" spans="1:8" s="82" customFormat="1" ht="15" customHeight="1">
      <c r="A127" s="29"/>
      <c r="B127" s="35" t="s">
        <v>27</v>
      </c>
      <c r="C127" s="31"/>
      <c r="D127" s="37">
        <v>3.0000000000000001E-3</v>
      </c>
      <c r="E127" s="38">
        <f>D127*E123</f>
        <v>0.15708</v>
      </c>
      <c r="F127" s="44" t="s">
        <v>19</v>
      </c>
      <c r="G127" s="33"/>
      <c r="H127" s="104"/>
    </row>
    <row r="128" spans="1:8" s="82" customFormat="1" ht="15" customHeight="1">
      <c r="A128" s="42"/>
      <c r="B128" s="35" t="s">
        <v>28</v>
      </c>
      <c r="C128" s="31"/>
      <c r="D128" s="37">
        <v>3.0000000000000001E-3</v>
      </c>
      <c r="E128" s="38">
        <f>D128*E123</f>
        <v>0.15708</v>
      </c>
      <c r="F128" s="44" t="s">
        <v>19</v>
      </c>
      <c r="G128" s="33"/>
      <c r="H128" s="104"/>
    </row>
    <row r="129" spans="1:8" s="82" customFormat="1" ht="15" customHeight="1">
      <c r="A129" s="42"/>
      <c r="B129" s="35" t="s">
        <v>29</v>
      </c>
      <c r="C129" s="31"/>
      <c r="D129" s="37">
        <v>3.0000000000000001E-3</v>
      </c>
      <c r="E129" s="38">
        <f>D129*E123</f>
        <v>0.15708</v>
      </c>
      <c r="F129" s="44" t="s">
        <v>19</v>
      </c>
      <c r="G129" s="33"/>
      <c r="H129" s="104"/>
    </row>
    <row r="130" spans="1:8" s="82" customFormat="1" ht="15" customHeight="1">
      <c r="A130" s="43"/>
      <c r="B130" s="35"/>
      <c r="C130" s="31"/>
      <c r="D130" s="37"/>
      <c r="E130" s="45"/>
      <c r="F130" s="44"/>
      <c r="G130" s="33"/>
      <c r="H130" s="104"/>
    </row>
    <row r="131" spans="1:8" s="82" customFormat="1" ht="15" customHeight="1">
      <c r="A131" s="22"/>
      <c r="B131" s="23" t="s">
        <v>30</v>
      </c>
      <c r="C131" s="24"/>
      <c r="D131" s="26"/>
      <c r="E131" s="27"/>
      <c r="F131" s="25"/>
      <c r="G131" s="33"/>
      <c r="H131" s="104"/>
    </row>
    <row r="132" spans="1:8" s="82" customFormat="1" ht="15" customHeight="1">
      <c r="A132" s="29">
        <f>A123+1</f>
        <v>4</v>
      </c>
      <c r="B132" s="40" t="s">
        <v>31</v>
      </c>
      <c r="C132" s="31" t="s">
        <v>11</v>
      </c>
      <c r="D132" s="33"/>
      <c r="E132" s="34">
        <v>148.80000000000001</v>
      </c>
      <c r="F132" s="41" t="s">
        <v>12</v>
      </c>
      <c r="G132" s="33">
        <v>200</v>
      </c>
      <c r="H132" s="104">
        <f>E132*G132</f>
        <v>29760.000000000004</v>
      </c>
    </row>
    <row r="133" spans="1:8" s="81" customFormat="1" ht="15" customHeight="1">
      <c r="A133" s="46"/>
      <c r="B133" s="35" t="s">
        <v>13</v>
      </c>
      <c r="C133" s="31"/>
      <c r="D133" s="37">
        <v>0.3</v>
      </c>
      <c r="E133" s="38">
        <f>D133*E132</f>
        <v>44.64</v>
      </c>
      <c r="F133" s="44" t="s">
        <v>14</v>
      </c>
      <c r="G133" s="33"/>
      <c r="H133" s="104"/>
    </row>
    <row r="134" spans="1:8" s="81" customFormat="1" ht="15" customHeight="1">
      <c r="A134" s="46"/>
      <c r="B134" s="35" t="s">
        <v>32</v>
      </c>
      <c r="C134" s="31"/>
      <c r="D134" s="37">
        <v>1</v>
      </c>
      <c r="E134" s="38">
        <f>D134*E132</f>
        <v>148.80000000000001</v>
      </c>
      <c r="F134" s="44" t="s">
        <v>33</v>
      </c>
      <c r="G134" s="33"/>
      <c r="H134" s="104"/>
    </row>
    <row r="135" spans="1:8" s="81" customFormat="1" ht="15" customHeight="1">
      <c r="A135" s="46"/>
      <c r="B135" s="35" t="s">
        <v>15</v>
      </c>
      <c r="C135" s="31"/>
      <c r="D135" s="37">
        <v>18</v>
      </c>
      <c r="E135" s="38">
        <f>D135*E132</f>
        <v>2678.4</v>
      </c>
      <c r="F135" s="44" t="s">
        <v>14</v>
      </c>
      <c r="G135" s="33"/>
      <c r="H135" s="104"/>
    </row>
    <row r="136" spans="1:8" s="82" customFormat="1" ht="15" customHeight="1">
      <c r="A136" s="29">
        <f>A132+1</f>
        <v>5</v>
      </c>
      <c r="B136" s="40" t="s">
        <v>34</v>
      </c>
      <c r="C136" s="31" t="s">
        <v>17</v>
      </c>
      <c r="D136" s="33"/>
      <c r="E136" s="34">
        <f>E132</f>
        <v>148.80000000000001</v>
      </c>
      <c r="F136" s="41" t="s">
        <v>12</v>
      </c>
      <c r="G136" s="33">
        <v>200</v>
      </c>
      <c r="H136" s="104">
        <f>E136*G136</f>
        <v>29760.000000000004</v>
      </c>
    </row>
    <row r="137" spans="1:8" s="81" customFormat="1" ht="15" customHeight="1">
      <c r="A137" s="46"/>
      <c r="B137" s="35" t="s">
        <v>18</v>
      </c>
      <c r="C137" s="31"/>
      <c r="D137" s="37">
        <v>0.15</v>
      </c>
      <c r="E137" s="38">
        <f>D137*E136</f>
        <v>22.32</v>
      </c>
      <c r="F137" s="44" t="s">
        <v>19</v>
      </c>
      <c r="G137" s="33"/>
      <c r="H137" s="104"/>
    </row>
    <row r="138" spans="1:8" s="81" customFormat="1" ht="15" customHeight="1">
      <c r="A138" s="46"/>
      <c r="B138" s="35" t="s">
        <v>20</v>
      </c>
      <c r="C138" s="31"/>
      <c r="D138" s="37">
        <v>2</v>
      </c>
      <c r="E138" s="38">
        <f>D138*E136</f>
        <v>297.60000000000002</v>
      </c>
      <c r="F138" s="44" t="s">
        <v>14</v>
      </c>
      <c r="G138" s="33"/>
      <c r="H138" s="104"/>
    </row>
    <row r="139" spans="1:8" s="81" customFormat="1" ht="15" customHeight="1">
      <c r="A139" s="47"/>
      <c r="B139" s="35" t="s">
        <v>21</v>
      </c>
      <c r="C139" s="31"/>
      <c r="D139" s="37">
        <v>1.1000000000000001</v>
      </c>
      <c r="E139" s="48">
        <f>D139*E136</f>
        <v>163.68000000000004</v>
      </c>
      <c r="F139" s="44" t="s">
        <v>22</v>
      </c>
      <c r="G139" s="33"/>
      <c r="H139" s="104"/>
    </row>
    <row r="140" spans="1:8" s="82" customFormat="1" ht="38.25" customHeight="1">
      <c r="A140" s="29">
        <f>A136+1</f>
        <v>6</v>
      </c>
      <c r="B140" s="40" t="s">
        <v>35</v>
      </c>
      <c r="C140" s="31" t="s">
        <v>17</v>
      </c>
      <c r="D140" s="33"/>
      <c r="E140" s="34">
        <f>E136</f>
        <v>148.80000000000001</v>
      </c>
      <c r="F140" s="41" t="s">
        <v>12</v>
      </c>
      <c r="G140" s="33">
        <v>160</v>
      </c>
      <c r="H140" s="104">
        <f>E140*G140</f>
        <v>23808</v>
      </c>
    </row>
    <row r="141" spans="1:8" s="81" customFormat="1" ht="15" customHeight="1">
      <c r="A141" s="22"/>
      <c r="B141" s="35" t="s">
        <v>24</v>
      </c>
      <c r="C141" s="31"/>
      <c r="D141" s="37">
        <v>0.112</v>
      </c>
      <c r="E141" s="38">
        <f>D141*E140</f>
        <v>16.665600000000001</v>
      </c>
      <c r="F141" s="44" t="s">
        <v>19</v>
      </c>
      <c r="G141" s="33"/>
      <c r="H141" s="104"/>
    </row>
    <row r="142" spans="1:8" s="81" customFormat="1" ht="15" customHeight="1">
      <c r="A142" s="22"/>
      <c r="B142" s="35" t="s">
        <v>25</v>
      </c>
      <c r="C142" s="31"/>
      <c r="D142" s="37">
        <v>0.36599999999999999</v>
      </c>
      <c r="E142" s="38">
        <f>D142*E140</f>
        <v>54.460800000000006</v>
      </c>
      <c r="F142" s="44" t="s">
        <v>14</v>
      </c>
      <c r="G142" s="33"/>
      <c r="H142" s="104"/>
    </row>
    <row r="143" spans="1:8" s="82" customFormat="1" ht="15" customHeight="1">
      <c r="A143" s="22"/>
      <c r="B143" s="35" t="s">
        <v>26</v>
      </c>
      <c r="C143" s="31"/>
      <c r="D143" s="37">
        <v>0.252</v>
      </c>
      <c r="E143" s="38">
        <f>D143*E140</f>
        <v>37.497600000000006</v>
      </c>
      <c r="F143" s="44" t="s">
        <v>19</v>
      </c>
      <c r="G143" s="33"/>
      <c r="H143" s="104"/>
    </row>
    <row r="144" spans="1:8" s="82" customFormat="1" ht="15" customHeight="1">
      <c r="A144" s="29"/>
      <c r="B144" s="35" t="s">
        <v>27</v>
      </c>
      <c r="C144" s="31"/>
      <c r="D144" s="37">
        <v>3.0000000000000001E-3</v>
      </c>
      <c r="E144" s="38">
        <f>D144*E140</f>
        <v>0.44640000000000002</v>
      </c>
      <c r="F144" s="44" t="s">
        <v>19</v>
      </c>
      <c r="G144" s="33"/>
      <c r="H144" s="104"/>
    </row>
    <row r="145" spans="1:8" s="82" customFormat="1" ht="15" customHeight="1">
      <c r="A145" s="42"/>
      <c r="B145" s="35" t="s">
        <v>28</v>
      </c>
      <c r="C145" s="31"/>
      <c r="D145" s="37">
        <v>3.0000000000000001E-3</v>
      </c>
      <c r="E145" s="38">
        <f>D145*E140</f>
        <v>0.44640000000000002</v>
      </c>
      <c r="F145" s="44" t="s">
        <v>19</v>
      </c>
      <c r="G145" s="33"/>
      <c r="H145" s="104"/>
    </row>
    <row r="146" spans="1:8" s="82" customFormat="1" ht="15" customHeight="1">
      <c r="A146" s="42"/>
      <c r="B146" s="35" t="s">
        <v>29</v>
      </c>
      <c r="C146" s="31"/>
      <c r="D146" s="37">
        <v>3.0000000000000001E-3</v>
      </c>
      <c r="E146" s="38">
        <f>D146*E140</f>
        <v>0.44640000000000002</v>
      </c>
      <c r="F146" s="44" t="s">
        <v>19</v>
      </c>
      <c r="G146" s="33"/>
      <c r="H146" s="104"/>
    </row>
    <row r="147" spans="1:8" s="82" customFormat="1" ht="15" customHeight="1">
      <c r="A147" s="43"/>
      <c r="B147" s="35"/>
      <c r="C147" s="31"/>
      <c r="D147" s="37"/>
      <c r="E147" s="45"/>
      <c r="F147" s="44"/>
      <c r="G147" s="33"/>
      <c r="H147" s="104"/>
    </row>
    <row r="148" spans="1:8" s="82" customFormat="1" ht="15" customHeight="1">
      <c r="A148" s="22"/>
      <c r="B148" s="23" t="s">
        <v>36</v>
      </c>
      <c r="C148" s="24"/>
      <c r="D148" s="26"/>
      <c r="E148" s="27"/>
      <c r="F148" s="25"/>
      <c r="G148" s="33"/>
      <c r="H148" s="104"/>
    </row>
    <row r="149" spans="1:8" s="82" customFormat="1" ht="25.5" customHeight="1">
      <c r="A149" s="29">
        <f>A140+1</f>
        <v>7</v>
      </c>
      <c r="B149" s="40" t="s">
        <v>37</v>
      </c>
      <c r="C149" s="31" t="s">
        <v>38</v>
      </c>
      <c r="D149" s="33"/>
      <c r="E149" s="34">
        <v>55.28</v>
      </c>
      <c r="F149" s="41" t="s">
        <v>12</v>
      </c>
      <c r="G149" s="33">
        <v>40</v>
      </c>
      <c r="H149" s="104">
        <f>E149*G149</f>
        <v>2211.1999999999998</v>
      </c>
    </row>
    <row r="150" spans="1:8" s="81" customFormat="1" ht="15" customHeight="1">
      <c r="A150" s="22"/>
      <c r="B150" s="35" t="s">
        <v>18</v>
      </c>
      <c r="C150" s="49"/>
      <c r="D150" s="51">
        <v>0.15</v>
      </c>
      <c r="E150" s="38">
        <f>D150*E149</f>
        <v>8.2919999999999998</v>
      </c>
      <c r="F150" s="79" t="s">
        <v>19</v>
      </c>
      <c r="G150" s="33"/>
      <c r="H150" s="104"/>
    </row>
    <row r="151" spans="1:8" s="82" customFormat="1" ht="25.5" customHeight="1">
      <c r="A151" s="29">
        <f>A149+1</f>
        <v>8</v>
      </c>
      <c r="B151" s="40" t="s">
        <v>39</v>
      </c>
      <c r="C151" s="31" t="s">
        <v>38</v>
      </c>
      <c r="D151" s="33"/>
      <c r="E151" s="34">
        <f>E149</f>
        <v>55.28</v>
      </c>
      <c r="F151" s="41" t="s">
        <v>12</v>
      </c>
      <c r="G151" s="33">
        <v>680</v>
      </c>
      <c r="H151" s="104">
        <f>E151*G151</f>
        <v>37590.400000000001</v>
      </c>
    </row>
    <row r="152" spans="1:8" s="82" customFormat="1" ht="15" customHeight="1">
      <c r="A152" s="22"/>
      <c r="B152" s="35" t="s">
        <v>40</v>
      </c>
      <c r="C152" s="49"/>
      <c r="D152" s="51">
        <v>1.1000000000000001</v>
      </c>
      <c r="E152" s="38">
        <f>D152*E151</f>
        <v>60.808000000000007</v>
      </c>
      <c r="F152" s="79" t="s">
        <v>12</v>
      </c>
      <c r="G152" s="33"/>
      <c r="H152" s="104"/>
    </row>
    <row r="153" spans="1:8" s="82" customFormat="1" ht="25.5" customHeight="1">
      <c r="A153" s="22"/>
      <c r="B153" s="35" t="s">
        <v>41</v>
      </c>
      <c r="C153" s="49"/>
      <c r="D153" s="51">
        <f>12</f>
        <v>12</v>
      </c>
      <c r="E153" s="38">
        <f>D153*E151</f>
        <v>663.36</v>
      </c>
      <c r="F153" s="79" t="s">
        <v>42</v>
      </c>
      <c r="G153" s="33"/>
      <c r="H153" s="104"/>
    </row>
    <row r="154" spans="1:8" s="81" customFormat="1" ht="25.5" customHeight="1">
      <c r="A154" s="22"/>
      <c r="B154" s="35" t="s">
        <v>43</v>
      </c>
      <c r="C154" s="49"/>
      <c r="D154" s="51">
        <v>7</v>
      </c>
      <c r="E154" s="38">
        <f>D154*E151</f>
        <v>386.96000000000004</v>
      </c>
      <c r="F154" s="79" t="s">
        <v>14</v>
      </c>
      <c r="G154" s="33"/>
      <c r="H154" s="104"/>
    </row>
    <row r="155" spans="1:8" s="81" customFormat="1" ht="15" customHeight="1">
      <c r="A155" s="22"/>
      <c r="B155" s="35" t="s">
        <v>44</v>
      </c>
      <c r="C155" s="49"/>
      <c r="D155" s="51">
        <v>0.3</v>
      </c>
      <c r="E155" s="38">
        <f>D155*E151</f>
        <v>16.584</v>
      </c>
      <c r="F155" s="79" t="s">
        <v>14</v>
      </c>
      <c r="G155" s="33"/>
      <c r="H155" s="104"/>
    </row>
    <row r="156" spans="1:8" s="82" customFormat="1" ht="15" customHeight="1">
      <c r="A156" s="29">
        <f>A151+1</f>
        <v>9</v>
      </c>
      <c r="B156" s="30" t="s">
        <v>45</v>
      </c>
      <c r="C156" s="31" t="s">
        <v>38</v>
      </c>
      <c r="D156" s="33"/>
      <c r="E156" s="34">
        <v>58.1</v>
      </c>
      <c r="F156" s="32" t="s">
        <v>22</v>
      </c>
      <c r="G156" s="33">
        <v>160</v>
      </c>
      <c r="H156" s="104">
        <f>E156*G156</f>
        <v>9296</v>
      </c>
    </row>
    <row r="157" spans="1:8" s="39" customFormat="1" ht="25.5" customHeight="1">
      <c r="A157" s="22"/>
      <c r="B157" s="35" t="s">
        <v>43</v>
      </c>
      <c r="C157" s="49"/>
      <c r="D157" s="51">
        <f>7*0.1</f>
        <v>0.70000000000000007</v>
      </c>
      <c r="E157" s="38">
        <f>D157*E156</f>
        <v>40.67</v>
      </c>
      <c r="F157" s="79" t="s">
        <v>14</v>
      </c>
      <c r="G157" s="33"/>
      <c r="H157" s="104"/>
    </row>
    <row r="158" spans="1:8" ht="15" customHeight="1">
      <c r="A158" s="22"/>
      <c r="B158" s="35" t="s">
        <v>40</v>
      </c>
      <c r="C158" s="49"/>
      <c r="D158" s="51">
        <v>0.10299999999999999</v>
      </c>
      <c r="E158" s="38">
        <f>D158*E156</f>
        <v>5.9843000000000002</v>
      </c>
      <c r="F158" s="79" t="s">
        <v>12</v>
      </c>
      <c r="G158" s="33"/>
      <c r="H158" s="104"/>
    </row>
    <row r="159" spans="1:8" s="39" customFormat="1" ht="15" customHeight="1">
      <c r="A159" s="22"/>
      <c r="B159" s="35" t="s">
        <v>44</v>
      </c>
      <c r="C159" s="49"/>
      <c r="D159" s="51">
        <v>0.1</v>
      </c>
      <c r="E159" s="38">
        <f>D159*E156</f>
        <v>5.8100000000000005</v>
      </c>
      <c r="F159" s="79" t="s">
        <v>14</v>
      </c>
      <c r="G159" s="33"/>
      <c r="H159" s="104"/>
    </row>
    <row r="160" spans="1:8" ht="15" customHeight="1">
      <c r="A160" s="29">
        <f>A156+1</f>
        <v>10</v>
      </c>
      <c r="B160" s="30" t="s">
        <v>46</v>
      </c>
      <c r="C160" s="31" t="s">
        <v>38</v>
      </c>
      <c r="D160" s="33"/>
      <c r="E160" s="34">
        <f>19*2</f>
        <v>38</v>
      </c>
      <c r="F160" s="52" t="s">
        <v>22</v>
      </c>
      <c r="G160" s="33">
        <v>280</v>
      </c>
      <c r="H160" s="104">
        <f>E160*G160</f>
        <v>10640</v>
      </c>
    </row>
    <row r="161" spans="1:8" ht="38.25" customHeight="1">
      <c r="A161" s="29">
        <f>A160+1</f>
        <v>11</v>
      </c>
      <c r="B161" s="53" t="s">
        <v>47</v>
      </c>
      <c r="C161" s="31" t="s">
        <v>38</v>
      </c>
      <c r="D161" s="54"/>
      <c r="E161" s="55">
        <f>E149*0.5</f>
        <v>27.64</v>
      </c>
      <c r="F161" s="54" t="s">
        <v>12</v>
      </c>
      <c r="G161" s="33">
        <v>200</v>
      </c>
      <c r="H161" s="104">
        <f>E161*G161</f>
        <v>5528</v>
      </c>
    </row>
    <row r="162" spans="1:8" s="39" customFormat="1" ht="15" customHeight="1">
      <c r="A162" s="56"/>
      <c r="B162" s="57" t="s">
        <v>48</v>
      </c>
      <c r="C162" s="31"/>
      <c r="D162" s="58">
        <v>32</v>
      </c>
      <c r="E162" s="38">
        <f>D162*E161</f>
        <v>884.48</v>
      </c>
      <c r="F162" s="44" t="s">
        <v>14</v>
      </c>
      <c r="G162" s="33"/>
      <c r="H162" s="104"/>
    </row>
    <row r="163" spans="1:8" s="39" customFormat="1" ht="15" customHeight="1">
      <c r="A163" s="56"/>
      <c r="B163" s="35" t="s">
        <v>32</v>
      </c>
      <c r="C163" s="31"/>
      <c r="D163" s="58">
        <v>1</v>
      </c>
      <c r="E163" s="38">
        <f>D163*E161</f>
        <v>27.64</v>
      </c>
      <c r="F163" s="44" t="s">
        <v>33</v>
      </c>
      <c r="G163" s="33"/>
      <c r="H163" s="104"/>
    </row>
    <row r="164" spans="1:8" ht="15.75" customHeight="1">
      <c r="A164" s="29">
        <f>A161+1</f>
        <v>12</v>
      </c>
      <c r="B164" s="60" t="s">
        <v>49</v>
      </c>
      <c r="C164" s="31" t="s">
        <v>11</v>
      </c>
      <c r="D164" s="62"/>
      <c r="E164" s="63">
        <f>E149</f>
        <v>55.28</v>
      </c>
      <c r="F164" s="61" t="s">
        <v>12</v>
      </c>
      <c r="G164" s="33">
        <v>40</v>
      </c>
      <c r="H164" s="104">
        <f>E164*G164</f>
        <v>2211.1999999999998</v>
      </c>
    </row>
    <row r="165" spans="1:8" s="39" customFormat="1" ht="15.75" customHeight="1">
      <c r="A165" s="42"/>
      <c r="B165" s="83" t="s">
        <v>50</v>
      </c>
      <c r="C165" s="9"/>
      <c r="D165" s="58">
        <v>5.0869999999999999E-2</v>
      </c>
      <c r="E165" s="38">
        <f>D165*E164</f>
        <v>2.8120935999999999</v>
      </c>
      <c r="F165" s="84" t="s">
        <v>42</v>
      </c>
      <c r="G165" s="33"/>
      <c r="H165" s="104"/>
    </row>
    <row r="166" spans="1:8" s="39" customFormat="1" ht="15.75" customHeight="1">
      <c r="A166" s="42"/>
      <c r="B166" s="70" t="s">
        <v>51</v>
      </c>
      <c r="C166" s="9"/>
      <c r="D166" s="58">
        <v>1.1000000000000001</v>
      </c>
      <c r="E166" s="38">
        <f>D166*E164</f>
        <v>60.808000000000007</v>
      </c>
      <c r="F166" s="84" t="s">
        <v>12</v>
      </c>
      <c r="G166" s="33"/>
      <c r="H166" s="104"/>
    </row>
    <row r="167" spans="1:8" s="39" customFormat="1" ht="15.75" customHeight="1">
      <c r="A167" s="42"/>
      <c r="B167" s="83" t="s">
        <v>52</v>
      </c>
      <c r="C167" s="9"/>
      <c r="D167" s="58">
        <v>1.1000000000000001</v>
      </c>
      <c r="E167" s="38">
        <f>D167*E164</f>
        <v>60.808000000000007</v>
      </c>
      <c r="F167" s="84" t="s">
        <v>12</v>
      </c>
      <c r="G167" s="33"/>
      <c r="H167" s="104"/>
    </row>
    <row r="168" spans="1:8" ht="15" customHeight="1">
      <c r="A168" s="42"/>
      <c r="B168" s="80"/>
      <c r="C168" s="9"/>
      <c r="D168" s="14"/>
      <c r="E168" s="38"/>
      <c r="F168" s="80"/>
      <c r="G168" s="33"/>
      <c r="H168" s="104"/>
    </row>
    <row r="169" spans="1:8" ht="15" customHeight="1">
      <c r="B169" s="85" t="s">
        <v>55</v>
      </c>
      <c r="C169" s="86"/>
      <c r="D169" s="88"/>
      <c r="E169" s="87"/>
      <c r="F169" s="87"/>
      <c r="G169" s="33"/>
      <c r="H169" s="104"/>
    </row>
    <row r="170" spans="1:8" ht="15" customHeight="1">
      <c r="A170" s="42"/>
      <c r="B170" s="23" t="s">
        <v>9</v>
      </c>
      <c r="C170" s="89"/>
      <c r="D170" s="91"/>
      <c r="E170" s="92"/>
      <c r="F170" s="90"/>
      <c r="G170" s="33"/>
      <c r="H170" s="104"/>
    </row>
    <row r="171" spans="1:8" ht="25.5" customHeight="1">
      <c r="A171" s="93"/>
      <c r="B171" s="94" t="s">
        <v>56</v>
      </c>
      <c r="C171" s="94"/>
      <c r="D171" s="96"/>
      <c r="E171" s="97"/>
      <c r="F171" s="95"/>
      <c r="G171" s="33"/>
      <c r="H171" s="104"/>
    </row>
    <row r="172" spans="1:8" ht="15" customHeight="1">
      <c r="A172" s="98" t="s">
        <v>7</v>
      </c>
      <c r="B172" s="99" t="s">
        <v>57</v>
      </c>
      <c r="C172" s="100" t="s">
        <v>58</v>
      </c>
      <c r="D172" s="102"/>
      <c r="E172" s="103">
        <f>97.35+62.57+44.38</f>
        <v>204.29999999999998</v>
      </c>
      <c r="F172" s="101" t="s">
        <v>59</v>
      </c>
      <c r="G172" s="33">
        <v>145</v>
      </c>
      <c r="H172" s="104">
        <f>E172*G172</f>
        <v>29623.499999999996</v>
      </c>
    </row>
    <row r="173" spans="1:8" s="82" customFormat="1" ht="15" customHeight="1">
      <c r="A173" s="98"/>
      <c r="B173" s="80" t="s">
        <v>60</v>
      </c>
      <c r="C173" s="9"/>
      <c r="D173" s="102">
        <v>0.02</v>
      </c>
      <c r="E173" s="106">
        <f>D173*E172</f>
        <v>4.0859999999999994</v>
      </c>
      <c r="F173" s="105" t="s">
        <v>42</v>
      </c>
      <c r="G173" s="33"/>
      <c r="H173" s="104"/>
    </row>
    <row r="174" spans="1:8" s="82" customFormat="1" ht="15" customHeight="1">
      <c r="A174" s="108">
        <f>A172+1</f>
        <v>2</v>
      </c>
      <c r="B174" s="99" t="s">
        <v>61</v>
      </c>
      <c r="C174" s="71" t="s">
        <v>17</v>
      </c>
      <c r="D174" s="102"/>
      <c r="E174" s="103">
        <f>E172</f>
        <v>204.29999999999998</v>
      </c>
      <c r="F174" s="101" t="s">
        <v>59</v>
      </c>
      <c r="G174" s="33">
        <v>160</v>
      </c>
      <c r="H174" s="104">
        <f>E174*G174</f>
        <v>32687.999999999996</v>
      </c>
    </row>
    <row r="175" spans="1:8" s="81" customFormat="1" ht="25.5" customHeight="1">
      <c r="A175" s="98"/>
      <c r="B175" s="109" t="s">
        <v>62</v>
      </c>
      <c r="C175" s="71"/>
      <c r="D175" s="102">
        <v>0.35</v>
      </c>
      <c r="E175" s="111">
        <f>E174*D175</f>
        <v>71.504999999999995</v>
      </c>
      <c r="F175" s="110" t="s">
        <v>19</v>
      </c>
      <c r="G175" s="33"/>
      <c r="H175" s="104"/>
    </row>
    <row r="176" spans="1:8" s="81" customFormat="1" ht="15" customHeight="1">
      <c r="A176" s="98"/>
      <c r="B176" s="112" t="s">
        <v>63</v>
      </c>
      <c r="C176" s="113"/>
      <c r="D176" s="102">
        <v>0.15</v>
      </c>
      <c r="E176" s="111">
        <f>E174*D176</f>
        <v>30.644999999999996</v>
      </c>
      <c r="F176" s="110" t="s">
        <v>19</v>
      </c>
      <c r="G176" s="33"/>
      <c r="H176" s="104"/>
    </row>
    <row r="177" spans="1:8" s="82" customFormat="1" ht="15" customHeight="1">
      <c r="A177" s="93"/>
      <c r="B177" s="114"/>
      <c r="C177" s="115"/>
      <c r="D177" s="117"/>
      <c r="E177" s="118"/>
      <c r="F177" s="116"/>
      <c r="G177" s="33"/>
      <c r="H177" s="104"/>
    </row>
    <row r="178" spans="1:8" s="82" customFormat="1" ht="15" customHeight="1">
      <c r="A178" s="93"/>
      <c r="B178" s="94" t="s">
        <v>64</v>
      </c>
      <c r="C178" s="119"/>
      <c r="D178" s="121"/>
      <c r="E178" s="120"/>
      <c r="F178" s="120"/>
      <c r="G178" s="33"/>
      <c r="H178" s="104"/>
    </row>
    <row r="179" spans="1:8" s="82" customFormat="1" ht="15" customHeight="1">
      <c r="A179" s="122">
        <f>A174+1</f>
        <v>3</v>
      </c>
      <c r="B179" s="123" t="s">
        <v>65</v>
      </c>
      <c r="C179" s="9" t="s">
        <v>17</v>
      </c>
      <c r="D179" s="107"/>
      <c r="E179" s="124">
        <v>199.95</v>
      </c>
      <c r="F179" s="9" t="s">
        <v>59</v>
      </c>
      <c r="G179" s="33">
        <v>40</v>
      </c>
      <c r="H179" s="104">
        <f>E179*G179</f>
        <v>7998</v>
      </c>
    </row>
    <row r="180" spans="1:8" s="81" customFormat="1" ht="15" customHeight="1">
      <c r="A180" s="98"/>
      <c r="B180" s="125" t="s">
        <v>66</v>
      </c>
      <c r="C180" s="126"/>
      <c r="D180" s="14">
        <v>0.15</v>
      </c>
      <c r="E180" s="106">
        <f>D180*E179</f>
        <v>29.992499999999996</v>
      </c>
      <c r="F180" s="80" t="s">
        <v>14</v>
      </c>
      <c r="G180" s="33"/>
      <c r="H180" s="104"/>
    </row>
    <row r="181" spans="1:8" s="82" customFormat="1" ht="15" customHeight="1">
      <c r="A181" s="108">
        <f>A179+1</f>
        <v>4</v>
      </c>
      <c r="B181" s="127" t="s">
        <v>67</v>
      </c>
      <c r="C181" s="107" t="s">
        <v>58</v>
      </c>
      <c r="D181" s="107"/>
      <c r="E181" s="107">
        <f>E179</f>
        <v>199.95</v>
      </c>
      <c r="F181" s="9" t="s">
        <v>59</v>
      </c>
      <c r="G181" s="33">
        <v>160</v>
      </c>
      <c r="H181" s="104">
        <f>E181*G181</f>
        <v>31992</v>
      </c>
    </row>
    <row r="182" spans="1:8" s="81" customFormat="1" ht="15" customHeight="1">
      <c r="A182" s="93"/>
      <c r="B182" s="128" t="s">
        <v>68</v>
      </c>
      <c r="C182" s="12"/>
      <c r="D182" s="14">
        <v>5</v>
      </c>
      <c r="E182" s="38">
        <f>D182*E181</f>
        <v>999.75</v>
      </c>
      <c r="F182" s="80" t="s">
        <v>14</v>
      </c>
      <c r="G182" s="33"/>
      <c r="H182" s="104"/>
    </row>
    <row r="183" spans="1:8" s="82" customFormat="1" ht="15" customHeight="1">
      <c r="A183" s="93"/>
      <c r="B183" s="129" t="s">
        <v>69</v>
      </c>
      <c r="C183" s="6"/>
      <c r="D183" s="130">
        <v>1.05</v>
      </c>
      <c r="E183" s="38">
        <f>D183*E181</f>
        <v>209.94749999999999</v>
      </c>
      <c r="F183" s="129" t="s">
        <v>70</v>
      </c>
      <c r="G183" s="33"/>
      <c r="H183" s="104"/>
    </row>
    <row r="184" spans="1:8" s="82" customFormat="1" ht="25.5" customHeight="1">
      <c r="A184" s="108">
        <f>A181+1</f>
        <v>5</v>
      </c>
      <c r="B184" s="99" t="s">
        <v>71</v>
      </c>
      <c r="C184" s="100" t="s">
        <v>58</v>
      </c>
      <c r="D184" s="100"/>
      <c r="E184" s="131">
        <f>E179</f>
        <v>199.95</v>
      </c>
      <c r="F184" s="71" t="s">
        <v>59</v>
      </c>
      <c r="G184" s="33">
        <v>120</v>
      </c>
      <c r="H184" s="104">
        <f>E184*G184</f>
        <v>23994</v>
      </c>
    </row>
    <row r="185" spans="1:8" s="81" customFormat="1" ht="15" customHeight="1">
      <c r="A185" s="93"/>
      <c r="B185" s="109" t="s">
        <v>72</v>
      </c>
      <c r="C185" s="71"/>
      <c r="D185" s="117">
        <v>1.1000000000000001</v>
      </c>
      <c r="E185" s="106">
        <f>D185*E184</f>
        <v>219.94499999999999</v>
      </c>
      <c r="F185" s="109" t="s">
        <v>70</v>
      </c>
      <c r="G185" s="33"/>
      <c r="H185" s="104"/>
    </row>
    <row r="186" spans="1:8" s="82" customFormat="1" ht="15" customHeight="1">
      <c r="A186" s="108">
        <f>A184+1</f>
        <v>6</v>
      </c>
      <c r="B186" s="132" t="s">
        <v>73</v>
      </c>
      <c r="C186" s="9" t="s">
        <v>11</v>
      </c>
      <c r="D186" s="102"/>
      <c r="E186" s="133">
        <f>E184</f>
        <v>199.95</v>
      </c>
      <c r="F186" s="7" t="s">
        <v>59</v>
      </c>
      <c r="G186" s="33">
        <v>225</v>
      </c>
      <c r="H186" s="104">
        <f>E186*G186</f>
        <v>44988.75</v>
      </c>
    </row>
    <row r="187" spans="1:8" s="81" customFormat="1" ht="15" customHeight="1">
      <c r="A187" s="93"/>
      <c r="B187" s="134" t="s">
        <v>74</v>
      </c>
      <c r="C187" s="135"/>
      <c r="D187" s="102">
        <v>13</v>
      </c>
      <c r="E187" s="106">
        <f>D187*E186</f>
        <v>2599.35</v>
      </c>
      <c r="F187" s="105" t="s">
        <v>14</v>
      </c>
      <c r="G187" s="33"/>
      <c r="H187" s="104"/>
    </row>
    <row r="188" spans="1:8" s="82" customFormat="1" ht="15" customHeight="1">
      <c r="A188" s="108">
        <f>A186+1</f>
        <v>7</v>
      </c>
      <c r="B188" s="123" t="s">
        <v>75</v>
      </c>
      <c r="C188" s="9" t="s">
        <v>17</v>
      </c>
      <c r="D188" s="102"/>
      <c r="E188" s="133">
        <f>E186</f>
        <v>199.95</v>
      </c>
      <c r="F188" s="7" t="s">
        <v>59</v>
      </c>
      <c r="G188" s="33">
        <v>40</v>
      </c>
      <c r="H188" s="104">
        <f>E188*G188</f>
        <v>7998</v>
      </c>
    </row>
    <row r="189" spans="1:8" s="81" customFormat="1" ht="15" customHeight="1">
      <c r="A189" s="93"/>
      <c r="B189" s="125" t="s">
        <v>76</v>
      </c>
      <c r="C189" s="126"/>
      <c r="D189" s="102">
        <v>0.15</v>
      </c>
      <c r="E189" s="106">
        <f>D189*E188</f>
        <v>29.992499999999996</v>
      </c>
      <c r="F189" s="105" t="s">
        <v>14</v>
      </c>
      <c r="G189" s="33"/>
      <c r="H189" s="104"/>
    </row>
    <row r="190" spans="1:8" s="82" customFormat="1" ht="15" customHeight="1">
      <c r="A190" s="108">
        <f>A188+1</f>
        <v>8</v>
      </c>
      <c r="B190" s="136" t="s">
        <v>77</v>
      </c>
      <c r="C190" s="9" t="s">
        <v>17</v>
      </c>
      <c r="D190" s="102"/>
      <c r="E190" s="133">
        <f>E179</f>
        <v>199.95</v>
      </c>
      <c r="F190" s="7" t="s">
        <v>59</v>
      </c>
      <c r="G190" s="33">
        <v>200</v>
      </c>
      <c r="H190" s="104">
        <f>E190*G190</f>
        <v>39990</v>
      </c>
    </row>
    <row r="191" spans="1:8" s="81" customFormat="1" ht="15" customHeight="1">
      <c r="A191" s="93"/>
      <c r="B191" s="137" t="s">
        <v>78</v>
      </c>
      <c r="C191" s="138"/>
      <c r="D191" s="102">
        <v>4</v>
      </c>
      <c r="E191" s="38">
        <f>D191*E190</f>
        <v>799.8</v>
      </c>
      <c r="F191" s="105" t="s">
        <v>14</v>
      </c>
      <c r="G191" s="33"/>
      <c r="H191" s="104"/>
    </row>
    <row r="192" spans="1:8" s="82" customFormat="1" ht="15" customHeight="1">
      <c r="A192" s="93"/>
      <c r="B192" s="125" t="s">
        <v>79</v>
      </c>
      <c r="C192" s="126"/>
      <c r="D192" s="102">
        <v>1.8</v>
      </c>
      <c r="E192" s="38">
        <f>D192*E190</f>
        <v>359.90999999999997</v>
      </c>
      <c r="F192" s="105" t="s">
        <v>14</v>
      </c>
      <c r="G192" s="33"/>
      <c r="H192" s="104"/>
    </row>
    <row r="193" spans="1:8" s="82" customFormat="1" ht="15" customHeight="1">
      <c r="A193" s="108">
        <f>A190+1</f>
        <v>9</v>
      </c>
      <c r="B193" s="99" t="s">
        <v>61</v>
      </c>
      <c r="C193" s="71" t="s">
        <v>17</v>
      </c>
      <c r="D193" s="102"/>
      <c r="E193" s="139">
        <f>E179</f>
        <v>199.95</v>
      </c>
      <c r="F193" s="71" t="s">
        <v>59</v>
      </c>
      <c r="G193" s="33">
        <v>160</v>
      </c>
      <c r="H193" s="104">
        <f>E193*G193</f>
        <v>31992</v>
      </c>
    </row>
    <row r="194" spans="1:8" s="81" customFormat="1" ht="15" customHeight="1">
      <c r="A194" s="93"/>
      <c r="B194" s="112" t="s">
        <v>80</v>
      </c>
      <c r="C194" s="113"/>
      <c r="D194" s="102">
        <v>0.35</v>
      </c>
      <c r="E194" s="106">
        <f>D194*E193</f>
        <v>69.982499999999987</v>
      </c>
      <c r="F194" s="109" t="s">
        <v>19</v>
      </c>
      <c r="G194" s="33"/>
      <c r="H194" s="104"/>
    </row>
    <row r="195" spans="1:8" s="81" customFormat="1" ht="15" customHeight="1">
      <c r="A195" s="140"/>
      <c r="B195" s="141" t="s">
        <v>66</v>
      </c>
      <c r="C195" s="12"/>
      <c r="D195" s="14">
        <v>0.15</v>
      </c>
      <c r="E195" s="106">
        <f>D195*E193</f>
        <v>29.992499999999996</v>
      </c>
      <c r="F195" s="80" t="s">
        <v>14</v>
      </c>
      <c r="G195" s="33"/>
      <c r="H195" s="104"/>
    </row>
    <row r="196" spans="1:8" s="82" customFormat="1" ht="15" customHeight="1">
      <c r="A196" s="140"/>
      <c r="B196" s="141"/>
      <c r="C196" s="12"/>
      <c r="D196" s="14"/>
      <c r="E196" s="106"/>
      <c r="F196" s="80"/>
      <c r="G196" s="33"/>
      <c r="H196" s="104"/>
    </row>
    <row r="197" spans="1:8" s="82" customFormat="1" ht="15" customHeight="1">
      <c r="A197" s="93"/>
      <c r="B197" s="94" t="s">
        <v>81</v>
      </c>
      <c r="C197" s="119"/>
      <c r="D197" s="121"/>
      <c r="E197" s="120"/>
      <c r="F197" s="120"/>
      <c r="G197" s="33"/>
      <c r="H197" s="104"/>
    </row>
    <row r="198" spans="1:8" s="82" customFormat="1" ht="15" customHeight="1">
      <c r="A198" s="122">
        <f>A193+1</f>
        <v>10</v>
      </c>
      <c r="B198" s="123" t="s">
        <v>82</v>
      </c>
      <c r="C198" s="9" t="s">
        <v>17</v>
      </c>
      <c r="D198" s="107"/>
      <c r="E198" s="124">
        <f>62.11+77.37+15.47</f>
        <v>154.95000000000002</v>
      </c>
      <c r="F198" s="9" t="s">
        <v>59</v>
      </c>
      <c r="G198" s="33">
        <v>40</v>
      </c>
      <c r="H198" s="104">
        <f>E198*G198</f>
        <v>6198.0000000000009</v>
      </c>
    </row>
    <row r="199" spans="1:8" s="81" customFormat="1" ht="15" customHeight="1">
      <c r="A199" s="98"/>
      <c r="B199" s="125" t="s">
        <v>66</v>
      </c>
      <c r="C199" s="126"/>
      <c r="D199" s="14">
        <v>0.15</v>
      </c>
      <c r="E199" s="106">
        <f>D199*E198</f>
        <v>23.242500000000003</v>
      </c>
      <c r="F199" s="80" t="s">
        <v>14</v>
      </c>
      <c r="G199" s="33"/>
      <c r="H199" s="104"/>
    </row>
    <row r="200" spans="1:8" s="82" customFormat="1" ht="15" customHeight="1">
      <c r="A200" s="122">
        <f>A198+1</f>
        <v>11</v>
      </c>
      <c r="B200" s="132" t="s">
        <v>73</v>
      </c>
      <c r="C200" s="9" t="s">
        <v>11</v>
      </c>
      <c r="D200" s="102"/>
      <c r="E200" s="133">
        <f>E198</f>
        <v>154.95000000000002</v>
      </c>
      <c r="F200" s="7" t="s">
        <v>59</v>
      </c>
      <c r="G200" s="33">
        <v>225</v>
      </c>
      <c r="H200" s="104">
        <f>E200*G200</f>
        <v>34863.750000000007</v>
      </c>
    </row>
    <row r="201" spans="1:8" s="81" customFormat="1" ht="15" customHeight="1">
      <c r="A201" s="93"/>
      <c r="B201" s="134" t="s">
        <v>74</v>
      </c>
      <c r="C201" s="135"/>
      <c r="D201" s="102">
        <v>13</v>
      </c>
      <c r="E201" s="106">
        <f>D201*E200</f>
        <v>2014.3500000000001</v>
      </c>
      <c r="F201" s="105" t="s">
        <v>14</v>
      </c>
      <c r="G201" s="33"/>
      <c r="H201" s="104"/>
    </row>
    <row r="202" spans="1:8" s="82" customFormat="1" ht="15" customHeight="1">
      <c r="A202" s="108">
        <f>A200+1</f>
        <v>12</v>
      </c>
      <c r="B202" s="123" t="s">
        <v>75</v>
      </c>
      <c r="C202" s="9" t="s">
        <v>17</v>
      </c>
      <c r="D202" s="102"/>
      <c r="E202" s="133">
        <f>E200</f>
        <v>154.95000000000002</v>
      </c>
      <c r="F202" s="7" t="s">
        <v>59</v>
      </c>
      <c r="G202" s="33">
        <v>40</v>
      </c>
      <c r="H202" s="104">
        <f>E202*G202</f>
        <v>6198.0000000000009</v>
      </c>
    </row>
    <row r="203" spans="1:8" s="81" customFormat="1" ht="15" customHeight="1">
      <c r="A203" s="93"/>
      <c r="B203" s="125" t="s">
        <v>76</v>
      </c>
      <c r="C203" s="126"/>
      <c r="D203" s="102">
        <v>0.15</v>
      </c>
      <c r="E203" s="106">
        <f>D203*E202</f>
        <v>23.242500000000003</v>
      </c>
      <c r="F203" s="105" t="s">
        <v>14</v>
      </c>
      <c r="G203" s="33"/>
      <c r="H203" s="104"/>
    </row>
    <row r="204" spans="1:8" s="82" customFormat="1" ht="15" customHeight="1">
      <c r="A204" s="108">
        <f>A202+1</f>
        <v>13</v>
      </c>
      <c r="B204" s="136" t="s">
        <v>77</v>
      </c>
      <c r="C204" s="9" t="s">
        <v>17</v>
      </c>
      <c r="D204" s="102"/>
      <c r="E204" s="133">
        <f>E198</f>
        <v>154.95000000000002</v>
      </c>
      <c r="F204" s="7" t="s">
        <v>59</v>
      </c>
      <c r="G204" s="33">
        <v>200</v>
      </c>
      <c r="H204" s="104">
        <f>E204*G204</f>
        <v>30990.000000000004</v>
      </c>
    </row>
    <row r="205" spans="1:8" s="81" customFormat="1" ht="15" customHeight="1">
      <c r="A205" s="93"/>
      <c r="B205" s="137" t="s">
        <v>78</v>
      </c>
      <c r="C205" s="138"/>
      <c r="D205" s="102">
        <v>4</v>
      </c>
      <c r="E205" s="38">
        <f>D205*E204</f>
        <v>619.80000000000007</v>
      </c>
      <c r="F205" s="105" t="s">
        <v>14</v>
      </c>
      <c r="G205" s="33"/>
      <c r="H205" s="104"/>
    </row>
    <row r="206" spans="1:8" s="82" customFormat="1" ht="15" customHeight="1">
      <c r="A206" s="93"/>
      <c r="B206" s="125" t="s">
        <v>79</v>
      </c>
      <c r="C206" s="126"/>
      <c r="D206" s="102">
        <v>1.8</v>
      </c>
      <c r="E206" s="38">
        <f>D206*E204</f>
        <v>278.91000000000003</v>
      </c>
      <c r="F206" s="105" t="s">
        <v>14</v>
      </c>
      <c r="G206" s="33"/>
      <c r="H206" s="104"/>
    </row>
    <row r="207" spans="1:8" s="82" customFormat="1" ht="15" customHeight="1">
      <c r="A207" s="108">
        <f>A204+1</f>
        <v>14</v>
      </c>
      <c r="B207" s="99" t="s">
        <v>61</v>
      </c>
      <c r="C207" s="71" t="s">
        <v>17</v>
      </c>
      <c r="D207" s="102"/>
      <c r="E207" s="139">
        <f>E198</f>
        <v>154.95000000000002</v>
      </c>
      <c r="F207" s="71" t="s">
        <v>59</v>
      </c>
      <c r="G207" s="33">
        <v>160</v>
      </c>
      <c r="H207" s="104">
        <f>E207*G207</f>
        <v>24792.000000000004</v>
      </c>
    </row>
    <row r="208" spans="1:8" s="81" customFormat="1" ht="15" customHeight="1">
      <c r="A208" s="93"/>
      <c r="B208" s="112" t="s">
        <v>80</v>
      </c>
      <c r="C208" s="113"/>
      <c r="D208" s="102">
        <v>0.35</v>
      </c>
      <c r="E208" s="106">
        <f>D208*E207</f>
        <v>54.232500000000002</v>
      </c>
      <c r="F208" s="109" t="s">
        <v>19</v>
      </c>
      <c r="G208" s="33"/>
      <c r="H208" s="104"/>
    </row>
    <row r="209" spans="1:8" s="81" customFormat="1" ht="15" customHeight="1">
      <c r="A209" s="140"/>
      <c r="B209" s="141" t="s">
        <v>66</v>
      </c>
      <c r="C209" s="12"/>
      <c r="D209" s="14">
        <v>0.15</v>
      </c>
      <c r="E209" s="106">
        <f>D209*E207</f>
        <v>23.242500000000003</v>
      </c>
      <c r="F209" s="80" t="s">
        <v>14</v>
      </c>
      <c r="G209" s="33"/>
      <c r="H209" s="104"/>
    </row>
    <row r="210" spans="1:8" s="82" customFormat="1" ht="15" customHeight="1">
      <c r="A210" s="142"/>
      <c r="B210" s="143"/>
      <c r="C210" s="144"/>
      <c r="D210" s="14"/>
      <c r="E210" s="145"/>
      <c r="F210" s="109"/>
      <c r="G210" s="33"/>
      <c r="H210" s="104"/>
    </row>
    <row r="211" spans="1:8" s="82" customFormat="1" ht="15" customHeight="1">
      <c r="A211" s="22"/>
      <c r="B211" s="23" t="s">
        <v>30</v>
      </c>
      <c r="C211" s="24"/>
      <c r="D211" s="26"/>
      <c r="E211" s="27"/>
      <c r="F211" s="25"/>
      <c r="G211" s="33"/>
      <c r="H211" s="104"/>
    </row>
    <row r="212" spans="1:8" s="82" customFormat="1" ht="15" customHeight="1">
      <c r="A212" s="93"/>
      <c r="B212" s="94" t="s">
        <v>83</v>
      </c>
      <c r="C212" s="119"/>
      <c r="D212" s="121"/>
      <c r="E212" s="120"/>
      <c r="F212" s="120"/>
      <c r="G212" s="33"/>
      <c r="H212" s="104"/>
    </row>
    <row r="213" spans="1:8" s="82" customFormat="1" ht="15" customHeight="1">
      <c r="A213" s="108">
        <f>A207+1</f>
        <v>15</v>
      </c>
      <c r="B213" s="99" t="s">
        <v>84</v>
      </c>
      <c r="C213" s="71" t="s">
        <v>17</v>
      </c>
      <c r="D213" s="146"/>
      <c r="E213" s="139">
        <f>26.98+41</f>
        <v>67.98</v>
      </c>
      <c r="F213" s="71" t="s">
        <v>59</v>
      </c>
      <c r="G213" s="33">
        <v>200</v>
      </c>
      <c r="H213" s="104">
        <f>E213*G213</f>
        <v>13596</v>
      </c>
    </row>
    <row r="214" spans="1:8" s="81" customFormat="1" ht="15" customHeight="1">
      <c r="A214" s="142"/>
      <c r="B214" s="112" t="s">
        <v>85</v>
      </c>
      <c r="C214" s="113"/>
      <c r="D214" s="146">
        <v>1.8</v>
      </c>
      <c r="E214" s="106">
        <f>D214*E213</f>
        <v>122.364</v>
      </c>
      <c r="F214" s="109" t="s">
        <v>14</v>
      </c>
      <c r="G214" s="33"/>
      <c r="H214" s="104"/>
    </row>
    <row r="215" spans="1:8" s="81" customFormat="1" ht="15" customHeight="1">
      <c r="A215" s="142"/>
      <c r="B215" s="112" t="s">
        <v>86</v>
      </c>
      <c r="C215" s="113"/>
      <c r="D215" s="146">
        <v>1.8</v>
      </c>
      <c r="E215" s="106">
        <f>D215*E213</f>
        <v>122.364</v>
      </c>
      <c r="F215" s="109" t="s">
        <v>14</v>
      </c>
      <c r="G215" s="33"/>
      <c r="H215" s="104"/>
    </row>
    <row r="216" spans="1:8" s="81" customFormat="1" ht="15" customHeight="1">
      <c r="A216" s="142"/>
      <c r="B216" s="112" t="s">
        <v>63</v>
      </c>
      <c r="C216" s="113"/>
      <c r="D216" s="146">
        <v>0.15</v>
      </c>
      <c r="E216" s="106">
        <f>D216*E213</f>
        <v>10.197000000000001</v>
      </c>
      <c r="F216" s="109" t="s">
        <v>19</v>
      </c>
      <c r="G216" s="33"/>
      <c r="H216" s="104"/>
    </row>
    <row r="217" spans="1:8" s="81" customFormat="1" ht="15" customHeight="1">
      <c r="A217" s="142"/>
      <c r="B217" s="112" t="s">
        <v>87</v>
      </c>
      <c r="C217" s="113"/>
      <c r="D217" s="146">
        <v>0.1</v>
      </c>
      <c r="E217" s="106">
        <f>D217*E213</f>
        <v>6.7980000000000009</v>
      </c>
      <c r="F217" s="109" t="s">
        <v>88</v>
      </c>
      <c r="G217" s="33"/>
      <c r="H217" s="104"/>
    </row>
    <row r="218" spans="1:8" s="81" customFormat="1" ht="15" customHeight="1">
      <c r="A218" s="142"/>
      <c r="B218" s="112" t="s">
        <v>89</v>
      </c>
      <c r="C218" s="113"/>
      <c r="D218" s="146">
        <v>1.1000000000000001</v>
      </c>
      <c r="E218" s="106">
        <f>D218*E213</f>
        <v>74.778000000000006</v>
      </c>
      <c r="F218" s="109" t="s">
        <v>90</v>
      </c>
      <c r="G218" s="33"/>
      <c r="H218" s="104"/>
    </row>
    <row r="219" spans="1:8" s="82" customFormat="1" ht="15" customHeight="1">
      <c r="A219" s="147">
        <f>A213+1</f>
        <v>16</v>
      </c>
      <c r="B219" s="99" t="s">
        <v>91</v>
      </c>
      <c r="C219" s="71" t="s">
        <v>17</v>
      </c>
      <c r="D219" s="146"/>
      <c r="E219" s="139">
        <f>E213</f>
        <v>67.98</v>
      </c>
      <c r="F219" s="71" t="s">
        <v>59</v>
      </c>
      <c r="G219" s="33">
        <v>160</v>
      </c>
      <c r="H219" s="104">
        <f>E219*G219</f>
        <v>10876.800000000001</v>
      </c>
    </row>
    <row r="220" spans="1:8" s="81" customFormat="1" ht="25.5" customHeight="1">
      <c r="A220" s="142"/>
      <c r="B220" s="148" t="s">
        <v>92</v>
      </c>
      <c r="C220" s="149"/>
      <c r="D220" s="150">
        <v>0.35</v>
      </c>
      <c r="E220" s="106">
        <f>D220*E219</f>
        <v>23.792999999999999</v>
      </c>
      <c r="F220" s="109" t="s">
        <v>19</v>
      </c>
      <c r="G220" s="33"/>
      <c r="H220" s="104"/>
    </row>
    <row r="221" spans="1:8" s="81" customFormat="1" ht="15" customHeight="1">
      <c r="A221" s="142"/>
      <c r="B221" s="151" t="s">
        <v>63</v>
      </c>
      <c r="C221" s="113"/>
      <c r="D221" s="146">
        <v>0.15</v>
      </c>
      <c r="E221" s="106">
        <f>D221*E219</f>
        <v>10.197000000000001</v>
      </c>
      <c r="F221" s="109" t="s">
        <v>19</v>
      </c>
      <c r="G221" s="33"/>
      <c r="H221" s="104"/>
    </row>
    <row r="222" spans="1:8" s="82" customFormat="1" ht="15" customHeight="1">
      <c r="A222" s="152"/>
      <c r="B222" s="114"/>
      <c r="C222" s="115"/>
      <c r="D222" s="153"/>
      <c r="E222" s="154"/>
      <c r="F222" s="114"/>
      <c r="G222" s="33"/>
      <c r="H222" s="104"/>
    </row>
    <row r="223" spans="1:8" s="82" customFormat="1" ht="15" customHeight="1">
      <c r="A223" s="93"/>
      <c r="B223" s="94" t="s">
        <v>93</v>
      </c>
      <c r="C223" s="94"/>
      <c r="D223" s="96"/>
      <c r="E223" s="97"/>
      <c r="F223" s="95"/>
      <c r="G223" s="33"/>
      <c r="H223" s="104"/>
    </row>
    <row r="224" spans="1:8" s="82" customFormat="1" ht="15" customHeight="1">
      <c r="A224" s="122">
        <f>A219+1</f>
        <v>17</v>
      </c>
      <c r="B224" s="99" t="s">
        <v>57</v>
      </c>
      <c r="C224" s="100" t="s">
        <v>58</v>
      </c>
      <c r="D224" s="102"/>
      <c r="E224" s="103">
        <f>534.41+196.7</f>
        <v>731.1099999999999</v>
      </c>
      <c r="F224" s="101" t="s">
        <v>59</v>
      </c>
      <c r="G224" s="33">
        <v>145</v>
      </c>
      <c r="H224" s="104">
        <f>E224*G224</f>
        <v>106010.94999999998</v>
      </c>
    </row>
    <row r="225" spans="1:8" s="82" customFormat="1" ht="15" customHeight="1">
      <c r="A225" s="98"/>
      <c r="B225" s="80" t="s">
        <v>60</v>
      </c>
      <c r="C225" s="9"/>
      <c r="D225" s="102">
        <v>0.02</v>
      </c>
      <c r="E225" s="106">
        <f>D225*E224</f>
        <v>14.622199999999998</v>
      </c>
      <c r="F225" s="105" t="s">
        <v>42</v>
      </c>
      <c r="G225" s="33"/>
      <c r="H225" s="104"/>
    </row>
    <row r="226" spans="1:8" s="82" customFormat="1" ht="15" customHeight="1">
      <c r="A226" s="108">
        <f>A224+1</f>
        <v>18</v>
      </c>
      <c r="B226" s="99" t="s">
        <v>61</v>
      </c>
      <c r="C226" s="71" t="s">
        <v>17</v>
      </c>
      <c r="D226" s="102"/>
      <c r="E226" s="103">
        <f>E224</f>
        <v>731.1099999999999</v>
      </c>
      <c r="F226" s="101" t="s">
        <v>59</v>
      </c>
      <c r="G226" s="33">
        <v>160</v>
      </c>
      <c r="H226" s="104">
        <f>E226*G226</f>
        <v>116977.59999999998</v>
      </c>
    </row>
    <row r="227" spans="1:8" s="81" customFormat="1" ht="25.5" customHeight="1">
      <c r="A227" s="98"/>
      <c r="B227" s="109" t="s">
        <v>62</v>
      </c>
      <c r="C227" s="71"/>
      <c r="D227" s="102">
        <v>0.35</v>
      </c>
      <c r="E227" s="111">
        <f>E226*D227</f>
        <v>255.88849999999994</v>
      </c>
      <c r="F227" s="110" t="s">
        <v>19</v>
      </c>
      <c r="G227" s="33"/>
      <c r="H227" s="104"/>
    </row>
    <row r="228" spans="1:8" s="81" customFormat="1" ht="15" customHeight="1">
      <c r="A228" s="98"/>
      <c r="B228" s="112" t="s">
        <v>63</v>
      </c>
      <c r="C228" s="113"/>
      <c r="D228" s="102">
        <v>0.15</v>
      </c>
      <c r="E228" s="111">
        <f>E226*D228</f>
        <v>109.66649999999998</v>
      </c>
      <c r="F228" s="110" t="s">
        <v>19</v>
      </c>
      <c r="G228" s="33"/>
      <c r="H228" s="104"/>
    </row>
    <row r="229" spans="1:8" s="82" customFormat="1" ht="15" customHeight="1">
      <c r="A229" s="93"/>
      <c r="B229" s="114"/>
      <c r="C229" s="115"/>
      <c r="D229" s="117"/>
      <c r="E229" s="118"/>
      <c r="F229" s="116"/>
      <c r="G229" s="33"/>
      <c r="H229" s="104"/>
    </row>
    <row r="230" spans="1:8" s="82" customFormat="1" ht="15" customHeight="1">
      <c r="A230" s="155"/>
      <c r="B230" s="94" t="s">
        <v>94</v>
      </c>
      <c r="C230" s="94"/>
      <c r="D230" s="156"/>
      <c r="E230" s="97"/>
      <c r="F230" s="95"/>
      <c r="G230" s="33"/>
      <c r="H230" s="104"/>
    </row>
    <row r="231" spans="1:8" s="82" customFormat="1" ht="15" customHeight="1">
      <c r="A231" s="108">
        <f>A226+1</f>
        <v>19</v>
      </c>
      <c r="B231" s="99" t="s">
        <v>95</v>
      </c>
      <c r="C231" s="71" t="s">
        <v>11</v>
      </c>
      <c r="D231" s="146"/>
      <c r="E231" s="139">
        <v>170.62</v>
      </c>
      <c r="F231" s="71" t="s">
        <v>59</v>
      </c>
      <c r="G231" s="33">
        <v>200</v>
      </c>
      <c r="H231" s="104">
        <f>E231*G231</f>
        <v>34124</v>
      </c>
    </row>
    <row r="232" spans="1:8" s="81" customFormat="1" ht="15" customHeight="1">
      <c r="A232" s="98"/>
      <c r="B232" s="148" t="s">
        <v>96</v>
      </c>
      <c r="C232" s="149"/>
      <c r="D232" s="146">
        <v>0.4</v>
      </c>
      <c r="E232" s="48">
        <f>E231*D232</f>
        <v>68.248000000000005</v>
      </c>
      <c r="F232" s="109" t="s">
        <v>88</v>
      </c>
      <c r="G232" s="33"/>
      <c r="H232" s="104"/>
    </row>
    <row r="233" spans="1:8" s="81" customFormat="1" ht="15" customHeight="1">
      <c r="A233" s="158"/>
      <c r="B233" s="148" t="s">
        <v>97</v>
      </c>
      <c r="C233" s="149"/>
      <c r="D233" s="146">
        <v>0.4</v>
      </c>
      <c r="E233" s="48">
        <f>E231*D233</f>
        <v>68.248000000000005</v>
      </c>
      <c r="F233" s="109" t="s">
        <v>88</v>
      </c>
      <c r="G233" s="33"/>
      <c r="H233" s="104"/>
    </row>
    <row r="234" spans="1:8" s="81" customFormat="1" ht="15" customHeight="1">
      <c r="A234" s="142"/>
      <c r="B234" s="148" t="s">
        <v>98</v>
      </c>
      <c r="C234" s="149"/>
      <c r="D234" s="146">
        <v>25</v>
      </c>
      <c r="E234" s="48">
        <f>E231*D234</f>
        <v>4265.5</v>
      </c>
      <c r="F234" s="109" t="s">
        <v>14</v>
      </c>
      <c r="G234" s="33"/>
      <c r="H234" s="104"/>
    </row>
    <row r="235" spans="1:8" s="81" customFormat="1" ht="17.399999999999999" customHeight="1">
      <c r="A235" s="142"/>
      <c r="B235" s="148" t="s">
        <v>99</v>
      </c>
      <c r="C235" s="149"/>
      <c r="D235" s="146">
        <v>0.3</v>
      </c>
      <c r="E235" s="48">
        <f>E231*D235</f>
        <v>51.186</v>
      </c>
      <c r="F235" s="109" t="s">
        <v>14</v>
      </c>
      <c r="G235" s="33"/>
      <c r="H235" s="104"/>
    </row>
    <row r="236" spans="1:8" s="81" customFormat="1" ht="15" customHeight="1">
      <c r="A236" s="142"/>
      <c r="B236" s="148" t="s">
        <v>100</v>
      </c>
      <c r="C236" s="149"/>
      <c r="D236" s="146">
        <v>0.1</v>
      </c>
      <c r="E236" s="48">
        <f>E231*D236</f>
        <v>17.062000000000001</v>
      </c>
      <c r="F236" s="109" t="s">
        <v>70</v>
      </c>
      <c r="G236" s="33"/>
      <c r="H236" s="104"/>
    </row>
    <row r="237" spans="1:8" s="82" customFormat="1" ht="15" customHeight="1">
      <c r="A237" s="122">
        <f>A231+1</f>
        <v>20</v>
      </c>
      <c r="B237" s="99" t="s">
        <v>101</v>
      </c>
      <c r="C237" s="71" t="s">
        <v>38</v>
      </c>
      <c r="D237" s="159"/>
      <c r="E237" s="139">
        <f>E231</f>
        <v>170.62</v>
      </c>
      <c r="F237" s="71" t="s">
        <v>59</v>
      </c>
      <c r="G237" s="33">
        <v>800</v>
      </c>
      <c r="H237" s="104">
        <f>E237*G237</f>
        <v>136496</v>
      </c>
    </row>
    <row r="238" spans="1:8" s="82" customFormat="1" ht="15" customHeight="1">
      <c r="A238" s="142"/>
      <c r="B238" s="151" t="s">
        <v>102</v>
      </c>
      <c r="C238" s="113"/>
      <c r="D238" s="159">
        <v>1.1000000000000001</v>
      </c>
      <c r="E238" s="48">
        <f>E237*D238</f>
        <v>187.68200000000002</v>
      </c>
      <c r="F238" s="109" t="s">
        <v>70</v>
      </c>
      <c r="G238" s="33"/>
      <c r="H238" s="104"/>
    </row>
    <row r="239" spans="1:8" s="81" customFormat="1" ht="15" customHeight="1">
      <c r="A239" s="142"/>
      <c r="B239" s="151" t="s">
        <v>63</v>
      </c>
      <c r="C239" s="113"/>
      <c r="D239" s="159">
        <v>0.15</v>
      </c>
      <c r="E239" s="48">
        <f>E237*D239</f>
        <v>25.593</v>
      </c>
      <c r="F239" s="109" t="s">
        <v>19</v>
      </c>
      <c r="G239" s="33"/>
      <c r="H239" s="104"/>
    </row>
    <row r="240" spans="1:8" s="81" customFormat="1" ht="15" customHeight="1">
      <c r="A240" s="142"/>
      <c r="B240" s="151" t="s">
        <v>103</v>
      </c>
      <c r="C240" s="113"/>
      <c r="D240" s="159">
        <v>7.6</v>
      </c>
      <c r="E240" s="48">
        <f>E237*D240</f>
        <v>1296.712</v>
      </c>
      <c r="F240" s="109" t="s">
        <v>14</v>
      </c>
      <c r="G240" s="33"/>
      <c r="H240" s="104"/>
    </row>
    <row r="241" spans="1:8" s="82" customFormat="1" ht="15" customHeight="1">
      <c r="A241" s="142"/>
      <c r="B241" s="151" t="s">
        <v>104</v>
      </c>
      <c r="C241" s="113"/>
      <c r="D241" s="159">
        <v>11</v>
      </c>
      <c r="E241" s="48">
        <f>E237*D241</f>
        <v>1876.8200000000002</v>
      </c>
      <c r="F241" s="109" t="s">
        <v>88</v>
      </c>
      <c r="G241" s="33"/>
      <c r="H241" s="104"/>
    </row>
    <row r="242" spans="1:8" s="81" customFormat="1" ht="15" customHeight="1">
      <c r="A242" s="142"/>
      <c r="B242" s="151" t="s">
        <v>105</v>
      </c>
      <c r="C242" s="113"/>
      <c r="D242" s="159">
        <v>0.4</v>
      </c>
      <c r="E242" s="48">
        <f>E237*D242</f>
        <v>68.248000000000005</v>
      </c>
      <c r="F242" s="109" t="s">
        <v>14</v>
      </c>
      <c r="G242" s="33"/>
      <c r="H242" s="104"/>
    </row>
    <row r="243" spans="1:8" s="82" customFormat="1" ht="15" customHeight="1">
      <c r="A243" s="142"/>
      <c r="B243" s="151"/>
      <c r="C243" s="113"/>
      <c r="D243" s="159"/>
      <c r="E243" s="48"/>
      <c r="F243" s="109"/>
      <c r="G243" s="33"/>
      <c r="H243" s="104"/>
    </row>
    <row r="244" spans="1:8" s="82" customFormat="1" ht="15" customHeight="1">
      <c r="A244" s="161"/>
      <c r="B244" s="162" t="s">
        <v>106</v>
      </c>
      <c r="C244" s="163"/>
      <c r="D244" s="165"/>
      <c r="E244" s="164"/>
      <c r="F244" s="164"/>
      <c r="G244" s="33"/>
      <c r="H244" s="104"/>
    </row>
    <row r="245" spans="1:8" s="82" customFormat="1" ht="15" customHeight="1">
      <c r="A245" s="122">
        <f>A237+1</f>
        <v>21</v>
      </c>
      <c r="B245" s="99" t="s">
        <v>84</v>
      </c>
      <c r="C245" s="71" t="s">
        <v>17</v>
      </c>
      <c r="D245" s="146"/>
      <c r="E245" s="139">
        <f>161.76+164.62+56.06</f>
        <v>382.44</v>
      </c>
      <c r="F245" s="71" t="s">
        <v>59</v>
      </c>
      <c r="G245" s="33">
        <v>200</v>
      </c>
      <c r="H245" s="104">
        <f>E245*G245</f>
        <v>76488</v>
      </c>
    </row>
    <row r="246" spans="1:8" s="81" customFormat="1" ht="15" customHeight="1">
      <c r="A246" s="142"/>
      <c r="B246" s="112" t="s">
        <v>85</v>
      </c>
      <c r="C246" s="113"/>
      <c r="D246" s="146">
        <v>1.8</v>
      </c>
      <c r="E246" s="145">
        <f>D246*E245</f>
        <v>688.39200000000005</v>
      </c>
      <c r="F246" s="109" t="s">
        <v>14</v>
      </c>
      <c r="G246" s="33"/>
      <c r="H246" s="104"/>
    </row>
    <row r="247" spans="1:8" s="81" customFormat="1" ht="15" customHeight="1">
      <c r="A247" s="142"/>
      <c r="B247" s="112" t="s">
        <v>86</v>
      </c>
      <c r="C247" s="113"/>
      <c r="D247" s="146">
        <v>1.8</v>
      </c>
      <c r="E247" s="145">
        <f>D247*E245</f>
        <v>688.39200000000005</v>
      </c>
      <c r="F247" s="109" t="s">
        <v>14</v>
      </c>
      <c r="G247" s="33"/>
      <c r="H247" s="104"/>
    </row>
    <row r="248" spans="1:8" s="81" customFormat="1" ht="15" customHeight="1">
      <c r="A248" s="142"/>
      <c r="B248" s="112" t="s">
        <v>63</v>
      </c>
      <c r="C248" s="113"/>
      <c r="D248" s="146">
        <v>0.15</v>
      </c>
      <c r="E248" s="145">
        <f>D248*E245</f>
        <v>57.366</v>
      </c>
      <c r="F248" s="109" t="s">
        <v>19</v>
      </c>
      <c r="G248" s="33"/>
      <c r="H248" s="104"/>
    </row>
    <row r="249" spans="1:8" s="81" customFormat="1" ht="15" customHeight="1">
      <c r="A249" s="142"/>
      <c r="B249" s="112" t="s">
        <v>87</v>
      </c>
      <c r="C249" s="113"/>
      <c r="D249" s="146">
        <v>0.1</v>
      </c>
      <c r="E249" s="145">
        <f>D249*E245</f>
        <v>38.244</v>
      </c>
      <c r="F249" s="109" t="s">
        <v>88</v>
      </c>
      <c r="G249" s="33"/>
      <c r="H249" s="104"/>
    </row>
    <row r="250" spans="1:8" s="81" customFormat="1" ht="15" customHeight="1">
      <c r="A250" s="142"/>
      <c r="B250" s="112" t="s">
        <v>89</v>
      </c>
      <c r="C250" s="113"/>
      <c r="D250" s="146">
        <v>1.1000000000000001</v>
      </c>
      <c r="E250" s="145">
        <f>D250*E245</f>
        <v>420.68400000000003</v>
      </c>
      <c r="F250" s="109" t="s">
        <v>90</v>
      </c>
      <c r="G250" s="33"/>
      <c r="H250" s="104"/>
    </row>
    <row r="251" spans="1:8" s="82" customFormat="1" ht="15" customHeight="1">
      <c r="A251" s="142">
        <f>A245+1</f>
        <v>22</v>
      </c>
      <c r="B251" s="99" t="s">
        <v>91</v>
      </c>
      <c r="C251" s="71" t="s">
        <v>17</v>
      </c>
      <c r="D251" s="146"/>
      <c r="E251" s="139">
        <f>E245</f>
        <v>382.44</v>
      </c>
      <c r="F251" s="71" t="s">
        <v>59</v>
      </c>
      <c r="G251" s="33">
        <v>160</v>
      </c>
      <c r="H251" s="104">
        <f>E251*G251</f>
        <v>61190.400000000001</v>
      </c>
    </row>
    <row r="252" spans="1:8" s="81" customFormat="1" ht="25.5" customHeight="1">
      <c r="A252" s="142"/>
      <c r="B252" s="148" t="s">
        <v>92</v>
      </c>
      <c r="C252" s="149"/>
      <c r="D252" s="150">
        <v>0.35</v>
      </c>
      <c r="E252" s="145">
        <f>D252*E251</f>
        <v>133.85399999999998</v>
      </c>
      <c r="F252" s="109" t="s">
        <v>19</v>
      </c>
      <c r="G252" s="33"/>
      <c r="H252" s="104"/>
    </row>
    <row r="253" spans="1:8" s="81" customFormat="1" ht="15" customHeight="1">
      <c r="A253" s="142"/>
      <c r="B253" s="151" t="s">
        <v>63</v>
      </c>
      <c r="C253" s="113"/>
      <c r="D253" s="146">
        <v>0.15</v>
      </c>
      <c r="E253" s="145">
        <f>D253*E251</f>
        <v>57.366</v>
      </c>
      <c r="F253" s="109" t="s">
        <v>19</v>
      </c>
      <c r="G253" s="33"/>
      <c r="H253" s="104"/>
    </row>
    <row r="254" spans="1:8" s="82" customFormat="1" ht="15" customHeight="1">
      <c r="A254" s="142"/>
      <c r="B254" s="109"/>
      <c r="C254" s="71"/>
      <c r="D254" s="117"/>
      <c r="E254" s="48"/>
      <c r="F254" s="109"/>
      <c r="G254" s="33"/>
      <c r="H254" s="104"/>
    </row>
    <row r="255" spans="1:8" s="82" customFormat="1" ht="15" customHeight="1">
      <c r="A255" s="161"/>
      <c r="B255" s="109"/>
      <c r="C255" s="71"/>
      <c r="D255" s="117"/>
      <c r="E255" s="48"/>
      <c r="F255" s="109"/>
      <c r="G255" s="33"/>
      <c r="H255" s="104"/>
    </row>
    <row r="256" spans="1:8" s="82" customFormat="1" ht="15" customHeight="1">
      <c r="A256" s="22"/>
      <c r="B256" s="23" t="s">
        <v>107</v>
      </c>
      <c r="C256" s="24"/>
      <c r="D256" s="26"/>
      <c r="E256" s="27"/>
      <c r="F256" s="25"/>
      <c r="G256" s="33"/>
      <c r="H256" s="104"/>
    </row>
    <row r="257" spans="1:8" s="82" customFormat="1" ht="25.5" customHeight="1">
      <c r="A257" s="155"/>
      <c r="B257" s="94" t="s">
        <v>108</v>
      </c>
      <c r="C257" s="119"/>
      <c r="D257" s="121"/>
      <c r="E257" s="120"/>
      <c r="F257" s="120"/>
      <c r="G257" s="33"/>
      <c r="H257" s="104"/>
    </row>
    <row r="258" spans="1:8" s="82" customFormat="1" ht="15" customHeight="1">
      <c r="A258" s="166">
        <f>A251+1</f>
        <v>23</v>
      </c>
      <c r="B258" s="99" t="s">
        <v>109</v>
      </c>
      <c r="C258" s="71" t="s">
        <v>38</v>
      </c>
      <c r="D258" s="102"/>
      <c r="E258" s="139">
        <f>76.05+216.07+8.04+27</f>
        <v>327.16000000000003</v>
      </c>
      <c r="F258" s="71" t="s">
        <v>59</v>
      </c>
      <c r="G258" s="33">
        <v>535</v>
      </c>
      <c r="H258" s="104">
        <f>E258*G258</f>
        <v>175030.6</v>
      </c>
    </row>
    <row r="259" spans="1:8" s="82" customFormat="1" ht="15" customHeight="1">
      <c r="A259" s="161"/>
      <c r="B259" s="151" t="s">
        <v>40</v>
      </c>
      <c r="C259" s="113"/>
      <c r="D259" s="102">
        <v>1.1000000000000001</v>
      </c>
      <c r="E259" s="48">
        <f>(E258-40.22)*D259</f>
        <v>315.63400000000007</v>
      </c>
      <c r="F259" s="109" t="s">
        <v>70</v>
      </c>
      <c r="G259" s="33"/>
      <c r="H259" s="104"/>
    </row>
    <row r="260" spans="1:8" s="82" customFormat="1" ht="15" customHeight="1">
      <c r="A260" s="161"/>
      <c r="B260" s="151" t="s">
        <v>110</v>
      </c>
      <c r="C260" s="113"/>
      <c r="D260" s="102">
        <v>1.1000000000000001</v>
      </c>
      <c r="E260" s="48">
        <f>40.22*D260</f>
        <v>44.242000000000004</v>
      </c>
      <c r="F260" s="109" t="s">
        <v>70</v>
      </c>
      <c r="G260" s="33"/>
      <c r="H260" s="104"/>
    </row>
    <row r="261" spans="1:8" s="81" customFormat="1" ht="15" customHeight="1">
      <c r="A261" s="161"/>
      <c r="B261" s="151" t="s">
        <v>63</v>
      </c>
      <c r="C261" s="113"/>
      <c r="D261" s="102">
        <v>0.15</v>
      </c>
      <c r="E261" s="48">
        <f>E258*D261</f>
        <v>49.074000000000005</v>
      </c>
      <c r="F261" s="109" t="s">
        <v>19</v>
      </c>
      <c r="G261" s="33"/>
      <c r="H261" s="104"/>
    </row>
    <row r="262" spans="1:8" s="81" customFormat="1" ht="15" customHeight="1">
      <c r="A262" s="161"/>
      <c r="B262" s="151" t="s">
        <v>103</v>
      </c>
      <c r="C262" s="113"/>
      <c r="D262" s="102">
        <v>7.6</v>
      </c>
      <c r="E262" s="48">
        <f>E258*D262</f>
        <v>2486.4160000000002</v>
      </c>
      <c r="F262" s="109" t="s">
        <v>14</v>
      </c>
      <c r="G262" s="33"/>
      <c r="H262" s="104"/>
    </row>
    <row r="263" spans="1:8" s="82" customFormat="1" ht="15" customHeight="1">
      <c r="A263" s="161"/>
      <c r="B263" s="151" t="s">
        <v>104</v>
      </c>
      <c r="C263" s="113"/>
      <c r="D263" s="102">
        <v>11</v>
      </c>
      <c r="E263" s="48">
        <f>E258*D263</f>
        <v>3598.76</v>
      </c>
      <c r="F263" s="109" t="s">
        <v>88</v>
      </c>
      <c r="G263" s="33"/>
      <c r="H263" s="104"/>
    </row>
    <row r="264" spans="1:8" s="81" customFormat="1" ht="15" customHeight="1">
      <c r="A264" s="161"/>
      <c r="B264" s="151" t="s">
        <v>105</v>
      </c>
      <c r="C264" s="113"/>
      <c r="D264" s="102">
        <v>0.4</v>
      </c>
      <c r="E264" s="48">
        <f>E258*D264</f>
        <v>130.864</v>
      </c>
      <c r="F264" s="109" t="s">
        <v>14</v>
      </c>
      <c r="G264" s="33"/>
      <c r="H264" s="104"/>
    </row>
    <row r="265" spans="1:8" s="82" customFormat="1" ht="25.5" customHeight="1">
      <c r="A265" s="166">
        <f>A258+1</f>
        <v>24</v>
      </c>
      <c r="B265" s="99" t="s">
        <v>111</v>
      </c>
      <c r="C265" s="71" t="s">
        <v>58</v>
      </c>
      <c r="D265" s="102"/>
      <c r="E265" s="139">
        <f>E258</f>
        <v>327.16000000000003</v>
      </c>
      <c r="F265" s="71" t="s">
        <v>59</v>
      </c>
      <c r="G265" s="33">
        <v>200</v>
      </c>
      <c r="H265" s="104">
        <f>E265*G265</f>
        <v>65432.000000000007</v>
      </c>
    </row>
    <row r="266" spans="1:8" s="81" customFormat="1" ht="15" customHeight="1">
      <c r="A266" s="161"/>
      <c r="B266" s="151" t="s">
        <v>112</v>
      </c>
      <c r="C266" s="113"/>
      <c r="D266" s="102">
        <f>499*0.085*1.02/1000</f>
        <v>4.3263300000000011E-2</v>
      </c>
      <c r="E266" s="48">
        <f>E265*D266</f>
        <v>14.154021228000005</v>
      </c>
      <c r="F266" s="109" t="s">
        <v>113</v>
      </c>
      <c r="G266" s="33"/>
      <c r="H266" s="104"/>
    </row>
    <row r="267" spans="1:8" s="81" customFormat="1" ht="15" customHeight="1">
      <c r="A267" s="161"/>
      <c r="B267" s="151" t="s">
        <v>114</v>
      </c>
      <c r="C267" s="113"/>
      <c r="D267" s="102">
        <f>1792*0.8*0.085*1.02/1000</f>
        <v>0.12429312000000003</v>
      </c>
      <c r="E267" s="48">
        <f>E265*D267</f>
        <v>40.663737139200016</v>
      </c>
      <c r="F267" s="109" t="s">
        <v>113</v>
      </c>
      <c r="G267" s="33"/>
      <c r="H267" s="104"/>
    </row>
    <row r="268" spans="1:8" s="82" customFormat="1" ht="15" customHeight="1">
      <c r="A268" s="161"/>
      <c r="B268" s="151" t="s">
        <v>115</v>
      </c>
      <c r="C268" s="113"/>
      <c r="D268" s="102">
        <f>1792*0.2*0.85*1.02/1000</f>
        <v>0.31073280000000003</v>
      </c>
      <c r="E268" s="48">
        <f>E265*D268</f>
        <v>101.65934284800002</v>
      </c>
      <c r="F268" s="109" t="s">
        <v>113</v>
      </c>
      <c r="G268" s="33"/>
      <c r="H268" s="104"/>
    </row>
    <row r="269" spans="1:8" s="82" customFormat="1" ht="15" customHeight="1">
      <c r="A269" s="161"/>
      <c r="B269" s="151" t="s">
        <v>116</v>
      </c>
      <c r="C269" s="113"/>
      <c r="D269" s="102">
        <v>1.1000000000000001</v>
      </c>
      <c r="E269" s="48">
        <f>E265*D269</f>
        <v>359.87600000000003</v>
      </c>
      <c r="F269" s="109" t="s">
        <v>70</v>
      </c>
      <c r="G269" s="33"/>
      <c r="H269" s="104"/>
    </row>
    <row r="270" spans="1:8" s="81" customFormat="1" ht="15" customHeight="1">
      <c r="A270" s="161"/>
      <c r="B270" s="151" t="s">
        <v>117</v>
      </c>
      <c r="C270" s="113"/>
      <c r="D270" s="102">
        <f>0.21/1000</f>
        <v>2.0999999999999998E-4</v>
      </c>
      <c r="E270" s="48">
        <f>E265*D270</f>
        <v>6.8703600000000004E-2</v>
      </c>
      <c r="F270" s="109" t="s">
        <v>113</v>
      </c>
      <c r="G270" s="33"/>
      <c r="H270" s="104"/>
    </row>
    <row r="271" spans="1:8" s="82" customFormat="1" ht="15" customHeight="1">
      <c r="A271" s="161"/>
      <c r="B271" s="151" t="s">
        <v>118</v>
      </c>
      <c r="C271" s="113"/>
      <c r="D271" s="102">
        <v>4</v>
      </c>
      <c r="E271" s="48">
        <f>E265*D271</f>
        <v>1308.6400000000001</v>
      </c>
      <c r="F271" s="109" t="s">
        <v>88</v>
      </c>
      <c r="G271" s="33"/>
      <c r="H271" s="104"/>
    </row>
    <row r="272" spans="1:8" s="81" customFormat="1" ht="15" customHeight="1">
      <c r="A272" s="161"/>
      <c r="B272" s="151" t="s">
        <v>119</v>
      </c>
      <c r="C272" s="113"/>
      <c r="D272" s="102"/>
      <c r="E272" s="48">
        <f>E265</f>
        <v>327.16000000000003</v>
      </c>
      <c r="F272" s="109" t="s">
        <v>90</v>
      </c>
      <c r="G272" s="33"/>
      <c r="H272" s="104"/>
    </row>
    <row r="273" spans="1:8" s="82" customFormat="1" ht="15" customHeight="1">
      <c r="A273" s="161"/>
      <c r="B273" s="151"/>
      <c r="C273" s="113"/>
      <c r="D273" s="102"/>
      <c r="E273" s="48"/>
      <c r="F273" s="109"/>
      <c r="G273" s="33"/>
      <c r="H273" s="104"/>
    </row>
    <row r="274" spans="1:8" s="82" customFormat="1" ht="15" customHeight="1">
      <c r="A274" s="155"/>
      <c r="B274" s="167" t="s">
        <v>120</v>
      </c>
      <c r="C274" s="119"/>
      <c r="D274" s="121"/>
      <c r="E274" s="120"/>
      <c r="F274" s="120"/>
      <c r="G274" s="33"/>
      <c r="H274" s="104"/>
    </row>
    <row r="275" spans="1:8" s="82" customFormat="1" ht="15" customHeight="1">
      <c r="A275" s="166">
        <f>A265+1</f>
        <v>25</v>
      </c>
      <c r="B275" s="99" t="s">
        <v>109</v>
      </c>
      <c r="C275" s="71" t="s">
        <v>38</v>
      </c>
      <c r="D275" s="146"/>
      <c r="E275" s="139">
        <v>52.89</v>
      </c>
      <c r="F275" s="71" t="s">
        <v>59</v>
      </c>
      <c r="G275" s="33">
        <v>535</v>
      </c>
      <c r="H275" s="104">
        <f>E275*G275</f>
        <v>28296.15</v>
      </c>
    </row>
    <row r="276" spans="1:8" s="82" customFormat="1" ht="15" customHeight="1">
      <c r="A276" s="161"/>
      <c r="B276" s="151" t="s">
        <v>40</v>
      </c>
      <c r="C276" s="113"/>
      <c r="D276" s="146">
        <v>1.1000000000000001</v>
      </c>
      <c r="E276" s="48">
        <f>E275*D276</f>
        <v>58.179000000000002</v>
      </c>
      <c r="F276" s="109" t="s">
        <v>70</v>
      </c>
      <c r="G276" s="33"/>
      <c r="H276" s="104"/>
    </row>
    <row r="277" spans="1:8" s="81" customFormat="1" ht="15" customHeight="1">
      <c r="A277" s="161"/>
      <c r="B277" s="151" t="s">
        <v>63</v>
      </c>
      <c r="C277" s="113"/>
      <c r="D277" s="146">
        <v>0.2</v>
      </c>
      <c r="E277" s="48">
        <f>E275*D277</f>
        <v>10.578000000000001</v>
      </c>
      <c r="F277" s="109" t="s">
        <v>19</v>
      </c>
      <c r="G277" s="33"/>
      <c r="H277" s="104"/>
    </row>
    <row r="278" spans="1:8" s="81" customFormat="1" ht="15" customHeight="1">
      <c r="A278" s="161"/>
      <c r="B278" s="151" t="s">
        <v>103</v>
      </c>
      <c r="C278" s="113"/>
      <c r="D278" s="146">
        <v>7.6</v>
      </c>
      <c r="E278" s="48">
        <f>E275*D278</f>
        <v>401.964</v>
      </c>
      <c r="F278" s="109" t="s">
        <v>14</v>
      </c>
      <c r="G278" s="33"/>
      <c r="H278" s="104"/>
    </row>
    <row r="279" spans="1:8" s="82" customFormat="1" ht="15" customHeight="1">
      <c r="A279" s="161"/>
      <c r="B279" s="151" t="s">
        <v>104</v>
      </c>
      <c r="C279" s="113"/>
      <c r="D279" s="146">
        <v>11</v>
      </c>
      <c r="E279" s="48">
        <f>E275*D279</f>
        <v>581.79</v>
      </c>
      <c r="F279" s="109" t="s">
        <v>88</v>
      </c>
      <c r="G279" s="33"/>
      <c r="H279" s="104"/>
    </row>
    <row r="280" spans="1:8" s="81" customFormat="1" ht="15" customHeight="1">
      <c r="A280" s="161"/>
      <c r="B280" s="151" t="s">
        <v>105</v>
      </c>
      <c r="C280" s="113"/>
      <c r="D280" s="146">
        <v>0.4</v>
      </c>
      <c r="E280" s="48">
        <f>E275*D280</f>
        <v>21.156000000000002</v>
      </c>
      <c r="F280" s="109" t="s">
        <v>14</v>
      </c>
      <c r="G280" s="33"/>
      <c r="H280" s="104"/>
    </row>
    <row r="281" spans="1:8" s="82" customFormat="1" ht="15" customHeight="1">
      <c r="A281" s="166">
        <f>A275+1</f>
        <v>26</v>
      </c>
      <c r="B281" s="99" t="s">
        <v>121</v>
      </c>
      <c r="C281" s="71" t="s">
        <v>58</v>
      </c>
      <c r="D281" s="146"/>
      <c r="E281" s="139">
        <f>E275</f>
        <v>52.89</v>
      </c>
      <c r="F281" s="71" t="s">
        <v>59</v>
      </c>
      <c r="G281" s="33">
        <v>80</v>
      </c>
      <c r="H281" s="104">
        <f>E281*G281</f>
        <v>4231.2</v>
      </c>
    </row>
    <row r="282" spans="1:8" s="81" customFormat="1" ht="15" customHeight="1">
      <c r="A282" s="161"/>
      <c r="B282" s="151" t="s">
        <v>63</v>
      </c>
      <c r="C282" s="113"/>
      <c r="D282" s="146">
        <v>0.2</v>
      </c>
      <c r="E282" s="48">
        <f>E281*D282</f>
        <v>10.578000000000001</v>
      </c>
      <c r="F282" s="109" t="s">
        <v>19</v>
      </c>
      <c r="G282" s="33"/>
      <c r="H282" s="104"/>
    </row>
    <row r="283" spans="1:8" s="81" customFormat="1" ht="15" customHeight="1">
      <c r="A283" s="161"/>
      <c r="B283" s="151" t="s">
        <v>122</v>
      </c>
      <c r="C283" s="113"/>
      <c r="D283" s="146">
        <v>4.8</v>
      </c>
      <c r="E283" s="48">
        <f>E281*D283</f>
        <v>253.87199999999999</v>
      </c>
      <c r="F283" s="109" t="s">
        <v>14</v>
      </c>
      <c r="G283" s="33"/>
      <c r="H283" s="104"/>
    </row>
    <row r="284" spans="1:8" s="82" customFormat="1" ht="25.5" customHeight="1">
      <c r="A284" s="166">
        <f>A281+1</f>
        <v>27</v>
      </c>
      <c r="B284" s="99" t="s">
        <v>111</v>
      </c>
      <c r="C284" s="71" t="s">
        <v>58</v>
      </c>
      <c r="D284" s="146"/>
      <c r="E284" s="139">
        <f>E275</f>
        <v>52.89</v>
      </c>
      <c r="F284" s="71" t="s">
        <v>59</v>
      </c>
      <c r="G284" s="33">
        <v>200</v>
      </c>
      <c r="H284" s="104">
        <f>E284*G284</f>
        <v>10578</v>
      </c>
    </row>
    <row r="285" spans="1:8" s="81" customFormat="1" ht="15" customHeight="1">
      <c r="A285" s="161"/>
      <c r="B285" s="151" t="s">
        <v>112</v>
      </c>
      <c r="C285" s="113"/>
      <c r="D285" s="146">
        <f>(499*0.085*1.02)/1000</f>
        <v>4.3263300000000011E-2</v>
      </c>
      <c r="E285" s="48">
        <f>E284*D285</f>
        <v>2.2881959370000007</v>
      </c>
      <c r="F285" s="109" t="s">
        <v>113</v>
      </c>
      <c r="G285" s="33"/>
      <c r="H285" s="104"/>
    </row>
    <row r="286" spans="1:8" s="81" customFormat="1" ht="15" customHeight="1">
      <c r="A286" s="161"/>
      <c r="B286" s="151" t="s">
        <v>114</v>
      </c>
      <c r="C286" s="113"/>
      <c r="D286" s="146">
        <f>(1792*0.8*0.085*1.02)/1000</f>
        <v>0.12429312000000003</v>
      </c>
      <c r="E286" s="48">
        <f>E284*D286</f>
        <v>6.5738631168000019</v>
      </c>
      <c r="F286" s="109" t="s">
        <v>113</v>
      </c>
      <c r="G286" s="33"/>
      <c r="H286" s="104"/>
    </row>
    <row r="287" spans="1:8" s="82" customFormat="1" ht="15" customHeight="1">
      <c r="A287" s="161"/>
      <c r="B287" s="151" t="s">
        <v>115</v>
      </c>
      <c r="C287" s="113"/>
      <c r="D287" s="146">
        <f>(1792*0.2*0.085*1.02)/1000</f>
        <v>3.1073280000000009E-2</v>
      </c>
      <c r="E287" s="48">
        <f>E284*D287</f>
        <v>1.6434657792000005</v>
      </c>
      <c r="F287" s="109" t="s">
        <v>113</v>
      </c>
      <c r="G287" s="33"/>
      <c r="H287" s="104"/>
    </row>
    <row r="288" spans="1:8" s="82" customFormat="1" ht="15" customHeight="1">
      <c r="A288" s="161"/>
      <c r="B288" s="151" t="s">
        <v>116</v>
      </c>
      <c r="C288" s="113"/>
      <c r="D288" s="146">
        <v>1.1000000000000001</v>
      </c>
      <c r="E288" s="48">
        <f>E284*D288</f>
        <v>58.179000000000002</v>
      </c>
      <c r="F288" s="109" t="s">
        <v>70</v>
      </c>
      <c r="G288" s="33"/>
      <c r="H288" s="104"/>
    </row>
    <row r="289" spans="1:8" s="81" customFormat="1" ht="15" customHeight="1">
      <c r="A289" s="161"/>
      <c r="B289" s="151" t="s">
        <v>117</v>
      </c>
      <c r="C289" s="113"/>
      <c r="D289" s="146">
        <f>0.21/1000</f>
        <v>2.0999999999999998E-4</v>
      </c>
      <c r="E289" s="48">
        <f>E284*D289</f>
        <v>1.1106899999999999E-2</v>
      </c>
      <c r="F289" s="109" t="s">
        <v>113</v>
      </c>
      <c r="G289" s="33"/>
      <c r="H289" s="104"/>
    </row>
    <row r="290" spans="1:8" s="82" customFormat="1" ht="15" customHeight="1">
      <c r="A290" s="161"/>
      <c r="B290" s="151" t="s">
        <v>118</v>
      </c>
      <c r="C290" s="113"/>
      <c r="D290" s="146">
        <v>4</v>
      </c>
      <c r="E290" s="48">
        <f>E284*D290</f>
        <v>211.56</v>
      </c>
      <c r="F290" s="109" t="s">
        <v>88</v>
      </c>
      <c r="G290" s="33"/>
      <c r="H290" s="104"/>
    </row>
    <row r="291" spans="1:8" s="81" customFormat="1" ht="15" customHeight="1">
      <c r="A291" s="161"/>
      <c r="B291" s="151" t="s">
        <v>119</v>
      </c>
      <c r="C291" s="113"/>
      <c r="D291" s="146"/>
      <c r="E291" s="48">
        <f>E284</f>
        <v>52.89</v>
      </c>
      <c r="F291" s="109" t="s">
        <v>90</v>
      </c>
      <c r="G291" s="33"/>
      <c r="H291" s="104"/>
    </row>
    <row r="292" spans="1:8" s="82" customFormat="1" ht="15" customHeight="1">
      <c r="A292" s="166">
        <f>A284+1</f>
        <v>28</v>
      </c>
      <c r="B292" s="99" t="s">
        <v>123</v>
      </c>
      <c r="C292" s="71" t="s">
        <v>58</v>
      </c>
      <c r="D292" s="146"/>
      <c r="E292" s="139">
        <f>E275</f>
        <v>52.89</v>
      </c>
      <c r="F292" s="71" t="s">
        <v>59</v>
      </c>
      <c r="G292" s="33">
        <v>40</v>
      </c>
      <c r="H292" s="104">
        <f>E292*G292</f>
        <v>2115.6</v>
      </c>
    </row>
    <row r="293" spans="1:8" s="82" customFormat="1" ht="15" customHeight="1">
      <c r="A293" s="161"/>
      <c r="B293" s="151" t="s">
        <v>124</v>
      </c>
      <c r="C293" s="113"/>
      <c r="D293" s="146">
        <v>1.1000000000000001</v>
      </c>
      <c r="E293" s="48">
        <f>E292*D293</f>
        <v>58.179000000000002</v>
      </c>
      <c r="F293" s="109" t="s">
        <v>70</v>
      </c>
      <c r="G293" s="33"/>
      <c r="H293" s="104"/>
    </row>
    <row r="294" spans="1:8" s="81" customFormat="1" ht="15" customHeight="1">
      <c r="A294" s="161"/>
      <c r="B294" s="151" t="s">
        <v>125</v>
      </c>
      <c r="C294" s="113"/>
      <c r="D294" s="146"/>
      <c r="E294" s="48">
        <f>E292*D294</f>
        <v>0</v>
      </c>
      <c r="F294" s="109" t="s">
        <v>90</v>
      </c>
      <c r="G294" s="33"/>
      <c r="H294" s="104"/>
    </row>
    <row r="295" spans="1:8" s="82" customFormat="1" ht="15" customHeight="1">
      <c r="A295" s="166">
        <f>A292+1</f>
        <v>29</v>
      </c>
      <c r="B295" s="99" t="s">
        <v>126</v>
      </c>
      <c r="C295" s="71" t="s">
        <v>58</v>
      </c>
      <c r="D295" s="146"/>
      <c r="E295" s="139">
        <f>E275</f>
        <v>52.89</v>
      </c>
      <c r="F295" s="71" t="s">
        <v>59</v>
      </c>
      <c r="G295" s="33">
        <v>280</v>
      </c>
      <c r="H295" s="104">
        <f>E295*G295</f>
        <v>14809.2</v>
      </c>
    </row>
    <row r="296" spans="1:8" s="82" customFormat="1" ht="15" customHeight="1">
      <c r="A296" s="161"/>
      <c r="B296" s="151" t="s">
        <v>127</v>
      </c>
      <c r="C296" s="113"/>
      <c r="D296" s="146">
        <f>0.3*1.02</f>
        <v>0.30599999999999999</v>
      </c>
      <c r="E296" s="48">
        <f>E295*D296</f>
        <v>16.184339999999999</v>
      </c>
      <c r="F296" s="109" t="s">
        <v>128</v>
      </c>
      <c r="G296" s="33"/>
      <c r="H296" s="104"/>
    </row>
    <row r="297" spans="1:8" s="82" customFormat="1" ht="15" customHeight="1">
      <c r="A297" s="161"/>
      <c r="B297" s="151"/>
      <c r="C297" s="113"/>
      <c r="D297" s="102"/>
      <c r="E297" s="48"/>
      <c r="F297" s="109"/>
      <c r="G297" s="33"/>
      <c r="H297" s="104"/>
    </row>
    <row r="298" spans="1:8" s="82" customFormat="1" ht="15" customHeight="1">
      <c r="A298" s="155"/>
      <c r="B298" s="167" t="s">
        <v>129</v>
      </c>
      <c r="C298" s="119"/>
      <c r="D298" s="121"/>
      <c r="E298" s="120"/>
      <c r="F298" s="120"/>
      <c r="G298" s="33"/>
      <c r="H298" s="104"/>
    </row>
    <row r="299" spans="1:8" s="82" customFormat="1" ht="15" customHeight="1">
      <c r="A299" s="166">
        <f>A295+1</f>
        <v>30</v>
      </c>
      <c r="B299" s="99" t="s">
        <v>109</v>
      </c>
      <c r="C299" s="71" t="s">
        <v>38</v>
      </c>
      <c r="D299" s="146"/>
      <c r="E299" s="139">
        <v>208.22</v>
      </c>
      <c r="F299" s="71" t="s">
        <v>59</v>
      </c>
      <c r="G299" s="33">
        <v>535</v>
      </c>
      <c r="H299" s="104">
        <f>E299*G299</f>
        <v>111397.7</v>
      </c>
    </row>
    <row r="300" spans="1:8" s="82" customFormat="1" ht="15" customHeight="1">
      <c r="A300" s="161"/>
      <c r="B300" s="151" t="s">
        <v>40</v>
      </c>
      <c r="C300" s="113"/>
      <c r="D300" s="146">
        <v>1.1000000000000001</v>
      </c>
      <c r="E300" s="48">
        <f>E299*D300</f>
        <v>229.04200000000003</v>
      </c>
      <c r="F300" s="109" t="s">
        <v>70</v>
      </c>
      <c r="G300" s="33"/>
      <c r="H300" s="104"/>
    </row>
    <row r="301" spans="1:8" s="81" customFormat="1" ht="15" customHeight="1">
      <c r="A301" s="161"/>
      <c r="B301" s="151" t="s">
        <v>63</v>
      </c>
      <c r="C301" s="113"/>
      <c r="D301" s="146">
        <v>0.2</v>
      </c>
      <c r="E301" s="48">
        <f>E299*D301</f>
        <v>41.644000000000005</v>
      </c>
      <c r="F301" s="109" t="s">
        <v>19</v>
      </c>
      <c r="G301" s="33"/>
      <c r="H301" s="104"/>
    </row>
    <row r="302" spans="1:8" s="81" customFormat="1" ht="15" customHeight="1">
      <c r="A302" s="161"/>
      <c r="B302" s="151" t="s">
        <v>103</v>
      </c>
      <c r="C302" s="113"/>
      <c r="D302" s="146">
        <v>7.6</v>
      </c>
      <c r="E302" s="48">
        <f>E299*D302</f>
        <v>1582.472</v>
      </c>
      <c r="F302" s="109" t="s">
        <v>14</v>
      </c>
      <c r="G302" s="33"/>
      <c r="H302" s="104"/>
    </row>
    <row r="303" spans="1:8" s="82" customFormat="1" ht="15" customHeight="1">
      <c r="A303" s="161"/>
      <c r="B303" s="151" t="s">
        <v>104</v>
      </c>
      <c r="C303" s="113"/>
      <c r="D303" s="146">
        <v>11</v>
      </c>
      <c r="E303" s="48">
        <f>E299*D303</f>
        <v>2290.42</v>
      </c>
      <c r="F303" s="109" t="s">
        <v>88</v>
      </c>
      <c r="G303" s="33"/>
      <c r="H303" s="104"/>
    </row>
    <row r="304" spans="1:8" s="81" customFormat="1" ht="15" customHeight="1">
      <c r="A304" s="161"/>
      <c r="B304" s="151" t="s">
        <v>105</v>
      </c>
      <c r="C304" s="113"/>
      <c r="D304" s="146">
        <v>0.4</v>
      </c>
      <c r="E304" s="48">
        <f>E299*D304</f>
        <v>83.288000000000011</v>
      </c>
      <c r="F304" s="109" t="s">
        <v>14</v>
      </c>
      <c r="G304" s="33"/>
      <c r="H304" s="104"/>
    </row>
    <row r="305" spans="1:8" s="82" customFormat="1" ht="25.5" customHeight="1">
      <c r="A305" s="166">
        <f>A299+1</f>
        <v>31</v>
      </c>
      <c r="B305" s="99" t="s">
        <v>130</v>
      </c>
      <c r="C305" s="71" t="s">
        <v>58</v>
      </c>
      <c r="D305" s="146"/>
      <c r="E305" s="139">
        <f>E299</f>
        <v>208.22</v>
      </c>
      <c r="F305" s="71" t="s">
        <v>59</v>
      </c>
      <c r="G305" s="33">
        <v>200</v>
      </c>
      <c r="H305" s="104">
        <f>E305*G305</f>
        <v>41644</v>
      </c>
    </row>
    <row r="306" spans="1:8" s="81" customFormat="1" ht="15" customHeight="1">
      <c r="A306" s="161"/>
      <c r="B306" s="151" t="s">
        <v>112</v>
      </c>
      <c r="C306" s="113"/>
      <c r="D306" s="146">
        <f>(499*0.08*1.02)/1000</f>
        <v>4.0718400000000002E-2</v>
      </c>
      <c r="E306" s="48">
        <f>E305*D306</f>
        <v>8.4783852480000004</v>
      </c>
      <c r="F306" s="109" t="s">
        <v>113</v>
      </c>
      <c r="G306" s="33"/>
      <c r="H306" s="104"/>
    </row>
    <row r="307" spans="1:8" s="81" customFormat="1" ht="15" customHeight="1">
      <c r="A307" s="161"/>
      <c r="B307" s="151" t="s">
        <v>114</v>
      </c>
      <c r="C307" s="113"/>
      <c r="D307" s="146">
        <f>(1792*0.8*0.08*1.02)/1000</f>
        <v>0.11698176000000002</v>
      </c>
      <c r="E307" s="48">
        <f>E305*D307</f>
        <v>24.357942067200003</v>
      </c>
      <c r="F307" s="109" t="s">
        <v>113</v>
      </c>
      <c r="G307" s="33"/>
      <c r="H307" s="104"/>
    </row>
    <row r="308" spans="1:8" s="82" customFormat="1" ht="15" customHeight="1">
      <c r="A308" s="158"/>
      <c r="B308" s="151" t="s">
        <v>115</v>
      </c>
      <c r="C308" s="113"/>
      <c r="D308" s="146">
        <f>(1792*0.2*0.08*1.02)/1000</f>
        <v>2.9245440000000004E-2</v>
      </c>
      <c r="E308" s="48">
        <f>E305*D308</f>
        <v>6.0894855168000008</v>
      </c>
      <c r="F308" s="109" t="s">
        <v>113</v>
      </c>
      <c r="G308" s="33"/>
      <c r="H308" s="104"/>
    </row>
    <row r="309" spans="1:8" s="82" customFormat="1" ht="15" customHeight="1">
      <c r="A309" s="161"/>
      <c r="B309" s="151" t="s">
        <v>116</v>
      </c>
      <c r="C309" s="113"/>
      <c r="D309" s="146">
        <v>1.1000000000000001</v>
      </c>
      <c r="E309" s="48">
        <f>E305*D309</f>
        <v>229.04200000000003</v>
      </c>
      <c r="F309" s="109" t="s">
        <v>70</v>
      </c>
      <c r="G309" s="33"/>
      <c r="H309" s="104"/>
    </row>
    <row r="310" spans="1:8" s="81" customFormat="1" ht="15" customHeight="1">
      <c r="A310" s="161"/>
      <c r="B310" s="151" t="s">
        <v>117</v>
      </c>
      <c r="C310" s="113"/>
      <c r="D310" s="146">
        <f>0.21/1000</f>
        <v>2.0999999999999998E-4</v>
      </c>
      <c r="E310" s="48">
        <f>E305*D310</f>
        <v>4.3726199999999993E-2</v>
      </c>
      <c r="F310" s="109" t="s">
        <v>113</v>
      </c>
      <c r="G310" s="33"/>
      <c r="H310" s="104"/>
    </row>
    <row r="311" spans="1:8" s="82" customFormat="1" ht="15" customHeight="1">
      <c r="A311" s="161"/>
      <c r="B311" s="151" t="s">
        <v>118</v>
      </c>
      <c r="C311" s="113"/>
      <c r="D311" s="146">
        <v>4</v>
      </c>
      <c r="E311" s="48">
        <f>E305*D311</f>
        <v>832.88</v>
      </c>
      <c r="F311" s="109" t="s">
        <v>88</v>
      </c>
      <c r="G311" s="33"/>
      <c r="H311" s="104"/>
    </row>
    <row r="312" spans="1:8" s="81" customFormat="1" ht="15" customHeight="1">
      <c r="A312" s="161"/>
      <c r="B312" s="151" t="s">
        <v>119</v>
      </c>
      <c r="C312" s="113"/>
      <c r="D312" s="146"/>
      <c r="E312" s="48">
        <f>E305</f>
        <v>208.22</v>
      </c>
      <c r="F312" s="109" t="s">
        <v>90</v>
      </c>
      <c r="G312" s="33"/>
      <c r="H312" s="104"/>
    </row>
    <row r="313" spans="1:8" s="82" customFormat="1" ht="25.5" customHeight="1">
      <c r="A313" s="166">
        <f>A305+1</f>
        <v>32</v>
      </c>
      <c r="B313" s="99" t="s">
        <v>131</v>
      </c>
      <c r="C313" s="71" t="s">
        <v>58</v>
      </c>
      <c r="D313" s="146"/>
      <c r="E313" s="139">
        <f>E299</f>
        <v>208.22</v>
      </c>
      <c r="F313" s="71" t="s">
        <v>59</v>
      </c>
      <c r="G313" s="33">
        <v>95</v>
      </c>
      <c r="H313" s="104">
        <f>E313*G313</f>
        <v>19780.900000000001</v>
      </c>
    </row>
    <row r="314" spans="1:8" s="81" customFormat="1" ht="15" customHeight="1">
      <c r="A314" s="161"/>
      <c r="B314" s="151" t="s">
        <v>132</v>
      </c>
      <c r="C314" s="113"/>
      <c r="D314" s="146">
        <v>1.1499999999999999</v>
      </c>
      <c r="E314" s="48">
        <f>E313*D314</f>
        <v>239.45299999999997</v>
      </c>
      <c r="F314" s="109" t="s">
        <v>70</v>
      </c>
      <c r="G314" s="33"/>
      <c r="H314" s="104"/>
    </row>
    <row r="315" spans="1:8" s="82" customFormat="1" ht="15" customHeight="1">
      <c r="A315" s="161"/>
      <c r="B315" s="151" t="s">
        <v>133</v>
      </c>
      <c r="C315" s="113"/>
      <c r="D315" s="146"/>
      <c r="E315" s="48">
        <f>E313</f>
        <v>208.22</v>
      </c>
      <c r="F315" s="109" t="s">
        <v>90</v>
      </c>
      <c r="G315" s="33"/>
      <c r="H315" s="104"/>
    </row>
    <row r="316" spans="1:8" s="82" customFormat="1" ht="15" customHeight="1">
      <c r="A316" s="166">
        <f>A313+1</f>
        <v>33</v>
      </c>
      <c r="B316" s="99" t="s">
        <v>134</v>
      </c>
      <c r="C316" s="71" t="s">
        <v>58</v>
      </c>
      <c r="D316" s="146"/>
      <c r="E316" s="139">
        <f>E299</f>
        <v>208.22</v>
      </c>
      <c r="F316" s="71" t="s">
        <v>59</v>
      </c>
      <c r="G316" s="33">
        <v>120</v>
      </c>
      <c r="H316" s="104">
        <f>E316*G316</f>
        <v>24986.400000000001</v>
      </c>
    </row>
    <row r="317" spans="1:8" s="82" customFormat="1" ht="15" customHeight="1">
      <c r="A317" s="161"/>
      <c r="B317" s="151" t="s">
        <v>135</v>
      </c>
      <c r="C317" s="113"/>
      <c r="D317" s="146">
        <f>1.15</f>
        <v>1.1499999999999999</v>
      </c>
      <c r="E317" s="48">
        <f>E316*D317</f>
        <v>239.45299999999997</v>
      </c>
      <c r="F317" s="109" t="s">
        <v>70</v>
      </c>
      <c r="G317" s="33"/>
      <c r="H317" s="104"/>
    </row>
    <row r="318" spans="1:8" s="81" customFormat="1" ht="15" customHeight="1">
      <c r="A318" s="161"/>
      <c r="B318" s="151" t="s">
        <v>136</v>
      </c>
      <c r="C318" s="113"/>
      <c r="D318" s="146">
        <v>0.3</v>
      </c>
      <c r="E318" s="48">
        <f>E316*D318</f>
        <v>62.465999999999994</v>
      </c>
      <c r="F318" s="109" t="s">
        <v>14</v>
      </c>
      <c r="G318" s="33"/>
      <c r="H318" s="104"/>
    </row>
    <row r="319" spans="1:8" s="82" customFormat="1" ht="15" customHeight="1">
      <c r="A319" s="166"/>
      <c r="B319" s="151" t="s">
        <v>137</v>
      </c>
      <c r="C319" s="113"/>
      <c r="D319" s="102">
        <v>1</v>
      </c>
      <c r="E319" s="48">
        <f>D319*E316</f>
        <v>208.22</v>
      </c>
      <c r="F319" s="109" t="s">
        <v>19</v>
      </c>
      <c r="G319" s="33"/>
      <c r="H319" s="104"/>
    </row>
    <row r="320" spans="1:8" s="82" customFormat="1" ht="15" customHeight="1">
      <c r="A320" s="155"/>
      <c r="B320" s="167" t="s">
        <v>138</v>
      </c>
      <c r="C320" s="119"/>
      <c r="D320" s="121"/>
      <c r="E320" s="120"/>
      <c r="F320" s="120"/>
      <c r="G320" s="33"/>
      <c r="H320" s="104"/>
    </row>
    <row r="321" spans="1:8" s="82" customFormat="1" ht="25.5" customHeight="1">
      <c r="A321" s="166">
        <f>A316+1</f>
        <v>34</v>
      </c>
      <c r="B321" s="99" t="s">
        <v>139</v>
      </c>
      <c r="C321" s="71" t="s">
        <v>38</v>
      </c>
      <c r="D321" s="102"/>
      <c r="E321" s="139">
        <f>911.9+165.87+62.25</f>
        <v>1140.02</v>
      </c>
      <c r="F321" s="71" t="s">
        <v>90</v>
      </c>
      <c r="G321" s="33">
        <v>160</v>
      </c>
      <c r="H321" s="104">
        <f>E321*G321</f>
        <v>182403.20000000001</v>
      </c>
    </row>
    <row r="322" spans="1:8" s="82" customFormat="1" ht="15" customHeight="1">
      <c r="A322" s="161"/>
      <c r="B322" s="151" t="s">
        <v>40</v>
      </c>
      <c r="C322" s="113"/>
      <c r="D322" s="102">
        <f>1.1*0.1</f>
        <v>0.11000000000000001</v>
      </c>
      <c r="E322" s="48">
        <f>E321*D322</f>
        <v>125.40220000000001</v>
      </c>
      <c r="F322" s="109" t="s">
        <v>70</v>
      </c>
      <c r="G322" s="33"/>
      <c r="H322" s="104"/>
    </row>
    <row r="323" spans="1:8" s="81" customFormat="1" ht="15" customHeight="1">
      <c r="A323" s="161"/>
      <c r="B323" s="151" t="s">
        <v>63</v>
      </c>
      <c r="C323" s="113"/>
      <c r="D323" s="102">
        <f>0.15*0.1</f>
        <v>1.4999999999999999E-2</v>
      </c>
      <c r="E323" s="48">
        <f>E321*D323</f>
        <v>17.100300000000001</v>
      </c>
      <c r="F323" s="109" t="s">
        <v>19</v>
      </c>
      <c r="G323" s="33"/>
      <c r="H323" s="104"/>
    </row>
    <row r="324" spans="1:8" s="81" customFormat="1" ht="15" customHeight="1">
      <c r="A324" s="161"/>
      <c r="B324" s="151" t="s">
        <v>103</v>
      </c>
      <c r="C324" s="113"/>
      <c r="D324" s="102">
        <f>7.6*0.1</f>
        <v>0.76</v>
      </c>
      <c r="E324" s="48">
        <f>E321*D324</f>
        <v>866.41520000000003</v>
      </c>
      <c r="F324" s="109" t="s">
        <v>14</v>
      </c>
      <c r="G324" s="33"/>
      <c r="H324" s="104"/>
    </row>
    <row r="325" spans="1:8" s="81" customFormat="1" ht="15" customHeight="1">
      <c r="A325" s="161"/>
      <c r="B325" s="151" t="s">
        <v>105</v>
      </c>
      <c r="C325" s="113"/>
      <c r="D325" s="102">
        <f>0.4*0.1</f>
        <v>4.0000000000000008E-2</v>
      </c>
      <c r="E325" s="48">
        <f>E321*D325</f>
        <v>45.600800000000007</v>
      </c>
      <c r="F325" s="109" t="s">
        <v>14</v>
      </c>
      <c r="G325" s="33"/>
      <c r="H325" s="104"/>
    </row>
    <row r="326" spans="1:8" s="82" customFormat="1" ht="15" customHeight="1">
      <c r="A326" s="168"/>
      <c r="B326" s="114"/>
      <c r="C326" s="115"/>
      <c r="D326" s="153"/>
      <c r="E326" s="154"/>
      <c r="F326" s="114"/>
      <c r="G326" s="33"/>
      <c r="H326" s="104"/>
    </row>
    <row r="327" spans="1:8" s="82" customFormat="1" ht="15" customHeight="1">
      <c r="A327" s="2"/>
      <c r="B327" s="85" t="s">
        <v>140</v>
      </c>
      <c r="C327" s="86"/>
      <c r="D327" s="88"/>
      <c r="E327" s="87"/>
      <c r="F327" s="87"/>
      <c r="G327" s="33"/>
      <c r="H327" s="104"/>
    </row>
    <row r="328" spans="1:8" s="82" customFormat="1" ht="15" customHeight="1">
      <c r="A328" s="42"/>
      <c r="B328" s="23" t="s">
        <v>9</v>
      </c>
      <c r="C328" s="89"/>
      <c r="D328" s="91"/>
      <c r="E328" s="92"/>
      <c r="F328" s="90"/>
      <c r="G328" s="33"/>
      <c r="H328" s="104"/>
    </row>
    <row r="329" spans="1:8" s="82" customFormat="1" ht="25.5" customHeight="1">
      <c r="A329" s="93"/>
      <c r="B329" s="94" t="s">
        <v>141</v>
      </c>
      <c r="C329" s="94"/>
      <c r="D329" s="96"/>
      <c r="E329" s="97"/>
      <c r="F329" s="95"/>
      <c r="G329" s="33"/>
      <c r="H329" s="104"/>
    </row>
    <row r="330" spans="1:8" s="82" customFormat="1" ht="15" customHeight="1">
      <c r="A330" s="98" t="s">
        <v>7</v>
      </c>
      <c r="B330" s="99" t="s">
        <v>57</v>
      </c>
      <c r="C330" s="100" t="s">
        <v>58</v>
      </c>
      <c r="D330" s="102"/>
      <c r="E330" s="103">
        <f>101.93+119.14+49.73</f>
        <v>270.8</v>
      </c>
      <c r="F330" s="101" t="s">
        <v>59</v>
      </c>
      <c r="G330" s="33">
        <v>145</v>
      </c>
      <c r="H330" s="104">
        <f>E330*G330</f>
        <v>39266</v>
      </c>
    </row>
    <row r="331" spans="1:8" s="82" customFormat="1" ht="15" customHeight="1">
      <c r="A331" s="98"/>
      <c r="B331" s="80" t="s">
        <v>60</v>
      </c>
      <c r="C331" s="9"/>
      <c r="D331" s="102">
        <v>0.02</v>
      </c>
      <c r="E331" s="106">
        <f>D331*E330</f>
        <v>5.4160000000000004</v>
      </c>
      <c r="F331" s="105" t="s">
        <v>42</v>
      </c>
      <c r="G331" s="33"/>
      <c r="H331" s="104"/>
    </row>
    <row r="332" spans="1:8" s="82" customFormat="1" ht="15" customHeight="1">
      <c r="A332" s="108">
        <f>A330+1</f>
        <v>2</v>
      </c>
      <c r="B332" s="99" t="s">
        <v>61</v>
      </c>
      <c r="C332" s="71" t="s">
        <v>17</v>
      </c>
      <c r="D332" s="102"/>
      <c r="E332" s="103">
        <f>E330</f>
        <v>270.8</v>
      </c>
      <c r="F332" s="101" t="s">
        <v>59</v>
      </c>
      <c r="G332" s="33">
        <v>160</v>
      </c>
      <c r="H332" s="104">
        <f>E332*G332</f>
        <v>43328</v>
      </c>
    </row>
    <row r="333" spans="1:8" s="81" customFormat="1" ht="25.5" customHeight="1">
      <c r="A333" s="98"/>
      <c r="B333" s="109" t="s">
        <v>62</v>
      </c>
      <c r="C333" s="71"/>
      <c r="D333" s="102">
        <v>0.35</v>
      </c>
      <c r="E333" s="111">
        <f>E332*D333</f>
        <v>94.78</v>
      </c>
      <c r="F333" s="110" t="s">
        <v>19</v>
      </c>
      <c r="G333" s="33"/>
      <c r="H333" s="104"/>
    </row>
    <row r="334" spans="1:8" s="81" customFormat="1" ht="15" customHeight="1">
      <c r="A334" s="98"/>
      <c r="B334" s="112" t="s">
        <v>63</v>
      </c>
      <c r="C334" s="113"/>
      <c r="D334" s="102">
        <v>0.15</v>
      </c>
      <c r="E334" s="111">
        <f>E332*D334</f>
        <v>40.619999999999997</v>
      </c>
      <c r="F334" s="110" t="s">
        <v>19</v>
      </c>
      <c r="G334" s="33"/>
      <c r="H334" s="104"/>
    </row>
    <row r="335" spans="1:8" s="82" customFormat="1" ht="15" customHeight="1">
      <c r="A335" s="93"/>
      <c r="B335" s="114"/>
      <c r="C335" s="115"/>
      <c r="D335" s="117"/>
      <c r="E335" s="118"/>
      <c r="F335" s="116"/>
      <c r="G335" s="33"/>
      <c r="H335" s="104"/>
    </row>
    <row r="336" spans="1:8" s="82" customFormat="1" ht="25.5" customHeight="1">
      <c r="A336" s="93"/>
      <c r="B336" s="94" t="s">
        <v>142</v>
      </c>
      <c r="C336" s="119"/>
      <c r="D336" s="121"/>
      <c r="E336" s="120"/>
      <c r="F336" s="120"/>
      <c r="G336" s="33"/>
      <c r="H336" s="104"/>
    </row>
    <row r="337" spans="1:8" s="82" customFormat="1" ht="15" customHeight="1">
      <c r="A337" s="108">
        <f>A332+1</f>
        <v>3</v>
      </c>
      <c r="B337" s="123" t="s">
        <v>65</v>
      </c>
      <c r="C337" s="9" t="s">
        <v>17</v>
      </c>
      <c r="D337" s="107"/>
      <c r="E337" s="124">
        <f>998+131.9+103.5+34</f>
        <v>1267.4000000000001</v>
      </c>
      <c r="F337" s="9" t="s">
        <v>59</v>
      </c>
      <c r="G337" s="33">
        <v>40</v>
      </c>
      <c r="H337" s="104">
        <f>E337*G337</f>
        <v>50696</v>
      </c>
    </row>
    <row r="338" spans="1:8" s="81" customFormat="1" ht="15" customHeight="1">
      <c r="A338" s="98"/>
      <c r="B338" s="125" t="s">
        <v>66</v>
      </c>
      <c r="C338" s="126"/>
      <c r="D338" s="14">
        <v>0.15</v>
      </c>
      <c r="E338" s="106">
        <f>D338*E337</f>
        <v>190.11</v>
      </c>
      <c r="F338" s="80" t="s">
        <v>14</v>
      </c>
      <c r="G338" s="33"/>
      <c r="H338" s="104"/>
    </row>
    <row r="339" spans="1:8" s="82" customFormat="1" ht="15" customHeight="1">
      <c r="A339" s="108">
        <f>A337+1</f>
        <v>4</v>
      </c>
      <c r="B339" s="127" t="s">
        <v>67</v>
      </c>
      <c r="C339" s="107" t="s">
        <v>58</v>
      </c>
      <c r="D339" s="107"/>
      <c r="E339" s="107">
        <f>E337</f>
        <v>1267.4000000000001</v>
      </c>
      <c r="F339" s="9" t="s">
        <v>59</v>
      </c>
      <c r="G339" s="33">
        <v>160</v>
      </c>
      <c r="H339" s="104">
        <f>E339*G339</f>
        <v>202784</v>
      </c>
    </row>
    <row r="340" spans="1:8" s="81" customFormat="1" ht="15" customHeight="1">
      <c r="A340" s="93"/>
      <c r="B340" s="128" t="s">
        <v>68</v>
      </c>
      <c r="C340" s="12"/>
      <c r="D340" s="14">
        <v>5</v>
      </c>
      <c r="E340" s="38">
        <f>D340*E339</f>
        <v>6337</v>
      </c>
      <c r="F340" s="80" t="s">
        <v>14</v>
      </c>
      <c r="G340" s="33"/>
      <c r="H340" s="104"/>
    </row>
    <row r="341" spans="1:8" s="82" customFormat="1" ht="15" customHeight="1">
      <c r="A341" s="93"/>
      <c r="B341" s="129" t="s">
        <v>69</v>
      </c>
      <c r="C341" s="6"/>
      <c r="D341" s="130">
        <v>1.05</v>
      </c>
      <c r="E341" s="38">
        <f>D341*E339</f>
        <v>1330.7700000000002</v>
      </c>
      <c r="F341" s="129" t="s">
        <v>70</v>
      </c>
      <c r="G341" s="33"/>
      <c r="H341" s="104"/>
    </row>
    <row r="342" spans="1:8" s="82" customFormat="1" ht="25.5" customHeight="1">
      <c r="A342" s="108">
        <f>A339+1</f>
        <v>5</v>
      </c>
      <c r="B342" s="99" t="s">
        <v>71</v>
      </c>
      <c r="C342" s="100" t="s">
        <v>58</v>
      </c>
      <c r="D342" s="100"/>
      <c r="E342" s="131">
        <f>E337</f>
        <v>1267.4000000000001</v>
      </c>
      <c r="F342" s="71" t="s">
        <v>59</v>
      </c>
      <c r="G342" s="33">
        <v>120</v>
      </c>
      <c r="H342" s="104">
        <f>E342*G342</f>
        <v>152088</v>
      </c>
    </row>
    <row r="343" spans="1:8" s="81" customFormat="1" ht="15" customHeight="1">
      <c r="A343" s="93"/>
      <c r="B343" s="109" t="s">
        <v>72</v>
      </c>
      <c r="C343" s="71"/>
      <c r="D343" s="117">
        <v>1.1000000000000001</v>
      </c>
      <c r="E343" s="106">
        <f>D343*E342</f>
        <v>1394.14</v>
      </c>
      <c r="F343" s="109" t="s">
        <v>70</v>
      </c>
      <c r="G343" s="33"/>
      <c r="H343" s="104"/>
    </row>
    <row r="344" spans="1:8" s="82" customFormat="1" ht="15" customHeight="1">
      <c r="A344" s="108">
        <f>A342+1</f>
        <v>6</v>
      </c>
      <c r="B344" s="132" t="s">
        <v>143</v>
      </c>
      <c r="C344" s="9" t="s">
        <v>11</v>
      </c>
      <c r="D344" s="102"/>
      <c r="E344" s="133">
        <f>E342</f>
        <v>1267.4000000000001</v>
      </c>
      <c r="F344" s="7" t="s">
        <v>59</v>
      </c>
      <c r="G344" s="33">
        <v>225</v>
      </c>
      <c r="H344" s="104">
        <f>E344*G344</f>
        <v>285165</v>
      </c>
    </row>
    <row r="345" spans="1:8" s="81" customFormat="1" ht="15" customHeight="1">
      <c r="A345" s="93"/>
      <c r="B345" s="134" t="s">
        <v>74</v>
      </c>
      <c r="C345" s="135"/>
      <c r="D345" s="102">
        <v>13</v>
      </c>
      <c r="E345" s="106">
        <f>D345*E344</f>
        <v>16476.2</v>
      </c>
      <c r="F345" s="105" t="s">
        <v>14</v>
      </c>
      <c r="G345" s="33"/>
      <c r="H345" s="104"/>
    </row>
    <row r="346" spans="1:8" s="82" customFormat="1" ht="15" customHeight="1">
      <c r="A346" s="108">
        <f>A344+1</f>
        <v>7</v>
      </c>
      <c r="B346" s="123" t="s">
        <v>144</v>
      </c>
      <c r="C346" s="9" t="s">
        <v>17</v>
      </c>
      <c r="D346" s="102"/>
      <c r="E346" s="133">
        <f>E344</f>
        <v>1267.4000000000001</v>
      </c>
      <c r="F346" s="7" t="s">
        <v>59</v>
      </c>
      <c r="G346" s="33">
        <v>40</v>
      </c>
      <c r="H346" s="104">
        <f>E346*G346</f>
        <v>50696</v>
      </c>
    </row>
    <row r="347" spans="1:8" s="81" customFormat="1" ht="15" customHeight="1">
      <c r="A347" s="93"/>
      <c r="B347" s="125" t="s">
        <v>76</v>
      </c>
      <c r="C347" s="126"/>
      <c r="D347" s="102">
        <v>0.15</v>
      </c>
      <c r="E347" s="106">
        <f>D347*E346</f>
        <v>190.11</v>
      </c>
      <c r="F347" s="105" t="s">
        <v>14</v>
      </c>
      <c r="G347" s="33"/>
      <c r="H347" s="104"/>
    </row>
    <row r="348" spans="1:8" s="82" customFormat="1" ht="15" customHeight="1">
      <c r="A348" s="108">
        <f>A346+1</f>
        <v>8</v>
      </c>
      <c r="B348" s="136" t="s">
        <v>77</v>
      </c>
      <c r="C348" s="9" t="s">
        <v>17</v>
      </c>
      <c r="D348" s="102"/>
      <c r="E348" s="133">
        <f>E337</f>
        <v>1267.4000000000001</v>
      </c>
      <c r="F348" s="7" t="s">
        <v>59</v>
      </c>
      <c r="G348" s="33">
        <v>200</v>
      </c>
      <c r="H348" s="104">
        <f>E348*G348</f>
        <v>253480.00000000003</v>
      </c>
    </row>
    <row r="349" spans="1:8" s="81" customFormat="1" ht="15" customHeight="1">
      <c r="A349" s="93"/>
      <c r="B349" s="137" t="s">
        <v>78</v>
      </c>
      <c r="C349" s="138"/>
      <c r="D349" s="102">
        <v>4</v>
      </c>
      <c r="E349" s="38">
        <f>D349*E348</f>
        <v>5069.6000000000004</v>
      </c>
      <c r="F349" s="105" t="s">
        <v>14</v>
      </c>
      <c r="G349" s="33"/>
      <c r="H349" s="104"/>
    </row>
    <row r="350" spans="1:8" s="82" customFormat="1" ht="15" customHeight="1">
      <c r="A350" s="93"/>
      <c r="B350" s="125" t="s">
        <v>79</v>
      </c>
      <c r="C350" s="126"/>
      <c r="D350" s="102">
        <v>1.8</v>
      </c>
      <c r="E350" s="38">
        <f>D350*E348</f>
        <v>2281.3200000000002</v>
      </c>
      <c r="F350" s="105" t="s">
        <v>14</v>
      </c>
      <c r="G350" s="33"/>
      <c r="H350" s="104"/>
    </row>
    <row r="351" spans="1:8" s="82" customFormat="1" ht="15" customHeight="1">
      <c r="A351" s="108">
        <f>A348+1</f>
        <v>9</v>
      </c>
      <c r="B351" s="99" t="s">
        <v>61</v>
      </c>
      <c r="C351" s="71" t="s">
        <v>17</v>
      </c>
      <c r="D351" s="102"/>
      <c r="E351" s="139">
        <f>E337</f>
        <v>1267.4000000000001</v>
      </c>
      <c r="F351" s="71" t="s">
        <v>59</v>
      </c>
      <c r="G351" s="33">
        <v>160</v>
      </c>
      <c r="H351" s="104">
        <f>E351*G351</f>
        <v>202784</v>
      </c>
    </row>
    <row r="352" spans="1:8" s="81" customFormat="1" ht="15" customHeight="1">
      <c r="A352" s="93"/>
      <c r="B352" s="112" t="s">
        <v>80</v>
      </c>
      <c r="C352" s="113"/>
      <c r="D352" s="102">
        <v>0.35</v>
      </c>
      <c r="E352" s="106">
        <f>D352*E351</f>
        <v>443.59000000000003</v>
      </c>
      <c r="F352" s="109" t="s">
        <v>19</v>
      </c>
      <c r="G352" s="33"/>
      <c r="H352" s="104"/>
    </row>
    <row r="353" spans="1:8" s="81" customFormat="1" ht="15" customHeight="1">
      <c r="A353" s="140"/>
      <c r="B353" s="141" t="s">
        <v>66</v>
      </c>
      <c r="C353" s="12"/>
      <c r="D353" s="14">
        <v>0.15</v>
      </c>
      <c r="E353" s="106">
        <f>D353*E351</f>
        <v>190.11</v>
      </c>
      <c r="F353" s="80" t="s">
        <v>14</v>
      </c>
      <c r="G353" s="33"/>
      <c r="H353" s="104"/>
    </row>
    <row r="354" spans="1:8" s="82" customFormat="1" ht="15" customHeight="1">
      <c r="A354" s="140"/>
      <c r="B354" s="141"/>
      <c r="C354" s="12"/>
      <c r="D354" s="14"/>
      <c r="E354" s="106"/>
      <c r="F354" s="80"/>
      <c r="G354" s="33"/>
      <c r="H354" s="104"/>
    </row>
    <row r="355" spans="1:8" s="82" customFormat="1" ht="15" customHeight="1">
      <c r="A355" s="22"/>
      <c r="B355" s="23" t="s">
        <v>30</v>
      </c>
      <c r="C355" s="24"/>
      <c r="D355" s="26"/>
      <c r="E355" s="27"/>
      <c r="F355" s="25"/>
      <c r="G355" s="33"/>
      <c r="H355" s="104"/>
    </row>
    <row r="356" spans="1:8" s="82" customFormat="1" ht="15" customHeight="1">
      <c r="A356" s="93"/>
      <c r="B356" s="94" t="s">
        <v>145</v>
      </c>
      <c r="C356" s="119"/>
      <c r="D356" s="121"/>
      <c r="E356" s="120"/>
      <c r="F356" s="120"/>
      <c r="G356" s="33"/>
      <c r="H356" s="104"/>
    </row>
    <row r="357" spans="1:8" s="82" customFormat="1" ht="15" customHeight="1">
      <c r="A357" s="108">
        <f>A351+1</f>
        <v>10</v>
      </c>
      <c r="B357" s="99" t="s">
        <v>84</v>
      </c>
      <c r="C357" s="71" t="s">
        <v>17</v>
      </c>
      <c r="D357" s="146"/>
      <c r="E357" s="139">
        <f>354.7</f>
        <v>354.7</v>
      </c>
      <c r="F357" s="71" t="s">
        <v>59</v>
      </c>
      <c r="G357" s="33">
        <v>200</v>
      </c>
      <c r="H357" s="104">
        <f>E357*G357</f>
        <v>70940</v>
      </c>
    </row>
    <row r="358" spans="1:8" s="81" customFormat="1" ht="15" customHeight="1">
      <c r="A358" s="142"/>
      <c r="B358" s="112" t="s">
        <v>85</v>
      </c>
      <c r="C358" s="113"/>
      <c r="D358" s="146">
        <v>1.8</v>
      </c>
      <c r="E358" s="106">
        <f>D358*E357</f>
        <v>638.46</v>
      </c>
      <c r="F358" s="109" t="s">
        <v>14</v>
      </c>
      <c r="G358" s="33"/>
      <c r="H358" s="104"/>
    </row>
    <row r="359" spans="1:8" s="81" customFormat="1" ht="15" customHeight="1">
      <c r="A359" s="142"/>
      <c r="B359" s="112" t="s">
        <v>86</v>
      </c>
      <c r="C359" s="113"/>
      <c r="D359" s="146">
        <v>1.8</v>
      </c>
      <c r="E359" s="106">
        <f>D359*E357</f>
        <v>638.46</v>
      </c>
      <c r="F359" s="109" t="s">
        <v>14</v>
      </c>
      <c r="G359" s="33"/>
      <c r="H359" s="104"/>
    </row>
    <row r="360" spans="1:8" s="81" customFormat="1" ht="15" customHeight="1">
      <c r="A360" s="142"/>
      <c r="B360" s="112" t="s">
        <v>63</v>
      </c>
      <c r="C360" s="113"/>
      <c r="D360" s="146">
        <v>0.15</v>
      </c>
      <c r="E360" s="106">
        <f>D360*E357</f>
        <v>53.204999999999998</v>
      </c>
      <c r="F360" s="109" t="s">
        <v>19</v>
      </c>
      <c r="G360" s="33"/>
      <c r="H360" s="104"/>
    </row>
    <row r="361" spans="1:8" s="81" customFormat="1" ht="15" customHeight="1">
      <c r="A361" s="142"/>
      <c r="B361" s="112" t="s">
        <v>87</v>
      </c>
      <c r="C361" s="113"/>
      <c r="D361" s="146">
        <v>0.1</v>
      </c>
      <c r="E361" s="106">
        <f>D361*E357</f>
        <v>35.47</v>
      </c>
      <c r="F361" s="109" t="s">
        <v>88</v>
      </c>
      <c r="G361" s="33"/>
      <c r="H361" s="104"/>
    </row>
    <row r="362" spans="1:8" s="81" customFormat="1" ht="15" customHeight="1">
      <c r="A362" s="142"/>
      <c r="B362" s="112" t="s">
        <v>89</v>
      </c>
      <c r="C362" s="113"/>
      <c r="D362" s="146">
        <v>1.1000000000000001</v>
      </c>
      <c r="E362" s="106">
        <f>D362*E357</f>
        <v>390.17</v>
      </c>
      <c r="F362" s="109" t="s">
        <v>90</v>
      </c>
      <c r="G362" s="33"/>
      <c r="H362" s="104"/>
    </row>
    <row r="363" spans="1:8" s="82" customFormat="1" ht="15" customHeight="1">
      <c r="A363" s="147">
        <f>A357+1</f>
        <v>11</v>
      </c>
      <c r="B363" s="99" t="s">
        <v>91</v>
      </c>
      <c r="C363" s="71" t="s">
        <v>17</v>
      </c>
      <c r="D363" s="146"/>
      <c r="E363" s="139">
        <f>E357</f>
        <v>354.7</v>
      </c>
      <c r="F363" s="71" t="s">
        <v>59</v>
      </c>
      <c r="G363" s="33">
        <v>160</v>
      </c>
      <c r="H363" s="104">
        <f>E363*G363</f>
        <v>56752</v>
      </c>
    </row>
    <row r="364" spans="1:8" s="81" customFormat="1" ht="25.5" customHeight="1">
      <c r="A364" s="142"/>
      <c r="B364" s="148" t="s">
        <v>92</v>
      </c>
      <c r="C364" s="149"/>
      <c r="D364" s="150">
        <v>0.35</v>
      </c>
      <c r="E364" s="106">
        <f>D364*E363</f>
        <v>124.14499999999998</v>
      </c>
      <c r="F364" s="109" t="s">
        <v>19</v>
      </c>
      <c r="G364" s="33"/>
      <c r="H364" s="104"/>
    </row>
    <row r="365" spans="1:8" s="81" customFormat="1" ht="15" customHeight="1">
      <c r="A365" s="142"/>
      <c r="B365" s="151" t="s">
        <v>63</v>
      </c>
      <c r="C365" s="113"/>
      <c r="D365" s="146">
        <v>0.15</v>
      </c>
      <c r="E365" s="106">
        <f>D365*E363</f>
        <v>53.204999999999998</v>
      </c>
      <c r="F365" s="109" t="s">
        <v>19</v>
      </c>
      <c r="G365" s="33"/>
      <c r="H365" s="104"/>
    </row>
    <row r="366" spans="1:8" s="82" customFormat="1" ht="15" customHeight="1">
      <c r="A366" s="152"/>
      <c r="B366" s="114"/>
      <c r="C366" s="115"/>
      <c r="D366" s="153"/>
      <c r="E366" s="154"/>
      <c r="F366" s="114"/>
      <c r="G366" s="33"/>
      <c r="H366" s="104"/>
    </row>
    <row r="367" spans="1:8" s="82" customFormat="1" ht="15" customHeight="1">
      <c r="A367" s="93"/>
      <c r="B367" s="94" t="s">
        <v>146</v>
      </c>
      <c r="C367" s="94"/>
      <c r="D367" s="96"/>
      <c r="E367" s="97"/>
      <c r="F367" s="95"/>
      <c r="G367" s="33"/>
      <c r="H367" s="104"/>
    </row>
    <row r="368" spans="1:8" s="82" customFormat="1" ht="15" customHeight="1">
      <c r="A368" s="122">
        <f>A363+1</f>
        <v>12</v>
      </c>
      <c r="B368" s="99" t="s">
        <v>57</v>
      </c>
      <c r="C368" s="100" t="s">
        <v>58</v>
      </c>
      <c r="D368" s="102"/>
      <c r="E368" s="103">
        <f>124.2+350.09</f>
        <v>474.28999999999996</v>
      </c>
      <c r="F368" s="101" t="s">
        <v>59</v>
      </c>
      <c r="G368" s="33">
        <v>145</v>
      </c>
      <c r="H368" s="104">
        <f>E368*G368</f>
        <v>68772.049999999988</v>
      </c>
    </row>
    <row r="369" spans="1:8" s="82" customFormat="1" ht="15" customHeight="1">
      <c r="A369" s="98"/>
      <c r="B369" s="80" t="s">
        <v>60</v>
      </c>
      <c r="C369" s="9"/>
      <c r="D369" s="102">
        <v>0.02</v>
      </c>
      <c r="E369" s="106">
        <f>D369*E368</f>
        <v>9.4857999999999993</v>
      </c>
      <c r="F369" s="105" t="s">
        <v>42</v>
      </c>
      <c r="G369" s="33"/>
      <c r="H369" s="104"/>
    </row>
    <row r="370" spans="1:8" s="82" customFormat="1" ht="15" customHeight="1">
      <c r="A370" s="108">
        <f>A368+1</f>
        <v>13</v>
      </c>
      <c r="B370" s="99" t="s">
        <v>61</v>
      </c>
      <c r="C370" s="71" t="s">
        <v>17</v>
      </c>
      <c r="D370" s="102"/>
      <c r="E370" s="103">
        <f>E368</f>
        <v>474.28999999999996</v>
      </c>
      <c r="F370" s="101" t="s">
        <v>59</v>
      </c>
      <c r="G370" s="33">
        <v>160</v>
      </c>
      <c r="H370" s="104">
        <f>E370*G370</f>
        <v>75886.399999999994</v>
      </c>
    </row>
    <row r="371" spans="1:8" s="81" customFormat="1" ht="25.5" customHeight="1">
      <c r="A371" s="98"/>
      <c r="B371" s="109" t="s">
        <v>62</v>
      </c>
      <c r="C371" s="71"/>
      <c r="D371" s="102">
        <v>0.35</v>
      </c>
      <c r="E371" s="111">
        <f>E370*D371</f>
        <v>166.00149999999996</v>
      </c>
      <c r="F371" s="110" t="s">
        <v>19</v>
      </c>
      <c r="G371" s="33"/>
      <c r="H371" s="104"/>
    </row>
    <row r="372" spans="1:8" s="81" customFormat="1" ht="15" customHeight="1">
      <c r="A372" s="98"/>
      <c r="B372" s="112" t="s">
        <v>63</v>
      </c>
      <c r="C372" s="113"/>
      <c r="D372" s="102">
        <v>0.15</v>
      </c>
      <c r="E372" s="111">
        <f>E370*D372</f>
        <v>71.143499999999989</v>
      </c>
      <c r="F372" s="110" t="s">
        <v>19</v>
      </c>
      <c r="G372" s="33"/>
      <c r="H372" s="104"/>
    </row>
    <row r="373" spans="1:8" s="82" customFormat="1" ht="15" customHeight="1">
      <c r="A373" s="93"/>
      <c r="B373" s="114"/>
      <c r="C373" s="115"/>
      <c r="D373" s="117"/>
      <c r="E373" s="118"/>
      <c r="F373" s="116"/>
      <c r="G373" s="33"/>
      <c r="H373" s="104"/>
    </row>
    <row r="374" spans="1:8" s="82" customFormat="1" ht="15" customHeight="1">
      <c r="A374" s="155"/>
      <c r="B374" s="94" t="s">
        <v>94</v>
      </c>
      <c r="C374" s="94"/>
      <c r="D374" s="156"/>
      <c r="E374" s="97"/>
      <c r="F374" s="95"/>
      <c r="G374" s="33"/>
      <c r="H374" s="104"/>
    </row>
    <row r="375" spans="1:8" s="82" customFormat="1" ht="15" customHeight="1">
      <c r="A375" s="108">
        <f>A370+1</f>
        <v>14</v>
      </c>
      <c r="B375" s="99" t="s">
        <v>95</v>
      </c>
      <c r="C375" s="71" t="s">
        <v>11</v>
      </c>
      <c r="D375" s="146"/>
      <c r="E375" s="139">
        <v>180.38</v>
      </c>
      <c r="F375" s="71" t="s">
        <v>59</v>
      </c>
      <c r="G375" s="33">
        <v>200</v>
      </c>
      <c r="H375" s="104">
        <f>E375*G375</f>
        <v>36076</v>
      </c>
    </row>
    <row r="376" spans="1:8" s="81" customFormat="1" ht="15" customHeight="1">
      <c r="A376" s="98"/>
      <c r="B376" s="148" t="s">
        <v>96</v>
      </c>
      <c r="C376" s="149"/>
      <c r="D376" s="146">
        <v>0.4</v>
      </c>
      <c r="E376" s="48">
        <f>E375*D376</f>
        <v>72.152000000000001</v>
      </c>
      <c r="F376" s="109" t="s">
        <v>88</v>
      </c>
      <c r="G376" s="33"/>
      <c r="H376" s="104"/>
    </row>
    <row r="377" spans="1:8" s="81" customFormat="1" ht="15" customHeight="1">
      <c r="A377" s="158"/>
      <c r="B377" s="148" t="s">
        <v>97</v>
      </c>
      <c r="C377" s="149"/>
      <c r="D377" s="146">
        <v>0.4</v>
      </c>
      <c r="E377" s="48">
        <f>E375*D377</f>
        <v>72.152000000000001</v>
      </c>
      <c r="F377" s="109" t="s">
        <v>88</v>
      </c>
      <c r="G377" s="33"/>
      <c r="H377" s="104"/>
    </row>
    <row r="378" spans="1:8" s="81" customFormat="1" ht="15" customHeight="1">
      <c r="A378" s="142"/>
      <c r="B378" s="148" t="s">
        <v>98</v>
      </c>
      <c r="C378" s="149"/>
      <c r="D378" s="146">
        <v>25</v>
      </c>
      <c r="E378" s="48">
        <f>E375*D378</f>
        <v>4509.5</v>
      </c>
      <c r="F378" s="109" t="s">
        <v>14</v>
      </c>
      <c r="G378" s="33"/>
      <c r="H378" s="104"/>
    </row>
    <row r="379" spans="1:8" s="81" customFormat="1" ht="15" customHeight="1">
      <c r="A379" s="142"/>
      <c r="B379" s="148" t="s">
        <v>99</v>
      </c>
      <c r="C379" s="149"/>
      <c r="D379" s="146">
        <v>0.3</v>
      </c>
      <c r="E379" s="48">
        <f>E375*D379</f>
        <v>54.113999999999997</v>
      </c>
      <c r="F379" s="109" t="s">
        <v>14</v>
      </c>
      <c r="G379" s="33"/>
      <c r="H379" s="104"/>
    </row>
    <row r="380" spans="1:8" s="81" customFormat="1" ht="15" customHeight="1">
      <c r="A380" s="142"/>
      <c r="B380" s="148" t="s">
        <v>100</v>
      </c>
      <c r="C380" s="149"/>
      <c r="D380" s="146">
        <v>0.1</v>
      </c>
      <c r="E380" s="48">
        <f>E375*D380</f>
        <v>18.038</v>
      </c>
      <c r="F380" s="109" t="s">
        <v>70</v>
      </c>
      <c r="G380" s="33"/>
      <c r="H380" s="104"/>
    </row>
    <row r="381" spans="1:8" s="82" customFormat="1" ht="15" customHeight="1">
      <c r="A381" s="122">
        <f>A375+1</f>
        <v>15</v>
      </c>
      <c r="B381" s="99" t="s">
        <v>101</v>
      </c>
      <c r="C381" s="71" t="s">
        <v>38</v>
      </c>
      <c r="D381" s="159"/>
      <c r="E381" s="139">
        <f>E375</f>
        <v>180.38</v>
      </c>
      <c r="F381" s="71" t="s">
        <v>59</v>
      </c>
      <c r="G381" s="33">
        <v>800</v>
      </c>
      <c r="H381" s="104">
        <f>E381*G381</f>
        <v>144304</v>
      </c>
    </row>
    <row r="382" spans="1:8" s="82" customFormat="1" ht="15" customHeight="1">
      <c r="A382" s="142"/>
      <c r="B382" s="151" t="s">
        <v>102</v>
      </c>
      <c r="C382" s="113"/>
      <c r="D382" s="159">
        <v>1.1000000000000001</v>
      </c>
      <c r="E382" s="48">
        <f>E381*D382</f>
        <v>198.41800000000001</v>
      </c>
      <c r="F382" s="109" t="s">
        <v>70</v>
      </c>
      <c r="G382" s="33"/>
      <c r="H382" s="104"/>
    </row>
    <row r="383" spans="1:8" s="81" customFormat="1" ht="15" customHeight="1">
      <c r="A383" s="142"/>
      <c r="B383" s="151" t="s">
        <v>63</v>
      </c>
      <c r="C383" s="113"/>
      <c r="D383" s="159">
        <v>0.15</v>
      </c>
      <c r="E383" s="48">
        <f>E381*D383</f>
        <v>27.056999999999999</v>
      </c>
      <c r="F383" s="109" t="s">
        <v>19</v>
      </c>
      <c r="G383" s="33"/>
      <c r="H383" s="104"/>
    </row>
    <row r="384" spans="1:8" s="81" customFormat="1" ht="15" customHeight="1">
      <c r="A384" s="142"/>
      <c r="B384" s="151" t="s">
        <v>103</v>
      </c>
      <c r="C384" s="113"/>
      <c r="D384" s="159">
        <v>7.6</v>
      </c>
      <c r="E384" s="48">
        <f>E381*D384</f>
        <v>1370.8879999999999</v>
      </c>
      <c r="F384" s="109" t="s">
        <v>14</v>
      </c>
      <c r="G384" s="33"/>
      <c r="H384" s="104"/>
    </row>
    <row r="385" spans="1:8" s="82" customFormat="1" ht="15" customHeight="1">
      <c r="A385" s="142"/>
      <c r="B385" s="151" t="s">
        <v>104</v>
      </c>
      <c r="C385" s="113"/>
      <c r="D385" s="159">
        <v>11</v>
      </c>
      <c r="E385" s="48">
        <f>E381*D385</f>
        <v>1984.1799999999998</v>
      </c>
      <c r="F385" s="109" t="s">
        <v>88</v>
      </c>
      <c r="G385" s="33"/>
      <c r="H385" s="104"/>
    </row>
    <row r="386" spans="1:8" s="81" customFormat="1" ht="15" customHeight="1">
      <c r="A386" s="142"/>
      <c r="B386" s="151" t="s">
        <v>105</v>
      </c>
      <c r="C386" s="113"/>
      <c r="D386" s="159">
        <v>0.4</v>
      </c>
      <c r="E386" s="48">
        <f>E381*D386</f>
        <v>72.152000000000001</v>
      </c>
      <c r="F386" s="109" t="s">
        <v>14</v>
      </c>
      <c r="G386" s="33"/>
      <c r="H386" s="104"/>
    </row>
    <row r="387" spans="1:8" s="82" customFormat="1" ht="15" customHeight="1">
      <c r="A387" s="152"/>
      <c r="B387" s="114"/>
      <c r="C387" s="115"/>
      <c r="D387" s="153"/>
      <c r="E387" s="154"/>
      <c r="F387" s="114"/>
      <c r="G387" s="33"/>
      <c r="H387" s="104"/>
    </row>
    <row r="388" spans="1:8" s="82" customFormat="1" ht="15" customHeight="1">
      <c r="A388" s="155"/>
      <c r="B388" s="94" t="s">
        <v>147</v>
      </c>
      <c r="C388" s="94"/>
      <c r="D388" s="156"/>
      <c r="E388" s="97"/>
      <c r="F388" s="95"/>
      <c r="G388" s="33"/>
      <c r="H388" s="104"/>
    </row>
    <row r="389" spans="1:8" s="82" customFormat="1" ht="15" customHeight="1">
      <c r="A389" s="122">
        <f>A381+1</f>
        <v>16</v>
      </c>
      <c r="B389" s="99" t="s">
        <v>84</v>
      </c>
      <c r="C389" s="71" t="s">
        <v>17</v>
      </c>
      <c r="D389" s="159"/>
      <c r="E389" s="139">
        <f>87.14+300+330.1</f>
        <v>717.24</v>
      </c>
      <c r="F389" s="71" t="s">
        <v>59</v>
      </c>
      <c r="G389" s="33">
        <v>200</v>
      </c>
      <c r="H389" s="104">
        <f>E389*G389</f>
        <v>143448</v>
      </c>
    </row>
    <row r="390" spans="1:8" s="81" customFormat="1" ht="15" customHeight="1">
      <c r="A390" s="142"/>
      <c r="B390" s="112" t="s">
        <v>85</v>
      </c>
      <c r="C390" s="113"/>
      <c r="D390" s="159">
        <v>1.8</v>
      </c>
      <c r="E390" s="106">
        <f>D390*E389</f>
        <v>1291.0320000000002</v>
      </c>
      <c r="F390" s="109" t="s">
        <v>14</v>
      </c>
      <c r="G390" s="33"/>
      <c r="H390" s="104"/>
    </row>
    <row r="391" spans="1:8" s="81" customFormat="1" ht="15" customHeight="1">
      <c r="A391" s="142"/>
      <c r="B391" s="112" t="s">
        <v>86</v>
      </c>
      <c r="C391" s="113"/>
      <c r="D391" s="159">
        <v>1.8</v>
      </c>
      <c r="E391" s="106">
        <f>D391*E389</f>
        <v>1291.0320000000002</v>
      </c>
      <c r="F391" s="109" t="s">
        <v>14</v>
      </c>
      <c r="G391" s="33"/>
      <c r="H391" s="104"/>
    </row>
    <row r="392" spans="1:8" s="81" customFormat="1" ht="15" customHeight="1">
      <c r="A392" s="142"/>
      <c r="B392" s="112" t="s">
        <v>63</v>
      </c>
      <c r="C392" s="113"/>
      <c r="D392" s="159">
        <v>0.15</v>
      </c>
      <c r="E392" s="106">
        <f>D392*E389</f>
        <v>107.586</v>
      </c>
      <c r="F392" s="109" t="s">
        <v>19</v>
      </c>
      <c r="G392" s="33"/>
      <c r="H392" s="104"/>
    </row>
    <row r="393" spans="1:8" s="81" customFormat="1" ht="15" customHeight="1">
      <c r="A393" s="142"/>
      <c r="B393" s="112" t="s">
        <v>87</v>
      </c>
      <c r="C393" s="113"/>
      <c r="D393" s="159">
        <v>0.1</v>
      </c>
      <c r="E393" s="106">
        <f>D393*E389</f>
        <v>71.724000000000004</v>
      </c>
      <c r="F393" s="109" t="s">
        <v>88</v>
      </c>
      <c r="G393" s="33"/>
      <c r="H393" s="104"/>
    </row>
    <row r="394" spans="1:8" s="81" customFormat="1" ht="15" customHeight="1">
      <c r="A394" s="142"/>
      <c r="B394" s="112" t="s">
        <v>89</v>
      </c>
      <c r="C394" s="113"/>
      <c r="D394" s="159">
        <v>1.1000000000000001</v>
      </c>
      <c r="E394" s="106">
        <f>D394*E389</f>
        <v>788.96400000000006</v>
      </c>
      <c r="F394" s="109" t="s">
        <v>90</v>
      </c>
      <c r="G394" s="33"/>
      <c r="H394" s="104"/>
    </row>
    <row r="395" spans="1:8" s="82" customFormat="1" ht="15" customHeight="1">
      <c r="A395" s="147">
        <f>A389+1</f>
        <v>17</v>
      </c>
      <c r="B395" s="99" t="s">
        <v>91</v>
      </c>
      <c r="C395" s="71" t="s">
        <v>17</v>
      </c>
      <c r="D395" s="159"/>
      <c r="E395" s="139">
        <f>E389</f>
        <v>717.24</v>
      </c>
      <c r="F395" s="71" t="s">
        <v>59</v>
      </c>
      <c r="G395" s="33">
        <v>160</v>
      </c>
      <c r="H395" s="104">
        <f>E395*G395</f>
        <v>114758.39999999999</v>
      </c>
    </row>
    <row r="396" spans="1:8" s="81" customFormat="1" ht="25.5" customHeight="1">
      <c r="A396" s="142"/>
      <c r="B396" s="148" t="s">
        <v>92</v>
      </c>
      <c r="C396" s="149"/>
      <c r="D396" s="102">
        <v>0.35</v>
      </c>
      <c r="E396" s="106">
        <f>D396*E395</f>
        <v>251.03399999999999</v>
      </c>
      <c r="F396" s="109" t="s">
        <v>19</v>
      </c>
      <c r="G396" s="33"/>
      <c r="H396" s="104"/>
    </row>
    <row r="397" spans="1:8" s="81" customFormat="1" ht="15" customHeight="1">
      <c r="A397" s="142"/>
      <c r="B397" s="151" t="s">
        <v>63</v>
      </c>
      <c r="C397" s="113"/>
      <c r="D397" s="159">
        <v>0.15</v>
      </c>
      <c r="E397" s="106">
        <f>D397*E395</f>
        <v>107.586</v>
      </c>
      <c r="F397" s="109" t="s">
        <v>19</v>
      </c>
      <c r="G397" s="33"/>
      <c r="H397" s="104"/>
    </row>
    <row r="398" spans="1:8" s="82" customFormat="1" ht="15" customHeight="1">
      <c r="A398" s="140"/>
      <c r="B398" s="80"/>
      <c r="C398" s="9"/>
      <c r="D398" s="14"/>
      <c r="E398" s="38"/>
      <c r="F398" s="80"/>
      <c r="G398" s="33"/>
      <c r="H398" s="104"/>
    </row>
    <row r="399" spans="1:8" s="82" customFormat="1" ht="15" customHeight="1">
      <c r="A399" s="22"/>
      <c r="B399" s="23" t="s">
        <v>107</v>
      </c>
      <c r="C399" s="24"/>
      <c r="D399" s="26"/>
      <c r="E399" s="27"/>
      <c r="F399" s="25"/>
      <c r="G399" s="33"/>
      <c r="H399" s="104"/>
    </row>
    <row r="400" spans="1:8" s="82" customFormat="1" ht="15" customHeight="1">
      <c r="A400" s="155"/>
      <c r="B400" s="94" t="s">
        <v>148</v>
      </c>
      <c r="C400" s="169"/>
      <c r="D400" s="171"/>
      <c r="E400" s="170"/>
      <c r="F400" s="170"/>
      <c r="G400" s="33"/>
      <c r="H400" s="104"/>
    </row>
    <row r="401" spans="1:8" s="82" customFormat="1" ht="15" customHeight="1">
      <c r="A401" s="147">
        <f>A395+1</f>
        <v>18</v>
      </c>
      <c r="B401" s="99" t="s">
        <v>109</v>
      </c>
      <c r="C401" s="71" t="s">
        <v>38</v>
      </c>
      <c r="D401" s="102"/>
      <c r="E401" s="139">
        <f>117.03+5.12</f>
        <v>122.15</v>
      </c>
      <c r="F401" s="71" t="s">
        <v>59</v>
      </c>
      <c r="G401" s="33">
        <v>535</v>
      </c>
      <c r="H401" s="104">
        <f>E401*G401</f>
        <v>65350.25</v>
      </c>
    </row>
    <row r="402" spans="1:8" s="82" customFormat="1" ht="15" customHeight="1">
      <c r="A402" s="161"/>
      <c r="B402" s="151" t="s">
        <v>40</v>
      </c>
      <c r="C402" s="113"/>
      <c r="D402" s="102">
        <v>1.1000000000000001</v>
      </c>
      <c r="E402" s="48">
        <f>(E401-49.55)*D402</f>
        <v>79.860000000000014</v>
      </c>
      <c r="F402" s="109" t="s">
        <v>70</v>
      </c>
      <c r="G402" s="33"/>
      <c r="H402" s="104"/>
    </row>
    <row r="403" spans="1:8" s="82" customFormat="1" ht="15" customHeight="1">
      <c r="A403" s="161"/>
      <c r="B403" s="151" t="s">
        <v>102</v>
      </c>
      <c r="C403" s="113"/>
      <c r="D403" s="159">
        <v>1.1000000000000001</v>
      </c>
      <c r="E403" s="48">
        <f>49.55*D403</f>
        <v>54.505000000000003</v>
      </c>
      <c r="F403" s="109" t="s">
        <v>70</v>
      </c>
      <c r="G403" s="33"/>
      <c r="H403" s="104"/>
    </row>
    <row r="404" spans="1:8" s="81" customFormat="1" ht="15" customHeight="1">
      <c r="A404" s="161"/>
      <c r="B404" s="151" t="s">
        <v>63</v>
      </c>
      <c r="C404" s="113"/>
      <c r="D404" s="102">
        <v>0.15</v>
      </c>
      <c r="E404" s="48">
        <f>E401*D404</f>
        <v>18.322500000000002</v>
      </c>
      <c r="F404" s="109" t="s">
        <v>19</v>
      </c>
      <c r="G404" s="33"/>
      <c r="H404" s="104"/>
    </row>
    <row r="405" spans="1:8" s="81" customFormat="1" ht="15" customHeight="1">
      <c r="A405" s="161"/>
      <c r="B405" s="151" t="s">
        <v>103</v>
      </c>
      <c r="C405" s="113"/>
      <c r="D405" s="102">
        <v>7.6</v>
      </c>
      <c r="E405" s="48">
        <f>E401*D405</f>
        <v>928.34</v>
      </c>
      <c r="F405" s="109" t="s">
        <v>14</v>
      </c>
      <c r="G405" s="33"/>
      <c r="H405" s="104"/>
    </row>
    <row r="406" spans="1:8" s="82" customFormat="1" ht="15" customHeight="1">
      <c r="A406" s="161"/>
      <c r="B406" s="151" t="s">
        <v>104</v>
      </c>
      <c r="C406" s="113"/>
      <c r="D406" s="102">
        <v>11</v>
      </c>
      <c r="E406" s="48">
        <f>E401*D406</f>
        <v>1343.65</v>
      </c>
      <c r="F406" s="109" t="s">
        <v>88</v>
      </c>
      <c r="G406" s="33"/>
      <c r="H406" s="104"/>
    </row>
    <row r="407" spans="1:8" s="81" customFormat="1" ht="15" customHeight="1">
      <c r="A407" s="161"/>
      <c r="B407" s="151" t="s">
        <v>105</v>
      </c>
      <c r="C407" s="113"/>
      <c r="D407" s="102">
        <v>0.4</v>
      </c>
      <c r="E407" s="48">
        <f>E401*D407</f>
        <v>48.860000000000007</v>
      </c>
      <c r="F407" s="109" t="s">
        <v>14</v>
      </c>
      <c r="G407" s="33"/>
      <c r="H407" s="104"/>
    </row>
    <row r="408" spans="1:8" s="82" customFormat="1" ht="25.5" customHeight="1">
      <c r="A408" s="166">
        <f>A401+1</f>
        <v>19</v>
      </c>
      <c r="B408" s="99" t="s">
        <v>111</v>
      </c>
      <c r="C408" s="71" t="s">
        <v>58</v>
      </c>
      <c r="D408" s="102"/>
      <c r="E408" s="139">
        <f>E401</f>
        <v>122.15</v>
      </c>
      <c r="F408" s="71" t="s">
        <v>59</v>
      </c>
      <c r="G408" s="33">
        <v>200</v>
      </c>
      <c r="H408" s="104">
        <f>E408*G408</f>
        <v>24430</v>
      </c>
    </row>
    <row r="409" spans="1:8" s="81" customFormat="1" ht="15" customHeight="1">
      <c r="A409" s="161"/>
      <c r="B409" s="151" t="s">
        <v>112</v>
      </c>
      <c r="C409" s="113"/>
      <c r="D409" s="102">
        <f>499*0.085*1.02/1000</f>
        <v>4.3263300000000011E-2</v>
      </c>
      <c r="E409" s="48">
        <f>E408*D409</f>
        <v>5.2846120950000017</v>
      </c>
      <c r="F409" s="109" t="s">
        <v>113</v>
      </c>
      <c r="G409" s="33"/>
      <c r="H409" s="104"/>
    </row>
    <row r="410" spans="1:8" s="81" customFormat="1" ht="15" customHeight="1">
      <c r="A410" s="161"/>
      <c r="B410" s="151" t="s">
        <v>114</v>
      </c>
      <c r="C410" s="113"/>
      <c r="D410" s="102">
        <f>1792*0.8*0.085*1.02/1000</f>
        <v>0.12429312000000003</v>
      </c>
      <c r="E410" s="48">
        <f>E408*D410</f>
        <v>15.182404608000004</v>
      </c>
      <c r="F410" s="109" t="s">
        <v>113</v>
      </c>
      <c r="G410" s="33"/>
      <c r="H410" s="104"/>
    </row>
    <row r="411" spans="1:8" s="82" customFormat="1" ht="15" customHeight="1">
      <c r="A411" s="161"/>
      <c r="B411" s="151" t="s">
        <v>115</v>
      </c>
      <c r="C411" s="113"/>
      <c r="D411" s="102">
        <f>1792*0.2*0.85*1.02/1000</f>
        <v>0.31073280000000003</v>
      </c>
      <c r="E411" s="48">
        <f>E408*D411</f>
        <v>37.956011520000004</v>
      </c>
      <c r="F411" s="109" t="s">
        <v>113</v>
      </c>
      <c r="G411" s="33"/>
      <c r="H411" s="104"/>
    </row>
    <row r="412" spans="1:8" s="82" customFormat="1" ht="15" customHeight="1">
      <c r="A412" s="161"/>
      <c r="B412" s="151" t="s">
        <v>116</v>
      </c>
      <c r="C412" s="113"/>
      <c r="D412" s="102">
        <v>1.1000000000000001</v>
      </c>
      <c r="E412" s="48">
        <f>E408*D412</f>
        <v>134.36500000000001</v>
      </c>
      <c r="F412" s="109" t="s">
        <v>70</v>
      </c>
      <c r="G412" s="33"/>
      <c r="H412" s="104"/>
    </row>
    <row r="413" spans="1:8" s="81" customFormat="1" ht="15" customHeight="1">
      <c r="A413" s="161"/>
      <c r="B413" s="151" t="s">
        <v>117</v>
      </c>
      <c r="C413" s="113"/>
      <c r="D413" s="102">
        <f>0.21/1000</f>
        <v>2.0999999999999998E-4</v>
      </c>
      <c r="E413" s="48">
        <f>E408*D413</f>
        <v>2.5651499999999997E-2</v>
      </c>
      <c r="F413" s="109" t="s">
        <v>113</v>
      </c>
      <c r="G413" s="33"/>
      <c r="H413" s="104"/>
    </row>
    <row r="414" spans="1:8" s="82" customFormat="1" ht="15" customHeight="1">
      <c r="A414" s="161"/>
      <c r="B414" s="151" t="s">
        <v>118</v>
      </c>
      <c r="C414" s="113"/>
      <c r="D414" s="102">
        <v>4</v>
      </c>
      <c r="E414" s="48">
        <f>E408*D414</f>
        <v>488.6</v>
      </c>
      <c r="F414" s="109" t="s">
        <v>88</v>
      </c>
      <c r="G414" s="33"/>
      <c r="H414" s="104"/>
    </row>
    <row r="415" spans="1:8" s="39" customFormat="1" ht="15" customHeight="1">
      <c r="A415" s="161"/>
      <c r="B415" s="151" t="s">
        <v>119</v>
      </c>
      <c r="C415" s="113"/>
      <c r="D415" s="102"/>
      <c r="E415" s="48">
        <f>E408</f>
        <v>122.15</v>
      </c>
      <c r="F415" s="109" t="s">
        <v>90</v>
      </c>
      <c r="G415" s="33"/>
      <c r="H415" s="104"/>
    </row>
    <row r="416" spans="1:8" ht="15" customHeight="1">
      <c r="A416" s="161"/>
      <c r="B416" s="151"/>
      <c r="C416" s="113"/>
      <c r="D416" s="102"/>
      <c r="E416" s="48"/>
      <c r="F416" s="109"/>
      <c r="G416" s="33"/>
      <c r="H416" s="104"/>
    </row>
    <row r="417" spans="1:8" ht="15" customHeight="1">
      <c r="A417" s="155"/>
      <c r="B417" s="94" t="s">
        <v>149</v>
      </c>
      <c r="C417" s="169"/>
      <c r="D417" s="171"/>
      <c r="E417" s="170"/>
      <c r="F417" s="170"/>
      <c r="G417" s="33"/>
      <c r="H417" s="104"/>
    </row>
    <row r="418" spans="1:8" ht="15" customHeight="1">
      <c r="A418" s="166">
        <f>A408+1</f>
        <v>20</v>
      </c>
      <c r="B418" s="99" t="s">
        <v>109</v>
      </c>
      <c r="C418" s="71" t="s">
        <v>38</v>
      </c>
      <c r="D418" s="159"/>
      <c r="E418" s="139">
        <v>75.489999999999995</v>
      </c>
      <c r="F418" s="71" t="s">
        <v>59</v>
      </c>
      <c r="G418" s="33">
        <v>535</v>
      </c>
      <c r="H418" s="104">
        <f>E418*G418</f>
        <v>40387.149999999994</v>
      </c>
    </row>
    <row r="419" spans="1:8" ht="15" customHeight="1">
      <c r="A419" s="161"/>
      <c r="B419" s="151" t="s">
        <v>40</v>
      </c>
      <c r="C419" s="113"/>
      <c r="D419" s="159">
        <v>1.1000000000000001</v>
      </c>
      <c r="E419" s="48">
        <f>E418*D419</f>
        <v>83.039000000000001</v>
      </c>
      <c r="F419" s="109" t="s">
        <v>70</v>
      </c>
      <c r="G419" s="33"/>
      <c r="H419" s="104"/>
    </row>
    <row r="420" spans="1:8" s="39" customFormat="1" ht="15" customHeight="1">
      <c r="A420" s="161"/>
      <c r="B420" s="151" t="s">
        <v>63</v>
      </c>
      <c r="C420" s="113"/>
      <c r="D420" s="159">
        <v>0.2</v>
      </c>
      <c r="E420" s="48">
        <f>E418*D420</f>
        <v>15.097999999999999</v>
      </c>
      <c r="F420" s="109" t="s">
        <v>19</v>
      </c>
      <c r="G420" s="33"/>
      <c r="H420" s="104"/>
    </row>
    <row r="421" spans="1:8" s="39" customFormat="1" ht="15" customHeight="1">
      <c r="A421" s="161"/>
      <c r="B421" s="151" t="s">
        <v>103</v>
      </c>
      <c r="C421" s="113"/>
      <c r="D421" s="159">
        <v>7.6</v>
      </c>
      <c r="E421" s="48">
        <f>E418*D421</f>
        <v>573.72399999999993</v>
      </c>
      <c r="F421" s="109" t="s">
        <v>14</v>
      </c>
      <c r="G421" s="33"/>
      <c r="H421" s="104"/>
    </row>
    <row r="422" spans="1:8" ht="15" customHeight="1">
      <c r="A422" s="161"/>
      <c r="B422" s="151" t="s">
        <v>104</v>
      </c>
      <c r="C422" s="113"/>
      <c r="D422" s="159">
        <v>11</v>
      </c>
      <c r="E422" s="48">
        <f>E418*D422</f>
        <v>830.39</v>
      </c>
      <c r="F422" s="109" t="s">
        <v>88</v>
      </c>
      <c r="G422" s="33"/>
      <c r="H422" s="104"/>
    </row>
    <row r="423" spans="1:8" s="39" customFormat="1" ht="15" customHeight="1">
      <c r="A423" s="161"/>
      <c r="B423" s="151" t="s">
        <v>105</v>
      </c>
      <c r="C423" s="113"/>
      <c r="D423" s="159">
        <v>0.4</v>
      </c>
      <c r="E423" s="48">
        <f>E418*D423</f>
        <v>30.195999999999998</v>
      </c>
      <c r="F423" s="109" t="s">
        <v>14</v>
      </c>
      <c r="G423" s="33"/>
      <c r="H423" s="104"/>
    </row>
    <row r="424" spans="1:8" ht="25.5" customHeight="1">
      <c r="A424" s="166">
        <f>A418+1</f>
        <v>21</v>
      </c>
      <c r="B424" s="99" t="s">
        <v>150</v>
      </c>
      <c r="C424" s="71" t="s">
        <v>58</v>
      </c>
      <c r="D424" s="159"/>
      <c r="E424" s="139">
        <f>E418</f>
        <v>75.489999999999995</v>
      </c>
      <c r="F424" s="71" t="s">
        <v>59</v>
      </c>
      <c r="G424" s="33">
        <v>200</v>
      </c>
      <c r="H424" s="104">
        <f>E424*G424</f>
        <v>15097.999999999998</v>
      </c>
    </row>
    <row r="425" spans="1:8" s="39" customFormat="1" ht="15" customHeight="1">
      <c r="A425" s="161"/>
      <c r="B425" s="151" t="s">
        <v>112</v>
      </c>
      <c r="C425" s="113"/>
      <c r="D425" s="159">
        <f>(499*0.075*1.02)/1000</f>
        <v>3.8173499999999999E-2</v>
      </c>
      <c r="E425" s="48">
        <f>E424*D425</f>
        <v>2.8817175149999996</v>
      </c>
      <c r="F425" s="109" t="s">
        <v>113</v>
      </c>
      <c r="G425" s="33"/>
      <c r="H425" s="104"/>
    </row>
    <row r="426" spans="1:8" s="39" customFormat="1" ht="15" customHeight="1">
      <c r="A426" s="161"/>
      <c r="B426" s="151" t="s">
        <v>114</v>
      </c>
      <c r="C426" s="113"/>
      <c r="D426" s="159">
        <f>(1792*0.8*0.075*1.02)/1000</f>
        <v>0.10967040000000002</v>
      </c>
      <c r="E426" s="48">
        <f>E424*D426</f>
        <v>8.2790184960000008</v>
      </c>
      <c r="F426" s="109" t="s">
        <v>113</v>
      </c>
      <c r="G426" s="33"/>
      <c r="H426" s="104"/>
    </row>
    <row r="427" spans="1:8" ht="15" customHeight="1">
      <c r="A427" s="172"/>
      <c r="B427" s="151" t="s">
        <v>115</v>
      </c>
      <c r="C427" s="113"/>
      <c r="D427" s="159">
        <f>(1792*0.2*0.075*1.02)/1000</f>
        <v>2.7417600000000004E-2</v>
      </c>
      <c r="E427" s="48">
        <f>E424*D427</f>
        <v>2.0697546240000002</v>
      </c>
      <c r="F427" s="109" t="s">
        <v>113</v>
      </c>
      <c r="G427" s="33"/>
      <c r="H427" s="104"/>
    </row>
    <row r="428" spans="1:8" ht="15" customHeight="1">
      <c r="A428" s="161"/>
      <c r="B428" s="151" t="s">
        <v>116</v>
      </c>
      <c r="C428" s="113"/>
      <c r="D428" s="159">
        <v>1.1000000000000001</v>
      </c>
      <c r="E428" s="48">
        <f>E424*D428</f>
        <v>83.039000000000001</v>
      </c>
      <c r="F428" s="109" t="s">
        <v>70</v>
      </c>
      <c r="G428" s="33"/>
      <c r="H428" s="104"/>
    </row>
    <row r="429" spans="1:8" s="39" customFormat="1" ht="15" customHeight="1">
      <c r="A429" s="161"/>
      <c r="B429" s="151" t="s">
        <v>117</v>
      </c>
      <c r="C429" s="113"/>
      <c r="D429" s="159">
        <f>0.21/1000</f>
        <v>2.0999999999999998E-4</v>
      </c>
      <c r="E429" s="48">
        <f>E424*D429</f>
        <v>1.5852899999999996E-2</v>
      </c>
      <c r="F429" s="109" t="s">
        <v>113</v>
      </c>
      <c r="G429" s="33"/>
      <c r="H429" s="104"/>
    </row>
    <row r="430" spans="1:8" ht="15" customHeight="1">
      <c r="A430" s="161"/>
      <c r="B430" s="151" t="s">
        <v>118</v>
      </c>
      <c r="C430" s="113"/>
      <c r="D430" s="159">
        <v>4</v>
      </c>
      <c r="E430" s="48">
        <f>E424*D430</f>
        <v>301.95999999999998</v>
      </c>
      <c r="F430" s="109" t="s">
        <v>88</v>
      </c>
      <c r="G430" s="33"/>
      <c r="H430" s="104"/>
    </row>
    <row r="431" spans="1:8" s="81" customFormat="1" ht="15" customHeight="1">
      <c r="A431" s="161"/>
      <c r="B431" s="151" t="s">
        <v>119</v>
      </c>
      <c r="C431" s="113"/>
      <c r="D431" s="159"/>
      <c r="E431" s="48">
        <f>E424</f>
        <v>75.489999999999995</v>
      </c>
      <c r="F431" s="109" t="s">
        <v>90</v>
      </c>
      <c r="G431" s="33"/>
      <c r="H431" s="104"/>
    </row>
    <row r="432" spans="1:8" s="82" customFormat="1" ht="25.5" customHeight="1">
      <c r="A432" s="166">
        <f>A424+1</f>
        <v>22</v>
      </c>
      <c r="B432" s="99" t="s">
        <v>131</v>
      </c>
      <c r="C432" s="71" t="s">
        <v>58</v>
      </c>
      <c r="D432" s="159"/>
      <c r="E432" s="139">
        <f>E418</f>
        <v>75.489999999999995</v>
      </c>
      <c r="F432" s="71" t="s">
        <v>59</v>
      </c>
      <c r="G432" s="33">
        <v>95</v>
      </c>
      <c r="H432" s="104">
        <f>E432*G432</f>
        <v>7171.5499999999993</v>
      </c>
    </row>
    <row r="433" spans="1:8" s="81" customFormat="1" ht="15" customHeight="1">
      <c r="A433" s="161"/>
      <c r="B433" s="151" t="s">
        <v>132</v>
      </c>
      <c r="C433" s="113"/>
      <c r="D433" s="159">
        <v>1.1499999999999999</v>
      </c>
      <c r="E433" s="48">
        <f>E432*D433</f>
        <v>86.813499999999991</v>
      </c>
      <c r="F433" s="109" t="s">
        <v>70</v>
      </c>
      <c r="G433" s="33"/>
      <c r="H433" s="104"/>
    </row>
    <row r="434" spans="1:8" s="82" customFormat="1" ht="15" customHeight="1">
      <c r="A434" s="161"/>
      <c r="B434" s="151" t="s">
        <v>133</v>
      </c>
      <c r="C434" s="113"/>
      <c r="D434" s="159"/>
      <c r="E434" s="48">
        <f>E432</f>
        <v>75.489999999999995</v>
      </c>
      <c r="F434" s="109" t="s">
        <v>90</v>
      </c>
      <c r="G434" s="33"/>
      <c r="H434" s="104"/>
    </row>
    <row r="435" spans="1:8" s="82" customFormat="1" ht="15" customHeight="1">
      <c r="A435" s="161"/>
      <c r="B435" s="151"/>
      <c r="C435" s="113"/>
      <c r="D435" s="102"/>
      <c r="E435" s="48"/>
      <c r="F435" s="109"/>
      <c r="G435" s="33"/>
      <c r="H435" s="104"/>
    </row>
    <row r="436" spans="1:8" s="82" customFormat="1" ht="15" customHeight="1">
      <c r="A436" s="155"/>
      <c r="B436" s="173" t="s">
        <v>151</v>
      </c>
      <c r="C436" s="169"/>
      <c r="D436" s="171"/>
      <c r="E436" s="170"/>
      <c r="F436" s="170"/>
      <c r="G436" s="33"/>
      <c r="H436" s="104"/>
    </row>
    <row r="437" spans="1:8" s="82" customFormat="1" ht="15" customHeight="1">
      <c r="A437" s="166">
        <f>A432+1</f>
        <v>23</v>
      </c>
      <c r="B437" s="99" t="s">
        <v>109</v>
      </c>
      <c r="C437" s="71" t="s">
        <v>38</v>
      </c>
      <c r="D437" s="159"/>
      <c r="E437" s="139">
        <v>50.1</v>
      </c>
      <c r="F437" s="71" t="s">
        <v>59</v>
      </c>
      <c r="G437" s="33">
        <v>535</v>
      </c>
      <c r="H437" s="104">
        <f>E437*G437</f>
        <v>26803.5</v>
      </c>
    </row>
    <row r="438" spans="1:8" s="82" customFormat="1" ht="15" customHeight="1">
      <c r="A438" s="161"/>
      <c r="B438" s="151" t="s">
        <v>40</v>
      </c>
      <c r="C438" s="113"/>
      <c r="D438" s="159">
        <v>1.1000000000000001</v>
      </c>
      <c r="E438" s="48">
        <f>E437*D438</f>
        <v>55.110000000000007</v>
      </c>
      <c r="F438" s="109" t="s">
        <v>70</v>
      </c>
      <c r="G438" s="33"/>
      <c r="H438" s="104"/>
    </row>
    <row r="439" spans="1:8" s="81" customFormat="1" ht="15" customHeight="1">
      <c r="A439" s="161"/>
      <c r="B439" s="151" t="s">
        <v>63</v>
      </c>
      <c r="C439" s="113"/>
      <c r="D439" s="159">
        <v>0.2</v>
      </c>
      <c r="E439" s="48">
        <f>E437*D439</f>
        <v>10.020000000000001</v>
      </c>
      <c r="F439" s="109" t="s">
        <v>19</v>
      </c>
      <c r="G439" s="33"/>
      <c r="H439" s="104"/>
    </row>
    <row r="440" spans="1:8" s="81" customFormat="1" ht="15" customHeight="1">
      <c r="A440" s="161"/>
      <c r="B440" s="151" t="s">
        <v>103</v>
      </c>
      <c r="C440" s="113"/>
      <c r="D440" s="159">
        <v>7.6</v>
      </c>
      <c r="E440" s="48">
        <f>E437*D440</f>
        <v>380.76</v>
      </c>
      <c r="F440" s="109" t="s">
        <v>14</v>
      </c>
      <c r="G440" s="33"/>
      <c r="H440" s="104"/>
    </row>
    <row r="441" spans="1:8" s="82" customFormat="1" ht="15" customHeight="1">
      <c r="A441" s="161"/>
      <c r="B441" s="151" t="s">
        <v>104</v>
      </c>
      <c r="C441" s="113"/>
      <c r="D441" s="159">
        <v>11</v>
      </c>
      <c r="E441" s="48">
        <f>E437*D441</f>
        <v>551.1</v>
      </c>
      <c r="F441" s="109" t="s">
        <v>88</v>
      </c>
      <c r="G441" s="33"/>
      <c r="H441" s="104"/>
    </row>
    <row r="442" spans="1:8" s="81" customFormat="1" ht="15" customHeight="1">
      <c r="A442" s="161"/>
      <c r="B442" s="151" t="s">
        <v>105</v>
      </c>
      <c r="C442" s="113"/>
      <c r="D442" s="159">
        <v>0.4</v>
      </c>
      <c r="E442" s="48">
        <f>E437*D442</f>
        <v>20.040000000000003</v>
      </c>
      <c r="F442" s="109" t="s">
        <v>14</v>
      </c>
      <c r="G442" s="33"/>
      <c r="H442" s="104"/>
    </row>
    <row r="443" spans="1:8" s="82" customFormat="1" ht="15" customHeight="1">
      <c r="A443" s="166">
        <f>A437+1</f>
        <v>24</v>
      </c>
      <c r="B443" s="99" t="s">
        <v>121</v>
      </c>
      <c r="C443" s="71" t="s">
        <v>58</v>
      </c>
      <c r="D443" s="159"/>
      <c r="E443" s="139">
        <f>E437</f>
        <v>50.1</v>
      </c>
      <c r="F443" s="71" t="s">
        <v>59</v>
      </c>
      <c r="G443" s="33">
        <v>80</v>
      </c>
      <c r="H443" s="104">
        <f>E443*G443</f>
        <v>4008</v>
      </c>
    </row>
    <row r="444" spans="1:8" s="81" customFormat="1" ht="15" customHeight="1">
      <c r="A444" s="161"/>
      <c r="B444" s="151" t="s">
        <v>63</v>
      </c>
      <c r="C444" s="113"/>
      <c r="D444" s="159">
        <v>0.2</v>
      </c>
      <c r="E444" s="48">
        <f>E443*D444</f>
        <v>10.020000000000001</v>
      </c>
      <c r="F444" s="109" t="s">
        <v>19</v>
      </c>
      <c r="G444" s="33"/>
      <c r="H444" s="104"/>
    </row>
    <row r="445" spans="1:8" s="81" customFormat="1" ht="15" customHeight="1">
      <c r="A445" s="161"/>
      <c r="B445" s="151" t="s">
        <v>122</v>
      </c>
      <c r="C445" s="113"/>
      <c r="D445" s="159">
        <v>4.8</v>
      </c>
      <c r="E445" s="48">
        <f>E443*D445</f>
        <v>240.48</v>
      </c>
      <c r="F445" s="109" t="s">
        <v>14</v>
      </c>
      <c r="G445" s="33"/>
      <c r="H445" s="104"/>
    </row>
    <row r="446" spans="1:8" s="82" customFormat="1" ht="25.5" customHeight="1">
      <c r="A446" s="166">
        <f>A443+1</f>
        <v>25</v>
      </c>
      <c r="B446" s="99" t="s">
        <v>152</v>
      </c>
      <c r="C446" s="71" t="s">
        <v>58</v>
      </c>
      <c r="D446" s="159"/>
      <c r="E446" s="139">
        <f>E437</f>
        <v>50.1</v>
      </c>
      <c r="F446" s="71" t="s">
        <v>59</v>
      </c>
      <c r="G446" s="33">
        <v>200</v>
      </c>
      <c r="H446" s="104">
        <f>E446*G446</f>
        <v>10020</v>
      </c>
    </row>
    <row r="447" spans="1:8" s="81" customFormat="1" ht="15" customHeight="1">
      <c r="A447" s="161"/>
      <c r="B447" s="151" t="s">
        <v>112</v>
      </c>
      <c r="C447" s="113"/>
      <c r="D447" s="159">
        <f>(499*0.08*1.02)/1000</f>
        <v>4.0718400000000002E-2</v>
      </c>
      <c r="E447" s="48">
        <f>E446*D447</f>
        <v>2.0399918400000003</v>
      </c>
      <c r="F447" s="109" t="s">
        <v>113</v>
      </c>
      <c r="G447" s="33"/>
      <c r="H447" s="104"/>
    </row>
    <row r="448" spans="1:8" s="81" customFormat="1" ht="15" customHeight="1">
      <c r="A448" s="161"/>
      <c r="B448" s="151" t="s">
        <v>114</v>
      </c>
      <c r="C448" s="113"/>
      <c r="D448" s="159">
        <f>(1792*0.8*0.08*1.02)/1000</f>
        <v>0.11698176000000002</v>
      </c>
      <c r="E448" s="48">
        <f>E446*D448</f>
        <v>5.8607861760000013</v>
      </c>
      <c r="F448" s="109" t="s">
        <v>113</v>
      </c>
      <c r="G448" s="33"/>
      <c r="H448" s="104"/>
    </row>
    <row r="449" spans="1:8" s="82" customFormat="1" ht="15" customHeight="1">
      <c r="A449" s="172"/>
      <c r="B449" s="151" t="s">
        <v>115</v>
      </c>
      <c r="C449" s="113"/>
      <c r="D449" s="159">
        <f>(1792*0.2*0.08*1.02)/1000</f>
        <v>2.9245440000000004E-2</v>
      </c>
      <c r="E449" s="48">
        <f>E446*D449</f>
        <v>1.4651965440000003</v>
      </c>
      <c r="F449" s="109" t="s">
        <v>113</v>
      </c>
      <c r="G449" s="33"/>
      <c r="H449" s="104"/>
    </row>
    <row r="450" spans="1:8" s="82" customFormat="1" ht="15" customHeight="1">
      <c r="A450" s="161"/>
      <c r="B450" s="151" t="s">
        <v>116</v>
      </c>
      <c r="C450" s="113"/>
      <c r="D450" s="159">
        <v>1.1000000000000001</v>
      </c>
      <c r="E450" s="48">
        <f>E446*D450</f>
        <v>55.110000000000007</v>
      </c>
      <c r="F450" s="109" t="s">
        <v>70</v>
      </c>
      <c r="G450" s="33"/>
      <c r="H450" s="104"/>
    </row>
    <row r="451" spans="1:8" s="81" customFormat="1" ht="15" customHeight="1">
      <c r="A451" s="161"/>
      <c r="B451" s="151" t="s">
        <v>117</v>
      </c>
      <c r="C451" s="113"/>
      <c r="D451" s="159">
        <f>0.21/1000</f>
        <v>2.0999999999999998E-4</v>
      </c>
      <c r="E451" s="48">
        <f>E446*D451</f>
        <v>1.0520999999999999E-2</v>
      </c>
      <c r="F451" s="109" t="s">
        <v>113</v>
      </c>
      <c r="G451" s="33"/>
      <c r="H451" s="104"/>
    </row>
    <row r="452" spans="1:8" s="82" customFormat="1" ht="15" customHeight="1">
      <c r="A452" s="161"/>
      <c r="B452" s="151" t="s">
        <v>118</v>
      </c>
      <c r="C452" s="113"/>
      <c r="D452" s="159">
        <v>4</v>
      </c>
      <c r="E452" s="48">
        <f>E446*D452</f>
        <v>200.4</v>
      </c>
      <c r="F452" s="109" t="s">
        <v>88</v>
      </c>
      <c r="G452" s="33"/>
      <c r="H452" s="104"/>
    </row>
    <row r="453" spans="1:8" s="81" customFormat="1" ht="15" customHeight="1">
      <c r="A453" s="161"/>
      <c r="B453" s="151" t="s">
        <v>119</v>
      </c>
      <c r="C453" s="113"/>
      <c r="D453" s="159"/>
      <c r="E453" s="48">
        <f>E446</f>
        <v>50.1</v>
      </c>
      <c r="F453" s="109" t="s">
        <v>90</v>
      </c>
      <c r="G453" s="33"/>
      <c r="H453" s="104"/>
    </row>
    <row r="454" spans="1:8" s="82" customFormat="1" ht="15" customHeight="1">
      <c r="A454" s="166">
        <f>A446+1</f>
        <v>26</v>
      </c>
      <c r="B454" s="99" t="s">
        <v>134</v>
      </c>
      <c r="C454" s="71" t="s">
        <v>58</v>
      </c>
      <c r="D454" s="159"/>
      <c r="E454" s="139">
        <f>E437</f>
        <v>50.1</v>
      </c>
      <c r="F454" s="71" t="s">
        <v>59</v>
      </c>
      <c r="G454" s="33">
        <v>120</v>
      </c>
      <c r="H454" s="104">
        <f>E454*G454</f>
        <v>6012</v>
      </c>
    </row>
    <row r="455" spans="1:8" s="82" customFormat="1" ht="15" customHeight="1">
      <c r="A455" s="161"/>
      <c r="B455" s="151" t="s">
        <v>135</v>
      </c>
      <c r="C455" s="113"/>
      <c r="D455" s="159">
        <f>1.15</f>
        <v>1.1499999999999999</v>
      </c>
      <c r="E455" s="48">
        <f>E454*D455</f>
        <v>57.614999999999995</v>
      </c>
      <c r="F455" s="109" t="s">
        <v>70</v>
      </c>
      <c r="G455" s="33"/>
      <c r="H455" s="104"/>
    </row>
    <row r="456" spans="1:8" s="81" customFormat="1" ht="15" customHeight="1">
      <c r="A456" s="161"/>
      <c r="B456" s="151" t="s">
        <v>136</v>
      </c>
      <c r="C456" s="113"/>
      <c r="D456" s="159">
        <v>0.3</v>
      </c>
      <c r="E456" s="48">
        <f>E454*D456</f>
        <v>15.03</v>
      </c>
      <c r="F456" s="109" t="s">
        <v>14</v>
      </c>
      <c r="G456" s="33"/>
      <c r="H456" s="104"/>
    </row>
    <row r="457" spans="1:8" s="82" customFormat="1" ht="15" customHeight="1">
      <c r="A457" s="166"/>
      <c r="B457" s="151" t="s">
        <v>137</v>
      </c>
      <c r="C457" s="113"/>
      <c r="D457" s="102">
        <v>1</v>
      </c>
      <c r="E457" s="48">
        <f>D457*E454</f>
        <v>50.1</v>
      </c>
      <c r="F457" s="109" t="s">
        <v>19</v>
      </c>
      <c r="G457" s="33"/>
      <c r="H457" s="104"/>
    </row>
    <row r="458" spans="1:8" s="82" customFormat="1" ht="15" customHeight="1">
      <c r="A458" s="155"/>
      <c r="B458" s="173" t="s">
        <v>153</v>
      </c>
      <c r="C458" s="169"/>
      <c r="D458" s="171"/>
      <c r="E458" s="170"/>
      <c r="F458" s="170"/>
      <c r="G458" s="33"/>
      <c r="H458" s="104"/>
    </row>
    <row r="459" spans="1:8" s="82" customFormat="1" ht="15" customHeight="1">
      <c r="A459" s="166">
        <f>A454+1</f>
        <v>27</v>
      </c>
      <c r="B459" s="99" t="s">
        <v>109</v>
      </c>
      <c r="C459" s="71" t="s">
        <v>38</v>
      </c>
      <c r="D459" s="159"/>
      <c r="E459" s="139">
        <v>58.62</v>
      </c>
      <c r="F459" s="71" t="s">
        <v>59</v>
      </c>
      <c r="G459" s="33">
        <v>535</v>
      </c>
      <c r="H459" s="104">
        <f>E459*G459</f>
        <v>31361.699999999997</v>
      </c>
    </row>
    <row r="460" spans="1:8" s="82" customFormat="1" ht="15" customHeight="1">
      <c r="A460" s="161"/>
      <c r="B460" s="151" t="s">
        <v>40</v>
      </c>
      <c r="C460" s="113"/>
      <c r="D460" s="159">
        <v>1.1000000000000001</v>
      </c>
      <c r="E460" s="48">
        <f>E459*D460</f>
        <v>64.481999999999999</v>
      </c>
      <c r="F460" s="109" t="s">
        <v>70</v>
      </c>
      <c r="G460" s="33"/>
      <c r="H460" s="104"/>
    </row>
    <row r="461" spans="1:8" s="81" customFormat="1" ht="15" customHeight="1">
      <c r="A461" s="161"/>
      <c r="B461" s="151" t="s">
        <v>63</v>
      </c>
      <c r="C461" s="113"/>
      <c r="D461" s="159">
        <v>0.2</v>
      </c>
      <c r="E461" s="48">
        <f>E459*D461</f>
        <v>11.724</v>
      </c>
      <c r="F461" s="109" t="s">
        <v>19</v>
      </c>
      <c r="G461" s="33"/>
      <c r="H461" s="104"/>
    </row>
    <row r="462" spans="1:8" s="81" customFormat="1" ht="15" customHeight="1">
      <c r="A462" s="161"/>
      <c r="B462" s="151" t="s">
        <v>103</v>
      </c>
      <c r="C462" s="113"/>
      <c r="D462" s="159">
        <v>7.6</v>
      </c>
      <c r="E462" s="48">
        <f>E459*D462</f>
        <v>445.51199999999994</v>
      </c>
      <c r="F462" s="109" t="s">
        <v>14</v>
      </c>
      <c r="G462" s="33"/>
      <c r="H462" s="104"/>
    </row>
    <row r="463" spans="1:8" s="82" customFormat="1" ht="15" customHeight="1">
      <c r="A463" s="161"/>
      <c r="B463" s="151" t="s">
        <v>104</v>
      </c>
      <c r="C463" s="113"/>
      <c r="D463" s="159">
        <v>11</v>
      </c>
      <c r="E463" s="48">
        <f>E459*D463</f>
        <v>644.81999999999994</v>
      </c>
      <c r="F463" s="109" t="s">
        <v>88</v>
      </c>
      <c r="G463" s="33"/>
      <c r="H463" s="104"/>
    </row>
    <row r="464" spans="1:8" s="81" customFormat="1" ht="15" customHeight="1">
      <c r="A464" s="161"/>
      <c r="B464" s="151" t="s">
        <v>105</v>
      </c>
      <c r="C464" s="113"/>
      <c r="D464" s="159">
        <v>0.4</v>
      </c>
      <c r="E464" s="48">
        <f>E459*D464</f>
        <v>23.448</v>
      </c>
      <c r="F464" s="109" t="s">
        <v>14</v>
      </c>
      <c r="G464" s="33"/>
      <c r="H464" s="104"/>
    </row>
    <row r="465" spans="1:8" s="82" customFormat="1" ht="25.5" customHeight="1">
      <c r="A465" s="166">
        <f>A459+1</f>
        <v>28</v>
      </c>
      <c r="B465" s="99" t="s">
        <v>154</v>
      </c>
      <c r="C465" s="71" t="s">
        <v>58</v>
      </c>
      <c r="D465" s="159"/>
      <c r="E465" s="139">
        <f>E459</f>
        <v>58.62</v>
      </c>
      <c r="F465" s="71" t="s">
        <v>59</v>
      </c>
      <c r="G465" s="33">
        <v>200</v>
      </c>
      <c r="H465" s="104">
        <f>E465*G465</f>
        <v>11724</v>
      </c>
    </row>
    <row r="466" spans="1:8" s="81" customFormat="1" ht="15" customHeight="1">
      <c r="A466" s="161"/>
      <c r="B466" s="151" t="s">
        <v>112</v>
      </c>
      <c r="C466" s="113"/>
      <c r="D466" s="159">
        <f>(499*0.1*1.02)/1000</f>
        <v>5.0898000000000006E-2</v>
      </c>
      <c r="E466" s="48">
        <f>E465*D466</f>
        <v>2.9836407600000001</v>
      </c>
      <c r="F466" s="109" t="s">
        <v>113</v>
      </c>
      <c r="G466" s="33"/>
      <c r="H466" s="104"/>
    </row>
    <row r="467" spans="1:8" s="81" customFormat="1" ht="15" customHeight="1">
      <c r="A467" s="161"/>
      <c r="B467" s="151" t="s">
        <v>114</v>
      </c>
      <c r="C467" s="113"/>
      <c r="D467" s="159">
        <f>(1792*0.8*0.1*1.02)/1000</f>
        <v>0.1462272</v>
      </c>
      <c r="E467" s="48">
        <f>E465*D467</f>
        <v>8.5718384639999989</v>
      </c>
      <c r="F467" s="109" t="s">
        <v>113</v>
      </c>
      <c r="G467" s="33"/>
      <c r="H467" s="104"/>
    </row>
    <row r="468" spans="1:8" s="82" customFormat="1" ht="15" customHeight="1">
      <c r="A468" s="172"/>
      <c r="B468" s="151" t="s">
        <v>115</v>
      </c>
      <c r="C468" s="113"/>
      <c r="D468" s="159">
        <f>(1792*0.2*0.1*1.02)/1000</f>
        <v>3.65568E-2</v>
      </c>
      <c r="E468" s="48">
        <f>E465*D468</f>
        <v>2.1429596159999997</v>
      </c>
      <c r="F468" s="109" t="s">
        <v>113</v>
      </c>
      <c r="G468" s="33"/>
      <c r="H468" s="104"/>
    </row>
    <row r="469" spans="1:8" s="82" customFormat="1" ht="15" customHeight="1">
      <c r="A469" s="161"/>
      <c r="B469" s="151" t="s">
        <v>116</v>
      </c>
      <c r="C469" s="113"/>
      <c r="D469" s="159">
        <v>1.1000000000000001</v>
      </c>
      <c r="E469" s="48">
        <f>E465*D469</f>
        <v>64.481999999999999</v>
      </c>
      <c r="F469" s="109" t="s">
        <v>70</v>
      </c>
      <c r="G469" s="33"/>
      <c r="H469" s="104"/>
    </row>
    <row r="470" spans="1:8" s="81" customFormat="1" ht="15" customHeight="1">
      <c r="A470" s="161"/>
      <c r="B470" s="151" t="s">
        <v>117</v>
      </c>
      <c r="C470" s="113"/>
      <c r="D470" s="159">
        <f>0.21/1000</f>
        <v>2.0999999999999998E-4</v>
      </c>
      <c r="E470" s="48">
        <f>E465*D470</f>
        <v>1.2310199999999999E-2</v>
      </c>
      <c r="F470" s="109" t="s">
        <v>113</v>
      </c>
      <c r="G470" s="33"/>
      <c r="H470" s="104"/>
    </row>
    <row r="471" spans="1:8" s="82" customFormat="1" ht="15" customHeight="1">
      <c r="A471" s="161"/>
      <c r="B471" s="151" t="s">
        <v>118</v>
      </c>
      <c r="C471" s="113"/>
      <c r="D471" s="159">
        <v>4</v>
      </c>
      <c r="E471" s="48">
        <f>E465*D471</f>
        <v>234.48</v>
      </c>
      <c r="F471" s="109" t="s">
        <v>88</v>
      </c>
      <c r="G471" s="33"/>
      <c r="H471" s="104"/>
    </row>
    <row r="472" spans="1:8" s="81" customFormat="1" ht="15" customHeight="1">
      <c r="A472" s="161"/>
      <c r="B472" s="151" t="s">
        <v>119</v>
      </c>
      <c r="C472" s="113"/>
      <c r="D472" s="159"/>
      <c r="E472" s="48">
        <f>E465</f>
        <v>58.62</v>
      </c>
      <c r="F472" s="109" t="s">
        <v>90</v>
      </c>
      <c r="G472" s="33"/>
      <c r="H472" s="104"/>
    </row>
    <row r="473" spans="1:8" s="82" customFormat="1" ht="15" customHeight="1">
      <c r="A473" s="161"/>
      <c r="B473" s="151"/>
      <c r="C473" s="113"/>
      <c r="D473" s="159"/>
      <c r="E473" s="48"/>
      <c r="F473" s="109"/>
      <c r="G473" s="33"/>
      <c r="H473" s="104"/>
    </row>
    <row r="474" spans="1:8" s="82" customFormat="1" ht="15" customHeight="1">
      <c r="A474" s="155"/>
      <c r="B474" s="173" t="s">
        <v>155</v>
      </c>
      <c r="C474" s="169"/>
      <c r="D474" s="171"/>
      <c r="E474" s="170"/>
      <c r="F474" s="170"/>
      <c r="G474" s="33"/>
      <c r="H474" s="104"/>
    </row>
    <row r="475" spans="1:8" s="82" customFormat="1" ht="15" customHeight="1">
      <c r="A475" s="166">
        <f>A465+1</f>
        <v>29</v>
      </c>
      <c r="B475" s="99" t="s">
        <v>109</v>
      </c>
      <c r="C475" s="71" t="s">
        <v>38</v>
      </c>
      <c r="D475" s="159"/>
      <c r="E475" s="139">
        <v>77.849999999999994</v>
      </c>
      <c r="F475" s="71" t="s">
        <v>59</v>
      </c>
      <c r="G475" s="33">
        <v>535</v>
      </c>
      <c r="H475" s="104">
        <f>E475*G475</f>
        <v>41649.75</v>
      </c>
    </row>
    <row r="476" spans="1:8" s="82" customFormat="1" ht="15" customHeight="1">
      <c r="A476" s="161"/>
      <c r="B476" s="151" t="s">
        <v>40</v>
      </c>
      <c r="C476" s="113"/>
      <c r="D476" s="159">
        <v>1.1000000000000001</v>
      </c>
      <c r="E476" s="48">
        <f>E475*D476</f>
        <v>85.635000000000005</v>
      </c>
      <c r="F476" s="109" t="s">
        <v>70</v>
      </c>
      <c r="G476" s="33"/>
      <c r="H476" s="104"/>
    </row>
    <row r="477" spans="1:8" s="81" customFormat="1" ht="15" customHeight="1">
      <c r="A477" s="161"/>
      <c r="B477" s="151" t="s">
        <v>63</v>
      </c>
      <c r="C477" s="113"/>
      <c r="D477" s="159">
        <v>0.2</v>
      </c>
      <c r="E477" s="48">
        <f>E475*D477</f>
        <v>15.57</v>
      </c>
      <c r="F477" s="109" t="s">
        <v>19</v>
      </c>
      <c r="G477" s="33"/>
      <c r="H477" s="104"/>
    </row>
    <row r="478" spans="1:8" s="81" customFormat="1" ht="15" customHeight="1">
      <c r="A478" s="161"/>
      <c r="B478" s="151" t="s">
        <v>103</v>
      </c>
      <c r="C478" s="113"/>
      <c r="D478" s="159">
        <v>7.6</v>
      </c>
      <c r="E478" s="48">
        <f>E475*D478</f>
        <v>591.66</v>
      </c>
      <c r="F478" s="109" t="s">
        <v>14</v>
      </c>
      <c r="G478" s="33"/>
      <c r="H478" s="104"/>
    </row>
    <row r="479" spans="1:8" s="82" customFormat="1" ht="15" customHeight="1">
      <c r="A479" s="161"/>
      <c r="B479" s="151" t="s">
        <v>104</v>
      </c>
      <c r="C479" s="113"/>
      <c r="D479" s="159">
        <v>11</v>
      </c>
      <c r="E479" s="48">
        <f>E475*D479</f>
        <v>856.34999999999991</v>
      </c>
      <c r="F479" s="109" t="s">
        <v>88</v>
      </c>
      <c r="G479" s="33"/>
      <c r="H479" s="104"/>
    </row>
    <row r="480" spans="1:8" s="81" customFormat="1" ht="15" customHeight="1">
      <c r="A480" s="161"/>
      <c r="B480" s="151" t="s">
        <v>105</v>
      </c>
      <c r="C480" s="113"/>
      <c r="D480" s="159">
        <v>0.4</v>
      </c>
      <c r="E480" s="48">
        <f>E475*D480</f>
        <v>31.14</v>
      </c>
      <c r="F480" s="109" t="s">
        <v>14</v>
      </c>
      <c r="G480" s="33"/>
      <c r="H480" s="104"/>
    </row>
    <row r="481" spans="1:8" s="82" customFormat="1" ht="25.5" customHeight="1">
      <c r="A481" s="166">
        <f>A475+1</f>
        <v>30</v>
      </c>
      <c r="B481" s="99" t="s">
        <v>156</v>
      </c>
      <c r="C481" s="71" t="s">
        <v>58</v>
      </c>
      <c r="D481" s="159"/>
      <c r="E481" s="139">
        <f>E475</f>
        <v>77.849999999999994</v>
      </c>
      <c r="F481" s="71" t="s">
        <v>59</v>
      </c>
      <c r="G481" s="33">
        <v>200</v>
      </c>
      <c r="H481" s="104">
        <f>E481*G481</f>
        <v>15569.999999999998</v>
      </c>
    </row>
    <row r="482" spans="1:8" s="81" customFormat="1" ht="15" customHeight="1">
      <c r="A482" s="161"/>
      <c r="B482" s="151" t="s">
        <v>112</v>
      </c>
      <c r="C482" s="113"/>
      <c r="D482" s="159">
        <f>(499*0.075*1.02)/1000</f>
        <v>3.8173499999999999E-2</v>
      </c>
      <c r="E482" s="48">
        <f>E481*D482</f>
        <v>2.9718069749999998</v>
      </c>
      <c r="F482" s="109" t="s">
        <v>113</v>
      </c>
      <c r="G482" s="33"/>
      <c r="H482" s="104"/>
    </row>
    <row r="483" spans="1:8" s="81" customFormat="1" ht="15" customHeight="1">
      <c r="A483" s="161"/>
      <c r="B483" s="151" t="s">
        <v>114</v>
      </c>
      <c r="C483" s="113"/>
      <c r="D483" s="159">
        <f>(1792*0.8*0.075*1.02)/1000</f>
        <v>0.10967040000000002</v>
      </c>
      <c r="E483" s="48">
        <f>E481*D483</f>
        <v>8.5378406400000006</v>
      </c>
      <c r="F483" s="109" t="s">
        <v>113</v>
      </c>
      <c r="G483" s="33"/>
      <c r="H483" s="104"/>
    </row>
    <row r="484" spans="1:8" s="82" customFormat="1" ht="15" customHeight="1">
      <c r="A484" s="161"/>
      <c r="B484" s="151" t="s">
        <v>115</v>
      </c>
      <c r="C484" s="113"/>
      <c r="D484" s="159">
        <f>(1792*0.2*0.075*1.02)/1000</f>
        <v>2.7417600000000004E-2</v>
      </c>
      <c r="E484" s="48">
        <f>E481*D484</f>
        <v>2.1344601600000002</v>
      </c>
      <c r="F484" s="109" t="s">
        <v>113</v>
      </c>
      <c r="G484" s="33"/>
      <c r="H484" s="104"/>
    </row>
    <row r="485" spans="1:8" s="82" customFormat="1" ht="15" customHeight="1">
      <c r="A485" s="161"/>
      <c r="B485" s="151" t="s">
        <v>116</v>
      </c>
      <c r="C485" s="113"/>
      <c r="D485" s="159">
        <v>1.1000000000000001</v>
      </c>
      <c r="E485" s="48">
        <f>E481*D485</f>
        <v>85.635000000000005</v>
      </c>
      <c r="F485" s="109" t="s">
        <v>70</v>
      </c>
      <c r="G485" s="33"/>
      <c r="H485" s="104"/>
    </row>
    <row r="486" spans="1:8" s="81" customFormat="1" ht="15" customHeight="1">
      <c r="A486" s="161"/>
      <c r="B486" s="151" t="s">
        <v>117</v>
      </c>
      <c r="C486" s="113"/>
      <c r="D486" s="159">
        <f>0.21/1000</f>
        <v>2.0999999999999998E-4</v>
      </c>
      <c r="E486" s="48">
        <f>E481*D486</f>
        <v>1.6348499999999998E-2</v>
      </c>
      <c r="F486" s="109" t="s">
        <v>113</v>
      </c>
      <c r="G486" s="33"/>
      <c r="H486" s="104"/>
    </row>
    <row r="487" spans="1:8" s="82" customFormat="1" ht="15" customHeight="1">
      <c r="A487" s="161"/>
      <c r="B487" s="151" t="s">
        <v>118</v>
      </c>
      <c r="C487" s="113"/>
      <c r="D487" s="159">
        <v>4</v>
      </c>
      <c r="E487" s="48">
        <f>E481*D487</f>
        <v>311.39999999999998</v>
      </c>
      <c r="F487" s="109" t="s">
        <v>88</v>
      </c>
      <c r="G487" s="33"/>
      <c r="H487" s="104"/>
    </row>
    <row r="488" spans="1:8" s="81" customFormat="1" ht="15" customHeight="1">
      <c r="A488" s="161"/>
      <c r="B488" s="151" t="s">
        <v>119</v>
      </c>
      <c r="C488" s="113"/>
      <c r="D488" s="159"/>
      <c r="E488" s="48">
        <f>E481</f>
        <v>77.849999999999994</v>
      </c>
      <c r="F488" s="109" t="s">
        <v>90</v>
      </c>
      <c r="G488" s="33"/>
      <c r="H488" s="104"/>
    </row>
    <row r="489" spans="1:8" s="82" customFormat="1" ht="25.5" customHeight="1">
      <c r="A489" s="166">
        <f>A481+1</f>
        <v>31</v>
      </c>
      <c r="B489" s="99" t="s">
        <v>131</v>
      </c>
      <c r="C489" s="71" t="s">
        <v>58</v>
      </c>
      <c r="D489" s="159"/>
      <c r="E489" s="139">
        <f>E475</f>
        <v>77.849999999999994</v>
      </c>
      <c r="F489" s="71" t="s">
        <v>59</v>
      </c>
      <c r="G489" s="33">
        <v>95</v>
      </c>
      <c r="H489" s="104">
        <f>E489*G489</f>
        <v>7395.7499999999991</v>
      </c>
    </row>
    <row r="490" spans="1:8" s="81" customFormat="1" ht="15" customHeight="1">
      <c r="A490" s="161"/>
      <c r="B490" s="151" t="s">
        <v>132</v>
      </c>
      <c r="C490" s="113"/>
      <c r="D490" s="159">
        <v>1.1499999999999999</v>
      </c>
      <c r="E490" s="48">
        <f>E489*D490</f>
        <v>89.527499999999989</v>
      </c>
      <c r="F490" s="109" t="s">
        <v>70</v>
      </c>
      <c r="G490" s="33"/>
      <c r="H490" s="104"/>
    </row>
    <row r="491" spans="1:8" s="82" customFormat="1" ht="15" customHeight="1">
      <c r="A491" s="161"/>
      <c r="B491" s="151" t="s">
        <v>133</v>
      </c>
      <c r="C491" s="113"/>
      <c r="D491" s="159"/>
      <c r="E491" s="48">
        <f>E489</f>
        <v>77.849999999999994</v>
      </c>
      <c r="F491" s="109" t="s">
        <v>90</v>
      </c>
      <c r="G491" s="33"/>
      <c r="H491" s="104"/>
    </row>
    <row r="492" spans="1:8" s="82" customFormat="1" ht="15" customHeight="1">
      <c r="A492" s="166">
        <f>A489+1</f>
        <v>32</v>
      </c>
      <c r="B492" s="99" t="s">
        <v>123</v>
      </c>
      <c r="C492" s="71" t="s">
        <v>58</v>
      </c>
      <c r="D492" s="159"/>
      <c r="E492" s="139">
        <f>E475</f>
        <v>77.849999999999994</v>
      </c>
      <c r="F492" s="71" t="s">
        <v>59</v>
      </c>
      <c r="G492" s="33">
        <v>40</v>
      </c>
      <c r="H492" s="104">
        <f>E492*G492</f>
        <v>3114</v>
      </c>
    </row>
    <row r="493" spans="1:8" s="82" customFormat="1" ht="15" customHeight="1">
      <c r="A493" s="161"/>
      <c r="B493" s="151" t="s">
        <v>124</v>
      </c>
      <c r="C493" s="113"/>
      <c r="D493" s="159">
        <v>1.1000000000000001</v>
      </c>
      <c r="E493" s="48">
        <f>E492*D493</f>
        <v>85.635000000000005</v>
      </c>
      <c r="F493" s="109" t="s">
        <v>70</v>
      </c>
      <c r="G493" s="33"/>
      <c r="H493" s="104"/>
    </row>
    <row r="494" spans="1:8" s="81" customFormat="1" ht="15" customHeight="1">
      <c r="A494" s="161"/>
      <c r="B494" s="151" t="s">
        <v>125</v>
      </c>
      <c r="C494" s="113"/>
      <c r="D494" s="159"/>
      <c r="E494" s="48">
        <f>E492*D494</f>
        <v>0</v>
      </c>
      <c r="F494" s="109" t="s">
        <v>90</v>
      </c>
      <c r="G494" s="33"/>
      <c r="H494" s="104"/>
    </row>
    <row r="495" spans="1:8" s="82" customFormat="1" ht="15" customHeight="1">
      <c r="A495" s="166">
        <f>A492+1</f>
        <v>33</v>
      </c>
      <c r="B495" s="99" t="s">
        <v>157</v>
      </c>
      <c r="C495" s="71" t="s">
        <v>58</v>
      </c>
      <c r="D495" s="159"/>
      <c r="E495" s="139">
        <f>E475</f>
        <v>77.849999999999994</v>
      </c>
      <c r="F495" s="71" t="s">
        <v>59</v>
      </c>
      <c r="G495" s="33">
        <v>280</v>
      </c>
      <c r="H495" s="104">
        <f>E495*G495</f>
        <v>21798</v>
      </c>
    </row>
    <row r="496" spans="1:8" s="82" customFormat="1" ht="15" customHeight="1">
      <c r="A496" s="161"/>
      <c r="B496" s="151" t="s">
        <v>127</v>
      </c>
      <c r="C496" s="113"/>
      <c r="D496" s="159">
        <f>0.3*1.02</f>
        <v>0.30599999999999999</v>
      </c>
      <c r="E496" s="48">
        <f>E495*D496</f>
        <v>23.822099999999999</v>
      </c>
      <c r="F496" s="109" t="s">
        <v>128</v>
      </c>
      <c r="G496" s="33"/>
      <c r="H496" s="104"/>
    </row>
    <row r="497" spans="1:8" s="82" customFormat="1" ht="15" customHeight="1">
      <c r="A497" s="161"/>
      <c r="B497" s="151"/>
      <c r="C497" s="113"/>
      <c r="D497" s="102"/>
      <c r="E497" s="48"/>
      <c r="F497" s="109"/>
      <c r="G497" s="33"/>
      <c r="H497" s="104"/>
    </row>
    <row r="498" spans="1:8" s="82" customFormat="1" ht="15" customHeight="1">
      <c r="A498" s="155"/>
      <c r="B498" s="173" t="s">
        <v>158</v>
      </c>
      <c r="C498" s="169"/>
      <c r="D498" s="171"/>
      <c r="E498" s="170"/>
      <c r="F498" s="170"/>
      <c r="G498" s="33"/>
      <c r="H498" s="104"/>
    </row>
    <row r="499" spans="1:8" s="82" customFormat="1" ht="15" customHeight="1">
      <c r="A499" s="166">
        <f>A495+1</f>
        <v>34</v>
      </c>
      <c r="B499" s="99" t="s">
        <v>109</v>
      </c>
      <c r="C499" s="71" t="s">
        <v>38</v>
      </c>
      <c r="D499" s="159"/>
      <c r="E499" s="139">
        <v>120.5</v>
      </c>
      <c r="F499" s="71" t="s">
        <v>59</v>
      </c>
      <c r="G499" s="33">
        <v>535</v>
      </c>
      <c r="H499" s="104">
        <f>E499*G499</f>
        <v>64467.5</v>
      </c>
    </row>
    <row r="500" spans="1:8" s="82" customFormat="1" ht="15" customHeight="1">
      <c r="A500" s="161"/>
      <c r="B500" s="151" t="s">
        <v>40</v>
      </c>
      <c r="C500" s="113"/>
      <c r="D500" s="159">
        <v>1.1000000000000001</v>
      </c>
      <c r="E500" s="48">
        <f>E499*D500</f>
        <v>132.55000000000001</v>
      </c>
      <c r="F500" s="109" t="s">
        <v>70</v>
      </c>
      <c r="G500" s="33"/>
      <c r="H500" s="104"/>
    </row>
    <row r="501" spans="1:8" s="81" customFormat="1" ht="15" customHeight="1">
      <c r="A501" s="161"/>
      <c r="B501" s="151" t="s">
        <v>63</v>
      </c>
      <c r="C501" s="113"/>
      <c r="D501" s="159">
        <v>0.2</v>
      </c>
      <c r="E501" s="48">
        <f>E499*D501</f>
        <v>24.1</v>
      </c>
      <c r="F501" s="109" t="s">
        <v>19</v>
      </c>
      <c r="G501" s="33"/>
      <c r="H501" s="104"/>
    </row>
    <row r="502" spans="1:8" s="81" customFormat="1" ht="15" customHeight="1">
      <c r="A502" s="161"/>
      <c r="B502" s="151" t="s">
        <v>103</v>
      </c>
      <c r="C502" s="113"/>
      <c r="D502" s="159">
        <v>7.6</v>
      </c>
      <c r="E502" s="48">
        <f>E499*D502</f>
        <v>915.8</v>
      </c>
      <c r="F502" s="109" t="s">
        <v>14</v>
      </c>
      <c r="G502" s="33"/>
      <c r="H502" s="104"/>
    </row>
    <row r="503" spans="1:8" s="82" customFormat="1" ht="15" customHeight="1">
      <c r="A503" s="161"/>
      <c r="B503" s="151" t="s">
        <v>104</v>
      </c>
      <c r="C503" s="113"/>
      <c r="D503" s="159">
        <v>11</v>
      </c>
      <c r="E503" s="48">
        <f>E499*D503</f>
        <v>1325.5</v>
      </c>
      <c r="F503" s="109" t="s">
        <v>88</v>
      </c>
      <c r="G503" s="33"/>
      <c r="H503" s="104"/>
    </row>
    <row r="504" spans="1:8" s="81" customFormat="1" ht="15" customHeight="1">
      <c r="A504" s="161"/>
      <c r="B504" s="151" t="s">
        <v>105</v>
      </c>
      <c r="C504" s="113"/>
      <c r="D504" s="159">
        <v>0.4</v>
      </c>
      <c r="E504" s="48">
        <f>E499*D504</f>
        <v>48.2</v>
      </c>
      <c r="F504" s="109" t="s">
        <v>14</v>
      </c>
      <c r="G504" s="33"/>
      <c r="H504" s="104"/>
    </row>
    <row r="505" spans="1:8" s="82" customFormat="1" ht="15" customHeight="1">
      <c r="A505" s="166">
        <f>A499+1</f>
        <v>35</v>
      </c>
      <c r="B505" s="99" t="s">
        <v>121</v>
      </c>
      <c r="C505" s="71" t="s">
        <v>58</v>
      </c>
      <c r="D505" s="159"/>
      <c r="E505" s="139">
        <f>E499</f>
        <v>120.5</v>
      </c>
      <c r="F505" s="71" t="s">
        <v>59</v>
      </c>
      <c r="G505" s="33">
        <v>80</v>
      </c>
      <c r="H505" s="104">
        <f>E505*G505</f>
        <v>9640</v>
      </c>
    </row>
    <row r="506" spans="1:8" s="81" customFormat="1" ht="15" customHeight="1">
      <c r="A506" s="161"/>
      <c r="B506" s="151" t="s">
        <v>63</v>
      </c>
      <c r="C506" s="113"/>
      <c r="D506" s="159">
        <v>0.2</v>
      </c>
      <c r="E506" s="48">
        <f>E505*D506</f>
        <v>24.1</v>
      </c>
      <c r="F506" s="109" t="s">
        <v>19</v>
      </c>
      <c r="G506" s="33"/>
      <c r="H506" s="104"/>
    </row>
    <row r="507" spans="1:8" s="81" customFormat="1" ht="15" customHeight="1">
      <c r="A507" s="161"/>
      <c r="B507" s="151" t="s">
        <v>122</v>
      </c>
      <c r="C507" s="113"/>
      <c r="D507" s="159">
        <v>4.8</v>
      </c>
      <c r="E507" s="48">
        <f>E505*D507</f>
        <v>578.4</v>
      </c>
      <c r="F507" s="109" t="s">
        <v>14</v>
      </c>
      <c r="G507" s="33"/>
      <c r="H507" s="104"/>
    </row>
    <row r="508" spans="1:8" s="82" customFormat="1" ht="25.5" customHeight="1">
      <c r="A508" s="166">
        <f>A505+1</f>
        <v>36</v>
      </c>
      <c r="B508" s="99" t="s">
        <v>159</v>
      </c>
      <c r="C508" s="71" t="s">
        <v>58</v>
      </c>
      <c r="D508" s="159"/>
      <c r="E508" s="139">
        <f>E499</f>
        <v>120.5</v>
      </c>
      <c r="F508" s="71" t="s">
        <v>59</v>
      </c>
      <c r="G508" s="33">
        <v>200</v>
      </c>
      <c r="H508" s="104">
        <f>E508*G508</f>
        <v>24100</v>
      </c>
    </row>
    <row r="509" spans="1:8" s="81" customFormat="1" ht="15" customHeight="1">
      <c r="A509" s="161"/>
      <c r="B509" s="151" t="s">
        <v>112</v>
      </c>
      <c r="C509" s="113"/>
      <c r="D509" s="159">
        <f>(499*0.07*1.02)/1000</f>
        <v>3.5628600000000003E-2</v>
      </c>
      <c r="E509" s="48">
        <f>E508*D509</f>
        <v>4.2932463000000007</v>
      </c>
      <c r="F509" s="109" t="s">
        <v>113</v>
      </c>
      <c r="G509" s="33"/>
      <c r="H509" s="104"/>
    </row>
    <row r="510" spans="1:8" s="81" customFormat="1" ht="15" customHeight="1">
      <c r="A510" s="161"/>
      <c r="B510" s="151" t="s">
        <v>114</v>
      </c>
      <c r="C510" s="113"/>
      <c r="D510" s="159">
        <f>(1792*0.8*0.07*1.02)/1000</f>
        <v>0.10235904000000003</v>
      </c>
      <c r="E510" s="48">
        <f>E508*D510</f>
        <v>12.334264320000003</v>
      </c>
      <c r="F510" s="109" t="s">
        <v>113</v>
      </c>
      <c r="G510" s="33"/>
      <c r="H510" s="104"/>
    </row>
    <row r="511" spans="1:8" s="82" customFormat="1" ht="15" customHeight="1">
      <c r="A511" s="161"/>
      <c r="B511" s="151" t="s">
        <v>115</v>
      </c>
      <c r="C511" s="113"/>
      <c r="D511" s="159">
        <f>(1792*0.2*0.07*1.02)/1000</f>
        <v>2.5589760000000007E-2</v>
      </c>
      <c r="E511" s="48">
        <f>E508*D511</f>
        <v>3.0835660800000007</v>
      </c>
      <c r="F511" s="109" t="s">
        <v>113</v>
      </c>
      <c r="G511" s="33"/>
      <c r="H511" s="104"/>
    </row>
    <row r="512" spans="1:8" s="82" customFormat="1" ht="15" customHeight="1">
      <c r="A512" s="161"/>
      <c r="B512" s="151" t="s">
        <v>116</v>
      </c>
      <c r="C512" s="113"/>
      <c r="D512" s="159">
        <v>1.1000000000000001</v>
      </c>
      <c r="E512" s="48">
        <f>E508*D512</f>
        <v>132.55000000000001</v>
      </c>
      <c r="F512" s="109" t="s">
        <v>70</v>
      </c>
      <c r="G512" s="33"/>
      <c r="H512" s="104"/>
    </row>
    <row r="513" spans="1:8" s="81" customFormat="1" ht="15" customHeight="1">
      <c r="A513" s="161"/>
      <c r="B513" s="151" t="s">
        <v>117</v>
      </c>
      <c r="C513" s="113"/>
      <c r="D513" s="159">
        <f>0.21/1000</f>
        <v>2.0999999999999998E-4</v>
      </c>
      <c r="E513" s="48">
        <f>E508*D513</f>
        <v>2.5304999999999998E-2</v>
      </c>
      <c r="F513" s="109" t="s">
        <v>113</v>
      </c>
      <c r="G513" s="33"/>
      <c r="H513" s="104"/>
    </row>
    <row r="514" spans="1:8" s="82" customFormat="1" ht="15" customHeight="1">
      <c r="A514" s="161"/>
      <c r="B514" s="151" t="s">
        <v>118</v>
      </c>
      <c r="C514" s="113"/>
      <c r="D514" s="159">
        <v>4</v>
      </c>
      <c r="E514" s="48">
        <f>E508*D514</f>
        <v>482</v>
      </c>
      <c r="F514" s="109" t="s">
        <v>88</v>
      </c>
      <c r="G514" s="33"/>
      <c r="H514" s="104"/>
    </row>
    <row r="515" spans="1:8" s="81" customFormat="1" ht="15" customHeight="1">
      <c r="A515" s="161"/>
      <c r="B515" s="151" t="s">
        <v>119</v>
      </c>
      <c r="C515" s="113"/>
      <c r="D515" s="159"/>
      <c r="E515" s="48">
        <f>E508</f>
        <v>120.5</v>
      </c>
      <c r="F515" s="109" t="s">
        <v>90</v>
      </c>
      <c r="G515" s="33"/>
      <c r="H515" s="104"/>
    </row>
    <row r="516" spans="1:8" s="82" customFormat="1" ht="25.5" customHeight="1">
      <c r="A516" s="166">
        <f>A508+1</f>
        <v>37</v>
      </c>
      <c r="B516" s="99" t="s">
        <v>160</v>
      </c>
      <c r="C516" s="71" t="s">
        <v>58</v>
      </c>
      <c r="D516" s="159"/>
      <c r="E516" s="139">
        <f>E499</f>
        <v>120.5</v>
      </c>
      <c r="F516" s="71" t="s">
        <v>59</v>
      </c>
      <c r="G516" s="33">
        <v>95</v>
      </c>
      <c r="H516" s="104">
        <f>E516*G516</f>
        <v>11447.5</v>
      </c>
    </row>
    <row r="517" spans="1:8" s="81" customFormat="1" ht="15" customHeight="1">
      <c r="A517" s="161"/>
      <c r="B517" s="151" t="s">
        <v>132</v>
      </c>
      <c r="C517" s="113"/>
      <c r="D517" s="159">
        <v>1.3</v>
      </c>
      <c r="E517" s="48">
        <f>E516*D517</f>
        <v>156.65</v>
      </c>
      <c r="F517" s="109" t="s">
        <v>70</v>
      </c>
      <c r="G517" s="33"/>
      <c r="H517" s="104"/>
    </row>
    <row r="518" spans="1:8" s="82" customFormat="1" ht="15" customHeight="1">
      <c r="A518" s="161"/>
      <c r="B518" s="151" t="s">
        <v>133</v>
      </c>
      <c r="C518" s="113"/>
      <c r="D518" s="159"/>
      <c r="E518" s="48">
        <f>E516</f>
        <v>120.5</v>
      </c>
      <c r="F518" s="109" t="s">
        <v>90</v>
      </c>
      <c r="G518" s="33"/>
      <c r="H518" s="104"/>
    </row>
    <row r="519" spans="1:8" s="82" customFormat="1" ht="15" customHeight="1">
      <c r="A519" s="166">
        <f>A516+1</f>
        <v>38</v>
      </c>
      <c r="B519" s="99" t="s">
        <v>134</v>
      </c>
      <c r="C519" s="71" t="s">
        <v>58</v>
      </c>
      <c r="D519" s="159"/>
      <c r="E519" s="139">
        <f>E499</f>
        <v>120.5</v>
      </c>
      <c r="F519" s="71" t="s">
        <v>59</v>
      </c>
      <c r="G519" s="33">
        <v>120</v>
      </c>
      <c r="H519" s="104">
        <f>E519*G519</f>
        <v>14460</v>
      </c>
    </row>
    <row r="520" spans="1:8" s="82" customFormat="1" ht="15" customHeight="1">
      <c r="A520" s="161"/>
      <c r="B520" s="151" t="s">
        <v>135</v>
      </c>
      <c r="C520" s="113"/>
      <c r="D520" s="159">
        <f>1.15</f>
        <v>1.1499999999999999</v>
      </c>
      <c r="E520" s="48">
        <f>E519*D520</f>
        <v>138.57499999999999</v>
      </c>
      <c r="F520" s="109" t="s">
        <v>70</v>
      </c>
      <c r="G520" s="33"/>
      <c r="H520" s="104"/>
    </row>
    <row r="521" spans="1:8" s="81" customFormat="1" ht="15" customHeight="1">
      <c r="A521" s="161"/>
      <c r="B521" s="151" t="s">
        <v>136</v>
      </c>
      <c r="C521" s="113"/>
      <c r="D521" s="159">
        <v>0.3</v>
      </c>
      <c r="E521" s="48">
        <f>E519*D521</f>
        <v>36.15</v>
      </c>
      <c r="F521" s="109" t="s">
        <v>14</v>
      </c>
      <c r="G521" s="33"/>
      <c r="H521" s="104"/>
    </row>
    <row r="522" spans="1:8" s="82" customFormat="1" ht="15" customHeight="1">
      <c r="A522" s="166"/>
      <c r="B522" s="151" t="s">
        <v>137</v>
      </c>
      <c r="C522" s="113"/>
      <c r="D522" s="102">
        <v>1</v>
      </c>
      <c r="E522" s="48">
        <f>D522*E519</f>
        <v>120.5</v>
      </c>
      <c r="F522" s="109" t="s">
        <v>19</v>
      </c>
      <c r="G522" s="33"/>
      <c r="H522" s="104"/>
    </row>
    <row r="523" spans="1:8" s="82" customFormat="1" ht="25.5" customHeight="1">
      <c r="A523" s="166">
        <f>A519+1</f>
        <v>39</v>
      </c>
      <c r="B523" s="174" t="s">
        <v>161</v>
      </c>
      <c r="C523" s="113"/>
      <c r="D523" s="102"/>
      <c r="E523" s="131">
        <f>1.3*0.9*0.2</f>
        <v>0.23400000000000004</v>
      </c>
      <c r="F523" s="71" t="s">
        <v>162</v>
      </c>
      <c r="G523" s="33">
        <v>9600</v>
      </c>
      <c r="H523" s="104">
        <f>E523*G523</f>
        <v>2246.4000000000005</v>
      </c>
    </row>
    <row r="524" spans="1:8" s="82" customFormat="1" ht="15" customHeight="1">
      <c r="A524" s="161"/>
      <c r="B524" s="175" t="s">
        <v>163</v>
      </c>
      <c r="C524" s="113"/>
      <c r="D524" s="102"/>
      <c r="E524" s="48">
        <v>12</v>
      </c>
      <c r="F524" s="109" t="s">
        <v>42</v>
      </c>
      <c r="G524" s="33"/>
      <c r="H524" s="104"/>
    </row>
    <row r="525" spans="1:8" s="82" customFormat="1" ht="25.5" customHeight="1">
      <c r="A525" s="161"/>
      <c r="B525" s="175" t="s">
        <v>164</v>
      </c>
      <c r="C525" s="113"/>
      <c r="D525" s="102"/>
      <c r="E525" s="48">
        <f>0.11*0.14*12</f>
        <v>0.18480000000000002</v>
      </c>
      <c r="F525" s="109" t="s">
        <v>14</v>
      </c>
      <c r="G525" s="33"/>
      <c r="H525" s="104"/>
    </row>
    <row r="526" spans="1:8" s="82" customFormat="1" ht="15" customHeight="1">
      <c r="A526" s="161"/>
      <c r="B526" s="175" t="s">
        <v>165</v>
      </c>
      <c r="C526" s="176"/>
      <c r="D526" s="177">
        <v>1.0149999999999999</v>
      </c>
      <c r="E526" s="178">
        <f>E523*D526</f>
        <v>0.23751000000000003</v>
      </c>
      <c r="F526" s="175" t="s">
        <v>162</v>
      </c>
      <c r="G526" s="33"/>
      <c r="H526" s="104"/>
    </row>
    <row r="527" spans="1:8" s="81" customFormat="1" ht="15" customHeight="1">
      <c r="A527" s="161"/>
      <c r="B527" s="175" t="s">
        <v>166</v>
      </c>
      <c r="C527" s="176"/>
      <c r="D527" s="177">
        <v>1.05</v>
      </c>
      <c r="E527" s="178">
        <f>1.3*0.9*D527</f>
        <v>1.2285000000000001</v>
      </c>
      <c r="F527" s="175" t="s">
        <v>12</v>
      </c>
      <c r="G527" s="33"/>
      <c r="H527" s="104"/>
    </row>
    <row r="528" spans="1:8" s="81" customFormat="1" ht="15" customHeight="1">
      <c r="A528" s="161"/>
      <c r="B528" s="175" t="s">
        <v>167</v>
      </c>
      <c r="C528" s="176"/>
      <c r="D528" s="177">
        <v>1.1000000000000001</v>
      </c>
      <c r="E528" s="178">
        <f>1.3*0.9*D528</f>
        <v>1.2870000000000004</v>
      </c>
      <c r="F528" s="175" t="s">
        <v>12</v>
      </c>
      <c r="G528" s="33"/>
      <c r="H528" s="104"/>
    </row>
    <row r="529" spans="1:8" s="81" customFormat="1" ht="15" customHeight="1">
      <c r="A529" s="161"/>
      <c r="B529" s="141" t="s">
        <v>168</v>
      </c>
      <c r="C529" s="12"/>
      <c r="D529" s="14">
        <v>0.15</v>
      </c>
      <c r="E529" s="106">
        <f>D529*((1.3*2+0.9*2)*0.15+1.3*0.9)</f>
        <v>0.27450000000000002</v>
      </c>
      <c r="F529" s="80" t="s">
        <v>14</v>
      </c>
      <c r="G529" s="33"/>
      <c r="H529" s="104"/>
    </row>
    <row r="530" spans="1:8" s="81" customFormat="1" ht="15" customHeight="1">
      <c r="A530" s="161"/>
      <c r="B530" s="151" t="s">
        <v>169</v>
      </c>
      <c r="C530" s="113"/>
      <c r="D530" s="102">
        <v>0.3</v>
      </c>
      <c r="E530" s="106">
        <f>D530*((1.3*2+0.9*2)*0.15+1.3*0.9)</f>
        <v>0.54900000000000004</v>
      </c>
      <c r="F530" s="109" t="s">
        <v>14</v>
      </c>
      <c r="G530" s="33"/>
      <c r="H530" s="104"/>
    </row>
    <row r="531" spans="1:8" s="82" customFormat="1" ht="15" customHeight="1">
      <c r="A531" s="161"/>
      <c r="B531" s="179"/>
      <c r="C531" s="176"/>
      <c r="D531" s="177"/>
      <c r="E531" s="178"/>
      <c r="F531" s="175"/>
      <c r="G531" s="33"/>
      <c r="H531" s="104"/>
    </row>
    <row r="532" spans="1:8" s="82" customFormat="1" ht="25.5" customHeight="1">
      <c r="A532" s="166">
        <f>A523+1</f>
        <v>40</v>
      </c>
      <c r="B532" s="174" t="s">
        <v>170</v>
      </c>
      <c r="C532" s="113"/>
      <c r="D532" s="102"/>
      <c r="E532" s="131">
        <f>1.23*0.87*0.2</f>
        <v>0.21402000000000002</v>
      </c>
      <c r="F532" s="71" t="s">
        <v>162</v>
      </c>
      <c r="G532" s="33">
        <v>9600</v>
      </c>
      <c r="H532" s="104">
        <f>E532*G532</f>
        <v>2054.5920000000001</v>
      </c>
    </row>
    <row r="533" spans="1:8" s="82" customFormat="1" ht="15" customHeight="1">
      <c r="A533" s="161"/>
      <c r="B533" s="175" t="s">
        <v>163</v>
      </c>
      <c r="C533" s="113"/>
      <c r="D533" s="102"/>
      <c r="E533" s="48">
        <v>12</v>
      </c>
      <c r="F533" s="109" t="s">
        <v>42</v>
      </c>
      <c r="G533" s="33"/>
      <c r="H533" s="104"/>
    </row>
    <row r="534" spans="1:8" s="82" customFormat="1" ht="25.5" customHeight="1">
      <c r="A534" s="161"/>
      <c r="B534" s="175" t="s">
        <v>164</v>
      </c>
      <c r="C534" s="113"/>
      <c r="D534" s="102"/>
      <c r="E534" s="48">
        <f>0.11*0.14*12</f>
        <v>0.18480000000000002</v>
      </c>
      <c r="F534" s="109" t="s">
        <v>14</v>
      </c>
      <c r="G534" s="33"/>
      <c r="H534" s="104"/>
    </row>
    <row r="535" spans="1:8" s="82" customFormat="1" ht="15" customHeight="1">
      <c r="A535" s="161"/>
      <c r="B535" s="175" t="s">
        <v>165</v>
      </c>
      <c r="C535" s="113"/>
      <c r="D535" s="177">
        <v>1.0149999999999999</v>
      </c>
      <c r="E535" s="178">
        <f>E532*D535</f>
        <v>0.21723029999999999</v>
      </c>
      <c r="F535" s="175" t="s">
        <v>162</v>
      </c>
      <c r="G535" s="33"/>
      <c r="H535" s="104"/>
    </row>
    <row r="536" spans="1:8" s="81" customFormat="1" ht="15" customHeight="1">
      <c r="A536" s="161"/>
      <c r="B536" s="175" t="s">
        <v>166</v>
      </c>
      <c r="C536" s="176"/>
      <c r="D536" s="177">
        <v>1.05</v>
      </c>
      <c r="E536" s="178">
        <f>1.23*0.87*D536</f>
        <v>1.1236050000000002</v>
      </c>
      <c r="F536" s="175" t="s">
        <v>12</v>
      </c>
      <c r="G536" s="33"/>
      <c r="H536" s="104"/>
    </row>
    <row r="537" spans="1:8" s="81" customFormat="1" ht="15" customHeight="1">
      <c r="A537" s="161"/>
      <c r="B537" s="175" t="s">
        <v>167</v>
      </c>
      <c r="C537" s="180"/>
      <c r="D537" s="177">
        <v>1.1000000000000001</v>
      </c>
      <c r="E537" s="178">
        <f>1.23*0.87*D537</f>
        <v>1.1771100000000001</v>
      </c>
      <c r="F537" s="175" t="s">
        <v>12</v>
      </c>
      <c r="G537" s="33"/>
      <c r="H537" s="104"/>
    </row>
    <row r="538" spans="1:8" s="81" customFormat="1" ht="15" customHeight="1">
      <c r="A538" s="161"/>
      <c r="B538" s="141" t="s">
        <v>168</v>
      </c>
      <c r="C538" s="12"/>
      <c r="D538" s="14">
        <v>0.15</v>
      </c>
      <c r="E538" s="106">
        <f>D538*((1.23*2+0.87*2)*0.15+1.23*0.87)</f>
        <v>0.25501499999999999</v>
      </c>
      <c r="F538" s="80" t="s">
        <v>14</v>
      </c>
      <c r="G538" s="33"/>
      <c r="H538" s="104"/>
    </row>
    <row r="539" spans="1:8" s="81" customFormat="1" ht="15" customHeight="1">
      <c r="A539" s="161"/>
      <c r="B539" s="151" t="s">
        <v>169</v>
      </c>
      <c r="C539" s="113"/>
      <c r="D539" s="102">
        <v>0.3</v>
      </c>
      <c r="E539" s="106">
        <f>D539*((1.23*2+0.87*2)*0.15+1.23*0.87)</f>
        <v>0.51002999999999998</v>
      </c>
      <c r="F539" s="109" t="s">
        <v>14</v>
      </c>
      <c r="G539" s="33"/>
      <c r="H539" s="104"/>
    </row>
    <row r="540" spans="1:8" s="82" customFormat="1" ht="15" customHeight="1">
      <c r="A540" s="161"/>
      <c r="B540" s="181"/>
      <c r="C540" s="176"/>
      <c r="D540" s="177"/>
      <c r="E540" s="178"/>
      <c r="F540" s="175"/>
      <c r="G540" s="33"/>
      <c r="H540" s="104"/>
    </row>
    <row r="541" spans="1:8" s="82" customFormat="1" ht="25.5" customHeight="1">
      <c r="A541" s="166">
        <f>A532+1</f>
        <v>41</v>
      </c>
      <c r="B541" s="174" t="s">
        <v>171</v>
      </c>
      <c r="C541" s="113"/>
      <c r="D541" s="102"/>
      <c r="E541" s="131">
        <f>0.8*0.5*0.2</f>
        <v>8.0000000000000016E-2</v>
      </c>
      <c r="F541" s="71" t="s">
        <v>162</v>
      </c>
      <c r="G541" s="33">
        <v>9600</v>
      </c>
      <c r="H541" s="104">
        <f>E541*G541</f>
        <v>768.00000000000011</v>
      </c>
    </row>
    <row r="542" spans="1:8" s="82" customFormat="1" ht="15" customHeight="1">
      <c r="A542" s="161"/>
      <c r="B542" s="175" t="s">
        <v>163</v>
      </c>
      <c r="C542" s="113"/>
      <c r="D542" s="102"/>
      <c r="E542" s="48">
        <v>6</v>
      </c>
      <c r="F542" s="109" t="s">
        <v>42</v>
      </c>
      <c r="G542" s="33"/>
      <c r="H542" s="104"/>
    </row>
    <row r="543" spans="1:8" s="82" customFormat="1" ht="25.5" customHeight="1">
      <c r="A543" s="161"/>
      <c r="B543" s="175" t="s">
        <v>164</v>
      </c>
      <c r="C543" s="113"/>
      <c r="D543" s="102"/>
      <c r="E543" s="48">
        <f>0.14*0.14*6</f>
        <v>0.11760000000000001</v>
      </c>
      <c r="F543" s="109" t="s">
        <v>14</v>
      </c>
      <c r="G543" s="33"/>
      <c r="H543" s="104"/>
    </row>
    <row r="544" spans="1:8" s="82" customFormat="1" ht="15" customHeight="1">
      <c r="A544" s="161"/>
      <c r="B544" s="175" t="s">
        <v>165</v>
      </c>
      <c r="C544" s="176"/>
      <c r="D544" s="177">
        <v>1.0149999999999999</v>
      </c>
      <c r="E544" s="178">
        <f>E541*D544</f>
        <v>8.1200000000000008E-2</v>
      </c>
      <c r="F544" s="175" t="s">
        <v>162</v>
      </c>
      <c r="G544" s="33"/>
      <c r="H544" s="104"/>
    </row>
    <row r="545" spans="1:8" s="81" customFormat="1" ht="15" customHeight="1">
      <c r="A545" s="161"/>
      <c r="B545" s="175" t="s">
        <v>166</v>
      </c>
      <c r="C545" s="176"/>
      <c r="D545" s="177">
        <v>1.05</v>
      </c>
      <c r="E545" s="178">
        <f>0.5*0.8*D545</f>
        <v>0.42000000000000004</v>
      </c>
      <c r="F545" s="175" t="s">
        <v>12</v>
      </c>
      <c r="G545" s="33"/>
      <c r="H545" s="104"/>
    </row>
    <row r="546" spans="1:8" s="81" customFormat="1" ht="15" customHeight="1">
      <c r="A546" s="161"/>
      <c r="B546" s="175" t="s">
        <v>167</v>
      </c>
      <c r="C546" s="176"/>
      <c r="D546" s="177">
        <v>1.1000000000000001</v>
      </c>
      <c r="E546" s="178">
        <f>0.5*0.8*D546</f>
        <v>0.44000000000000006</v>
      </c>
      <c r="F546" s="175" t="s">
        <v>12</v>
      </c>
      <c r="G546" s="33"/>
      <c r="H546" s="104"/>
    </row>
    <row r="547" spans="1:8" s="81" customFormat="1" ht="15" customHeight="1">
      <c r="A547" s="161"/>
      <c r="B547" s="141" t="s">
        <v>168</v>
      </c>
      <c r="C547" s="12"/>
      <c r="D547" s="14">
        <v>0.15</v>
      </c>
      <c r="E547" s="106">
        <f>D547*((0.8*2+0.5*2)*0.15+0.8*0.5)</f>
        <v>0.11849999999999999</v>
      </c>
      <c r="F547" s="80" t="s">
        <v>14</v>
      </c>
      <c r="G547" s="33"/>
      <c r="H547" s="104"/>
    </row>
    <row r="548" spans="1:8" s="81" customFormat="1" ht="15" customHeight="1">
      <c r="A548" s="161"/>
      <c r="B548" s="151" t="s">
        <v>169</v>
      </c>
      <c r="C548" s="113"/>
      <c r="D548" s="102">
        <v>0.3</v>
      </c>
      <c r="E548" s="106">
        <f>D548*((0.8*2+0.5*2)*0.15+0.8*0.5)</f>
        <v>0.23699999999999999</v>
      </c>
      <c r="F548" s="109" t="s">
        <v>14</v>
      </c>
      <c r="G548" s="33"/>
      <c r="H548" s="104"/>
    </row>
    <row r="549" spans="1:8" s="82" customFormat="1" ht="15" customHeight="1">
      <c r="A549" s="161"/>
      <c r="B549" s="181"/>
      <c r="C549" s="176"/>
      <c r="D549" s="177"/>
      <c r="E549" s="178"/>
      <c r="F549" s="175"/>
      <c r="G549" s="33"/>
      <c r="H549" s="104"/>
    </row>
    <row r="550" spans="1:8" s="82" customFormat="1" ht="25.5" customHeight="1">
      <c r="A550" s="166">
        <f>A541+1</f>
        <v>42</v>
      </c>
      <c r="B550" s="174" t="s">
        <v>172</v>
      </c>
      <c r="C550" s="113"/>
      <c r="D550" s="102"/>
      <c r="E550" s="131">
        <f>2.2*1.1*0.15</f>
        <v>0.36300000000000004</v>
      </c>
      <c r="F550" s="71" t="s">
        <v>162</v>
      </c>
      <c r="G550" s="33">
        <v>9600</v>
      </c>
      <c r="H550" s="104">
        <f>E550*G550</f>
        <v>3484.8000000000006</v>
      </c>
    </row>
    <row r="551" spans="1:8" s="82" customFormat="1" ht="15" customHeight="1">
      <c r="A551" s="161"/>
      <c r="B551" s="175" t="s">
        <v>163</v>
      </c>
      <c r="C551" s="113"/>
      <c r="D551" s="102"/>
      <c r="E551" s="48">
        <v>14</v>
      </c>
      <c r="F551" s="109" t="s">
        <v>42</v>
      </c>
      <c r="G551" s="33"/>
      <c r="H551" s="104"/>
    </row>
    <row r="552" spans="1:8" s="82" customFormat="1" ht="25.5" customHeight="1">
      <c r="A552" s="161"/>
      <c r="B552" s="175" t="s">
        <v>164</v>
      </c>
      <c r="C552" s="113"/>
      <c r="D552" s="102"/>
      <c r="E552" s="48">
        <f>0.14*0.14*14</f>
        <v>0.27440000000000003</v>
      </c>
      <c r="F552" s="109" t="s">
        <v>14</v>
      </c>
      <c r="G552" s="33"/>
      <c r="H552" s="104"/>
    </row>
    <row r="553" spans="1:8" s="82" customFormat="1" ht="15" customHeight="1">
      <c r="A553" s="161"/>
      <c r="B553" s="175" t="s">
        <v>165</v>
      </c>
      <c r="C553" s="176"/>
      <c r="D553" s="177">
        <v>1.0149999999999999</v>
      </c>
      <c r="E553" s="178">
        <f>E550*D553</f>
        <v>0.36844500000000002</v>
      </c>
      <c r="F553" s="175" t="s">
        <v>162</v>
      </c>
      <c r="G553" s="33"/>
      <c r="H553" s="104"/>
    </row>
    <row r="554" spans="1:8" s="81" customFormat="1" ht="15" customHeight="1">
      <c r="A554" s="161"/>
      <c r="B554" s="175" t="s">
        <v>166</v>
      </c>
      <c r="C554" s="176"/>
      <c r="D554" s="177">
        <v>1.05</v>
      </c>
      <c r="E554" s="178">
        <f>2.2*1.1*0.87*D554</f>
        <v>2.2106700000000004</v>
      </c>
      <c r="F554" s="175" t="s">
        <v>12</v>
      </c>
      <c r="G554" s="33"/>
      <c r="H554" s="104"/>
    </row>
    <row r="555" spans="1:8" s="81" customFormat="1" ht="15" customHeight="1">
      <c r="A555" s="161"/>
      <c r="B555" s="175" t="s">
        <v>167</v>
      </c>
      <c r="C555" s="176"/>
      <c r="D555" s="177">
        <v>1.1000000000000001</v>
      </c>
      <c r="E555" s="178">
        <f>2.2*1.1*D555</f>
        <v>2.6620000000000008</v>
      </c>
      <c r="F555" s="175" t="s">
        <v>12</v>
      </c>
      <c r="G555" s="33"/>
      <c r="H555" s="104"/>
    </row>
    <row r="556" spans="1:8" s="81" customFormat="1" ht="15" customHeight="1">
      <c r="A556" s="161"/>
      <c r="B556" s="141" t="s">
        <v>168</v>
      </c>
      <c r="C556" s="12"/>
      <c r="D556" s="14">
        <v>0.15</v>
      </c>
      <c r="E556" s="106">
        <f>D556*((2.2*2+1.1*2)*0.15+2.2*1.1)</f>
        <v>0.51149999999999995</v>
      </c>
      <c r="F556" s="80" t="s">
        <v>14</v>
      </c>
      <c r="G556" s="33"/>
      <c r="H556" s="104"/>
    </row>
    <row r="557" spans="1:8" s="81" customFormat="1" ht="15" customHeight="1">
      <c r="A557" s="161"/>
      <c r="B557" s="151" t="s">
        <v>169</v>
      </c>
      <c r="C557" s="113"/>
      <c r="D557" s="102">
        <v>0.3</v>
      </c>
      <c r="E557" s="106">
        <f>D557*((2.2*2+1.1*2)*0.15+2.2*1.1)</f>
        <v>1.0229999999999999</v>
      </c>
      <c r="F557" s="109" t="s">
        <v>14</v>
      </c>
      <c r="G557" s="33"/>
      <c r="H557" s="104"/>
    </row>
    <row r="558" spans="1:8" s="82" customFormat="1" ht="15" customHeight="1">
      <c r="A558" s="161"/>
      <c r="B558" s="151"/>
      <c r="C558" s="113"/>
      <c r="D558" s="102"/>
      <c r="E558" s="48"/>
      <c r="F558" s="109"/>
      <c r="G558" s="33"/>
      <c r="H558" s="104"/>
    </row>
    <row r="559" spans="1:8" s="82" customFormat="1" ht="15" customHeight="1">
      <c r="A559" s="155"/>
      <c r="B559" s="167" t="s">
        <v>138</v>
      </c>
      <c r="C559" s="169"/>
      <c r="D559" s="171"/>
      <c r="E559" s="170"/>
      <c r="F559" s="170"/>
      <c r="G559" s="33"/>
      <c r="H559" s="104"/>
    </row>
    <row r="560" spans="1:8" s="82" customFormat="1" ht="25.5" customHeight="1">
      <c r="A560" s="166">
        <f>A550+1</f>
        <v>43</v>
      </c>
      <c r="B560" s="99" t="s">
        <v>139</v>
      </c>
      <c r="C560" s="71" t="s">
        <v>38</v>
      </c>
      <c r="D560" s="102"/>
      <c r="E560" s="139">
        <f>671.6+95.2+133.06</f>
        <v>899.86000000000013</v>
      </c>
      <c r="F560" s="71" t="s">
        <v>90</v>
      </c>
      <c r="G560" s="33">
        <v>160</v>
      </c>
      <c r="H560" s="104">
        <f>E560*G560</f>
        <v>143977.60000000003</v>
      </c>
    </row>
    <row r="561" spans="1:8" s="82" customFormat="1" ht="15" customHeight="1">
      <c r="A561" s="161"/>
      <c r="B561" s="151" t="s">
        <v>40</v>
      </c>
      <c r="C561" s="113"/>
      <c r="D561" s="102">
        <f>1.1*0.1</f>
        <v>0.11000000000000001</v>
      </c>
      <c r="E561" s="48">
        <f>E560*D561</f>
        <v>98.984600000000029</v>
      </c>
      <c r="F561" s="109" t="s">
        <v>70</v>
      </c>
      <c r="G561" s="33"/>
      <c r="H561" s="104"/>
    </row>
    <row r="562" spans="1:8" s="81" customFormat="1" ht="15" customHeight="1">
      <c r="A562" s="161"/>
      <c r="B562" s="151" t="s">
        <v>63</v>
      </c>
      <c r="C562" s="113"/>
      <c r="D562" s="102">
        <f>0.15*0.1</f>
        <v>1.4999999999999999E-2</v>
      </c>
      <c r="E562" s="48">
        <f>E560*D562</f>
        <v>13.497900000000001</v>
      </c>
      <c r="F562" s="109" t="s">
        <v>19</v>
      </c>
      <c r="G562" s="33"/>
      <c r="H562" s="104"/>
    </row>
    <row r="563" spans="1:8" s="81" customFormat="1" ht="15" customHeight="1">
      <c r="A563" s="161"/>
      <c r="B563" s="151" t="s">
        <v>103</v>
      </c>
      <c r="C563" s="113"/>
      <c r="D563" s="102">
        <f>7.6*0.1</f>
        <v>0.76</v>
      </c>
      <c r="E563" s="48">
        <f>E560*D563</f>
        <v>683.89360000000011</v>
      </c>
      <c r="F563" s="109" t="s">
        <v>14</v>
      </c>
      <c r="G563" s="33"/>
      <c r="H563" s="104"/>
    </row>
    <row r="564" spans="1:8" s="81" customFormat="1" ht="15" customHeight="1">
      <c r="A564" s="161"/>
      <c r="B564" s="151" t="s">
        <v>105</v>
      </c>
      <c r="C564" s="113"/>
      <c r="D564" s="102">
        <f>0.4*0.1</f>
        <v>4.0000000000000008E-2</v>
      </c>
      <c r="E564" s="48">
        <f>E560*D564</f>
        <v>35.994400000000013</v>
      </c>
      <c r="F564" s="109" t="s">
        <v>14</v>
      </c>
      <c r="G564" s="33"/>
      <c r="H564" s="104"/>
    </row>
    <row r="565" spans="1:8" s="82" customFormat="1" ht="15" customHeight="1">
      <c r="A565" s="161"/>
      <c r="B565" s="151"/>
      <c r="C565" s="113"/>
      <c r="D565" s="102"/>
      <c r="E565" s="48"/>
      <c r="F565" s="109"/>
      <c r="G565" s="33"/>
      <c r="H565" s="104"/>
    </row>
    <row r="566" spans="1:8" s="82" customFormat="1" ht="15" customHeight="1">
      <c r="A566" s="182"/>
      <c r="B566" s="85" t="s">
        <v>173</v>
      </c>
      <c r="C566" s="86"/>
      <c r="D566" s="88"/>
      <c r="E566" s="87"/>
      <c r="F566" s="87"/>
      <c r="G566" s="33"/>
      <c r="H566" s="104"/>
    </row>
    <row r="567" spans="1:8" s="82" customFormat="1" ht="15" customHeight="1">
      <c r="A567" s="42"/>
      <c r="B567" s="23" t="s">
        <v>9</v>
      </c>
      <c r="C567" s="89"/>
      <c r="D567" s="91"/>
      <c r="E567" s="92"/>
      <c r="F567" s="90"/>
      <c r="G567" s="33"/>
      <c r="H567" s="104"/>
    </row>
    <row r="568" spans="1:8" s="82" customFormat="1" ht="25.5" customHeight="1">
      <c r="A568" s="93"/>
      <c r="B568" s="94" t="s">
        <v>174</v>
      </c>
      <c r="C568" s="94"/>
      <c r="D568" s="96"/>
      <c r="E568" s="97"/>
      <c r="F568" s="95"/>
      <c r="G568" s="33"/>
      <c r="H568" s="104"/>
    </row>
    <row r="569" spans="1:8" s="82" customFormat="1" ht="15" customHeight="1">
      <c r="A569" s="98" t="s">
        <v>7</v>
      </c>
      <c r="B569" s="99" t="s">
        <v>57</v>
      </c>
      <c r="C569" s="100" t="s">
        <v>58</v>
      </c>
      <c r="D569" s="102"/>
      <c r="E569" s="103">
        <f>19.2+4.1+65.04+32.8+10.3</f>
        <v>131.44</v>
      </c>
      <c r="F569" s="101" t="s">
        <v>59</v>
      </c>
      <c r="G569" s="33">
        <v>145</v>
      </c>
      <c r="H569" s="104">
        <f>E569*G569</f>
        <v>19058.8</v>
      </c>
    </row>
    <row r="570" spans="1:8" s="82" customFormat="1" ht="15" customHeight="1">
      <c r="A570" s="98"/>
      <c r="B570" s="80" t="s">
        <v>60</v>
      </c>
      <c r="C570" s="9"/>
      <c r="D570" s="102">
        <v>0.02</v>
      </c>
      <c r="E570" s="106">
        <f>D570*E569</f>
        <v>2.6288</v>
      </c>
      <c r="F570" s="105" t="s">
        <v>42</v>
      </c>
      <c r="G570" s="33"/>
      <c r="H570" s="104"/>
    </row>
    <row r="571" spans="1:8" s="82" customFormat="1" ht="15" customHeight="1">
      <c r="A571" s="108">
        <f>A569+1</f>
        <v>2</v>
      </c>
      <c r="B571" s="99" t="s">
        <v>61</v>
      </c>
      <c r="C571" s="71" t="s">
        <v>17</v>
      </c>
      <c r="D571" s="102"/>
      <c r="E571" s="103">
        <f>E569</f>
        <v>131.44</v>
      </c>
      <c r="F571" s="101" t="s">
        <v>59</v>
      </c>
      <c r="G571" s="33">
        <v>160</v>
      </c>
      <c r="H571" s="104">
        <f>E571*G571</f>
        <v>21030.400000000001</v>
      </c>
    </row>
    <row r="572" spans="1:8" s="81" customFormat="1" ht="25.5" customHeight="1">
      <c r="A572" s="98"/>
      <c r="B572" s="109" t="s">
        <v>62</v>
      </c>
      <c r="C572" s="71"/>
      <c r="D572" s="102">
        <v>0.35</v>
      </c>
      <c r="E572" s="111">
        <f>E571*D572</f>
        <v>46.003999999999998</v>
      </c>
      <c r="F572" s="110" t="s">
        <v>19</v>
      </c>
      <c r="G572" s="33"/>
      <c r="H572" s="104"/>
    </row>
    <row r="573" spans="1:8" s="81" customFormat="1" ht="15" customHeight="1">
      <c r="A573" s="98"/>
      <c r="B573" s="112" t="s">
        <v>63</v>
      </c>
      <c r="C573" s="113"/>
      <c r="D573" s="102">
        <v>0.15</v>
      </c>
      <c r="E573" s="111">
        <f>E571*D573</f>
        <v>19.715999999999998</v>
      </c>
      <c r="F573" s="110" t="s">
        <v>19</v>
      </c>
      <c r="G573" s="33"/>
      <c r="H573" s="104"/>
    </row>
    <row r="574" spans="1:8" s="82" customFormat="1" ht="15" customHeight="1">
      <c r="A574" s="93"/>
      <c r="B574" s="114"/>
      <c r="C574" s="115"/>
      <c r="D574" s="117"/>
      <c r="E574" s="118"/>
      <c r="F574" s="116"/>
      <c r="G574" s="33"/>
      <c r="H574" s="104"/>
    </row>
    <row r="575" spans="1:8" s="82" customFormat="1" ht="15" customHeight="1">
      <c r="A575" s="93"/>
      <c r="B575" s="167" t="s">
        <v>175</v>
      </c>
      <c r="C575" s="169"/>
      <c r="D575" s="171"/>
      <c r="E575" s="170"/>
      <c r="F575" s="170"/>
      <c r="G575" s="33"/>
      <c r="H575" s="104"/>
    </row>
    <row r="576" spans="1:8" s="82" customFormat="1" ht="15" customHeight="1">
      <c r="A576" s="108">
        <f>A571+1</f>
        <v>3</v>
      </c>
      <c r="B576" s="123" t="s">
        <v>65</v>
      </c>
      <c r="C576" s="9" t="s">
        <v>17</v>
      </c>
      <c r="D576" s="107"/>
      <c r="E576" s="124">
        <v>13.1</v>
      </c>
      <c r="F576" s="9" t="s">
        <v>59</v>
      </c>
      <c r="G576" s="33">
        <v>40</v>
      </c>
      <c r="H576" s="104">
        <f>E576*G576</f>
        <v>524</v>
      </c>
    </row>
    <row r="577" spans="1:8" s="81" customFormat="1" ht="15" customHeight="1">
      <c r="A577" s="98"/>
      <c r="B577" s="141" t="s">
        <v>66</v>
      </c>
      <c r="C577" s="12"/>
      <c r="D577" s="14">
        <v>0.15</v>
      </c>
      <c r="E577" s="106">
        <f>D577*E576</f>
        <v>1.9649999999999999</v>
      </c>
      <c r="F577" s="80" t="s">
        <v>14</v>
      </c>
      <c r="G577" s="33"/>
      <c r="H577" s="104"/>
    </row>
    <row r="578" spans="1:8" s="82" customFormat="1" ht="15" customHeight="1">
      <c r="A578" s="108">
        <f>A576+1</f>
        <v>4</v>
      </c>
      <c r="B578" s="127" t="s">
        <v>67</v>
      </c>
      <c r="C578" s="107" t="s">
        <v>58</v>
      </c>
      <c r="D578" s="107"/>
      <c r="E578" s="107">
        <f>E576</f>
        <v>13.1</v>
      </c>
      <c r="F578" s="9" t="s">
        <v>59</v>
      </c>
      <c r="G578" s="33">
        <v>160</v>
      </c>
      <c r="H578" s="104">
        <f>E578*G578</f>
        <v>2096</v>
      </c>
    </row>
    <row r="579" spans="1:8" s="81" customFormat="1" ht="15" customHeight="1">
      <c r="A579" s="93"/>
      <c r="B579" s="128" t="s">
        <v>68</v>
      </c>
      <c r="C579" s="12"/>
      <c r="D579" s="14">
        <v>5</v>
      </c>
      <c r="E579" s="38">
        <f>D579*E578</f>
        <v>65.5</v>
      </c>
      <c r="F579" s="80" t="s">
        <v>14</v>
      </c>
      <c r="G579" s="33"/>
      <c r="H579" s="104"/>
    </row>
    <row r="580" spans="1:8" s="82" customFormat="1" ht="15" customHeight="1">
      <c r="A580" s="93"/>
      <c r="B580" s="129" t="s">
        <v>69</v>
      </c>
      <c r="C580" s="6"/>
      <c r="D580" s="130">
        <v>1.05</v>
      </c>
      <c r="E580" s="38">
        <f>D580*E578</f>
        <v>13.755000000000001</v>
      </c>
      <c r="F580" s="129" t="s">
        <v>70</v>
      </c>
      <c r="G580" s="33"/>
      <c r="H580" s="104"/>
    </row>
    <row r="581" spans="1:8" s="82" customFormat="1" ht="25.5" customHeight="1">
      <c r="A581" s="108">
        <f>A578+1</f>
        <v>5</v>
      </c>
      <c r="B581" s="99" t="s">
        <v>71</v>
      </c>
      <c r="C581" s="100" t="s">
        <v>58</v>
      </c>
      <c r="D581" s="100"/>
      <c r="E581" s="131">
        <f>E576</f>
        <v>13.1</v>
      </c>
      <c r="F581" s="71" t="s">
        <v>59</v>
      </c>
      <c r="G581" s="33">
        <v>120</v>
      </c>
      <c r="H581" s="104">
        <f>E581*G581</f>
        <v>1572</v>
      </c>
    </row>
    <row r="582" spans="1:8" s="81" customFormat="1" ht="15" customHeight="1">
      <c r="A582" s="93"/>
      <c r="B582" s="109" t="s">
        <v>72</v>
      </c>
      <c r="C582" s="71"/>
      <c r="D582" s="117">
        <v>1.1000000000000001</v>
      </c>
      <c r="E582" s="106">
        <f>D582*E581</f>
        <v>14.41</v>
      </c>
      <c r="F582" s="109" t="s">
        <v>70</v>
      </c>
      <c r="G582" s="33"/>
      <c r="H582" s="104"/>
    </row>
    <row r="583" spans="1:8" s="82" customFormat="1" ht="15" customHeight="1">
      <c r="A583" s="108">
        <f>A581+1</f>
        <v>6</v>
      </c>
      <c r="B583" s="183" t="s">
        <v>143</v>
      </c>
      <c r="C583" s="9" t="s">
        <v>11</v>
      </c>
      <c r="D583" s="102"/>
      <c r="E583" s="133">
        <f>E581</f>
        <v>13.1</v>
      </c>
      <c r="F583" s="7" t="s">
        <v>59</v>
      </c>
      <c r="G583" s="33">
        <v>225</v>
      </c>
      <c r="H583" s="104">
        <f>E583*G583</f>
        <v>2947.5</v>
      </c>
    </row>
    <row r="584" spans="1:8" s="81" customFormat="1" ht="15" customHeight="1">
      <c r="A584" s="93"/>
      <c r="B584" s="184" t="s">
        <v>74</v>
      </c>
      <c r="C584" s="8"/>
      <c r="D584" s="102">
        <v>13</v>
      </c>
      <c r="E584" s="106">
        <f>D584*E583</f>
        <v>170.29999999999998</v>
      </c>
      <c r="F584" s="105" t="s">
        <v>14</v>
      </c>
      <c r="G584" s="33"/>
      <c r="H584" s="104"/>
    </row>
    <row r="585" spans="1:8" s="82" customFormat="1" ht="15" customHeight="1">
      <c r="A585" s="108">
        <f>A583+1</f>
        <v>7</v>
      </c>
      <c r="B585" s="123" t="s">
        <v>144</v>
      </c>
      <c r="C585" s="9" t="s">
        <v>17</v>
      </c>
      <c r="D585" s="102"/>
      <c r="E585" s="133">
        <f>E583</f>
        <v>13.1</v>
      </c>
      <c r="F585" s="7" t="s">
        <v>59</v>
      </c>
      <c r="G585" s="33">
        <v>40</v>
      </c>
      <c r="H585" s="104">
        <f>E585*G585</f>
        <v>524</v>
      </c>
    </row>
    <row r="586" spans="1:8" s="81" customFormat="1" ht="15" customHeight="1">
      <c r="A586" s="93"/>
      <c r="B586" s="141" t="s">
        <v>76</v>
      </c>
      <c r="C586" s="12"/>
      <c r="D586" s="102">
        <v>0.15</v>
      </c>
      <c r="E586" s="106">
        <f>D586*E585</f>
        <v>1.9649999999999999</v>
      </c>
      <c r="F586" s="105" t="s">
        <v>14</v>
      </c>
      <c r="G586" s="33"/>
      <c r="H586" s="104"/>
    </row>
    <row r="587" spans="1:8" s="82" customFormat="1" ht="15" customHeight="1">
      <c r="A587" s="108">
        <f>A585+1</f>
        <v>8</v>
      </c>
      <c r="B587" s="136" t="s">
        <v>77</v>
      </c>
      <c r="C587" s="9" t="s">
        <v>17</v>
      </c>
      <c r="D587" s="102"/>
      <c r="E587" s="133">
        <f>E576</f>
        <v>13.1</v>
      </c>
      <c r="F587" s="7" t="s">
        <v>59</v>
      </c>
      <c r="G587" s="33">
        <v>200</v>
      </c>
      <c r="H587" s="104">
        <f>E587*G587</f>
        <v>2620</v>
      </c>
    </row>
    <row r="588" spans="1:8" s="81" customFormat="1" ht="15" customHeight="1">
      <c r="A588" s="93"/>
      <c r="B588" s="80" t="s">
        <v>78</v>
      </c>
      <c r="C588" s="9"/>
      <c r="D588" s="102">
        <v>4</v>
      </c>
      <c r="E588" s="38">
        <f>D588*E587</f>
        <v>52.4</v>
      </c>
      <c r="F588" s="105" t="s">
        <v>14</v>
      </c>
      <c r="G588" s="33"/>
      <c r="H588" s="104"/>
    </row>
    <row r="589" spans="1:8" s="82" customFormat="1" ht="15" customHeight="1">
      <c r="A589" s="93"/>
      <c r="B589" s="141" t="s">
        <v>79</v>
      </c>
      <c r="C589" s="12"/>
      <c r="D589" s="102">
        <v>1.8</v>
      </c>
      <c r="E589" s="38">
        <f>D589*E587</f>
        <v>23.58</v>
      </c>
      <c r="F589" s="105" t="s">
        <v>14</v>
      </c>
      <c r="G589" s="33"/>
      <c r="H589" s="104"/>
    </row>
    <row r="590" spans="1:8" s="82" customFormat="1" ht="15" customHeight="1">
      <c r="A590" s="108">
        <f>A587+1</f>
        <v>9</v>
      </c>
      <c r="B590" s="99" t="s">
        <v>61</v>
      </c>
      <c r="C590" s="71" t="s">
        <v>17</v>
      </c>
      <c r="D590" s="102"/>
      <c r="E590" s="139">
        <f>E576</f>
        <v>13.1</v>
      </c>
      <c r="F590" s="71" t="s">
        <v>59</v>
      </c>
      <c r="G590" s="33">
        <v>180</v>
      </c>
      <c r="H590" s="104">
        <f>E590*G590</f>
        <v>2358</v>
      </c>
    </row>
    <row r="591" spans="1:8" s="81" customFormat="1" ht="15" customHeight="1">
      <c r="A591" s="93"/>
      <c r="B591" s="112" t="s">
        <v>80</v>
      </c>
      <c r="C591" s="113"/>
      <c r="D591" s="102">
        <v>0.35</v>
      </c>
      <c r="E591" s="106">
        <f>D591*E590</f>
        <v>4.585</v>
      </c>
      <c r="F591" s="109" t="s">
        <v>19</v>
      </c>
      <c r="G591" s="33"/>
      <c r="H591" s="104"/>
    </row>
    <row r="592" spans="1:8" s="81" customFormat="1" ht="15" customHeight="1">
      <c r="A592" s="185"/>
      <c r="B592" s="186" t="s">
        <v>66</v>
      </c>
      <c r="C592" s="5"/>
      <c r="D592" s="130">
        <v>0.15</v>
      </c>
      <c r="E592" s="187">
        <f>D592*E590</f>
        <v>1.9649999999999999</v>
      </c>
      <c r="F592" s="129" t="s">
        <v>14</v>
      </c>
      <c r="G592" s="33"/>
      <c r="H592" s="104"/>
    </row>
    <row r="593" spans="1:8" s="82" customFormat="1" ht="15" customHeight="1">
      <c r="A593" s="142"/>
      <c r="B593" s="112"/>
      <c r="C593" s="113"/>
      <c r="D593" s="117"/>
      <c r="E593" s="145"/>
      <c r="F593" s="109"/>
      <c r="G593" s="33"/>
      <c r="H593" s="104"/>
    </row>
    <row r="594" spans="1:8" s="82" customFormat="1" ht="15" customHeight="1">
      <c r="A594" s="155"/>
      <c r="B594" s="167" t="s">
        <v>176</v>
      </c>
      <c r="C594" s="169"/>
      <c r="D594" s="171"/>
      <c r="E594" s="170"/>
      <c r="F594" s="170"/>
      <c r="G594" s="33"/>
      <c r="H594" s="104"/>
    </row>
    <row r="595" spans="1:8" s="82" customFormat="1" ht="25.5" customHeight="1">
      <c r="A595" s="69">
        <f>A590+1</f>
        <v>10</v>
      </c>
      <c r="B595" s="40" t="s">
        <v>177</v>
      </c>
      <c r="C595" s="31" t="s">
        <v>178</v>
      </c>
      <c r="D595" s="33"/>
      <c r="E595" s="34">
        <v>21.68</v>
      </c>
      <c r="F595" s="41" t="s">
        <v>59</v>
      </c>
      <c r="G595" s="33">
        <v>270</v>
      </c>
      <c r="H595" s="104">
        <f>E595*G595</f>
        <v>5853.6</v>
      </c>
    </row>
    <row r="596" spans="1:8" s="82" customFormat="1" ht="15" customHeight="1">
      <c r="A596" s="142"/>
      <c r="B596" s="112" t="s">
        <v>179</v>
      </c>
      <c r="C596" s="188"/>
      <c r="D596" s="51">
        <v>0.8</v>
      </c>
      <c r="E596" s="189">
        <f>ROUNDUP(E595*D596,0)</f>
        <v>18</v>
      </c>
      <c r="F596" s="50" t="s">
        <v>33</v>
      </c>
      <c r="G596" s="33"/>
      <c r="H596" s="104"/>
    </row>
    <row r="597" spans="1:8" s="81" customFormat="1" ht="15" customHeight="1">
      <c r="A597" s="142"/>
      <c r="B597" s="35" t="s">
        <v>180</v>
      </c>
      <c r="C597" s="188"/>
      <c r="D597" s="51">
        <v>0.9</v>
      </c>
      <c r="E597" s="189">
        <f>ROUNDUP(E595*D597,0)</f>
        <v>20</v>
      </c>
      <c r="F597" s="50" t="s">
        <v>22</v>
      </c>
      <c r="G597" s="33"/>
      <c r="H597" s="104"/>
    </row>
    <row r="598" spans="1:8" s="81" customFormat="1" ht="15" customHeight="1">
      <c r="A598" s="142"/>
      <c r="B598" s="35" t="s">
        <v>181</v>
      </c>
      <c r="C598" s="188"/>
      <c r="D598" s="51">
        <v>0.9</v>
      </c>
      <c r="E598" s="189">
        <f>ROUNDUP(E595*D598,0)</f>
        <v>20</v>
      </c>
      <c r="F598" s="50" t="s">
        <v>33</v>
      </c>
      <c r="G598" s="33"/>
      <c r="H598" s="104"/>
    </row>
    <row r="599" spans="1:8" s="81" customFormat="1" ht="15" customHeight="1">
      <c r="A599" s="142"/>
      <c r="B599" s="35" t="s">
        <v>182</v>
      </c>
      <c r="C599" s="188"/>
      <c r="D599" s="51"/>
      <c r="E599" s="189">
        <f>3*5*2</f>
        <v>30</v>
      </c>
      <c r="F599" s="50" t="s">
        <v>42</v>
      </c>
      <c r="G599" s="33"/>
      <c r="H599" s="104"/>
    </row>
    <row r="600" spans="1:8" s="81" customFormat="1" ht="15" customHeight="1">
      <c r="A600" s="142"/>
      <c r="B600" s="35" t="s">
        <v>183</v>
      </c>
      <c r="C600" s="188"/>
      <c r="D600" s="51"/>
      <c r="E600" s="189">
        <f>E596*2</f>
        <v>36</v>
      </c>
      <c r="F600" s="50" t="s">
        <v>42</v>
      </c>
      <c r="G600" s="33"/>
      <c r="H600" s="104"/>
    </row>
    <row r="601" spans="1:8" s="81" customFormat="1" ht="15" customHeight="1">
      <c r="A601" s="142"/>
      <c r="B601" s="35" t="s">
        <v>184</v>
      </c>
      <c r="C601" s="188"/>
      <c r="D601" s="51">
        <v>1.02</v>
      </c>
      <c r="E601" s="189">
        <f>D601*E595</f>
        <v>22.113600000000002</v>
      </c>
      <c r="F601" s="50" t="s">
        <v>12</v>
      </c>
      <c r="G601" s="33"/>
      <c r="H601" s="104"/>
    </row>
    <row r="602" spans="1:8" s="81" customFormat="1" ht="25.5" customHeight="1">
      <c r="A602" s="142"/>
      <c r="B602" s="35" t="s">
        <v>185</v>
      </c>
      <c r="C602" s="188"/>
      <c r="D602" s="51">
        <v>1.02</v>
      </c>
      <c r="E602" s="189">
        <f>D602*E595</f>
        <v>22.113600000000002</v>
      </c>
      <c r="F602" s="50" t="s">
        <v>12</v>
      </c>
      <c r="G602" s="33"/>
      <c r="H602" s="104"/>
    </row>
    <row r="603" spans="1:8" s="82" customFormat="1" ht="38.25" customHeight="1">
      <c r="A603" s="142"/>
      <c r="B603" s="35" t="s">
        <v>186</v>
      </c>
      <c r="C603" s="188"/>
      <c r="D603" s="51">
        <v>1.05</v>
      </c>
      <c r="E603" s="189">
        <f>E595*D603</f>
        <v>22.763999999999999</v>
      </c>
      <c r="F603" s="50" t="s">
        <v>12</v>
      </c>
      <c r="G603" s="33"/>
      <c r="H603" s="104"/>
    </row>
    <row r="604" spans="1:8" s="82" customFormat="1" ht="15" customHeight="1">
      <c r="A604" s="142"/>
      <c r="B604" s="35" t="s">
        <v>187</v>
      </c>
      <c r="C604" s="188"/>
      <c r="D604" s="51">
        <v>14</v>
      </c>
      <c r="E604" s="189">
        <f>ROUNDUP(E595*D604,0)</f>
        <v>304</v>
      </c>
      <c r="F604" s="50" t="s">
        <v>88</v>
      </c>
      <c r="G604" s="33"/>
      <c r="H604" s="104"/>
    </row>
    <row r="605" spans="1:8" s="82" customFormat="1" ht="15" customHeight="1">
      <c r="A605" s="142"/>
      <c r="B605" s="112"/>
      <c r="C605" s="113"/>
      <c r="D605" s="117"/>
      <c r="E605" s="145"/>
      <c r="F605" s="109"/>
      <c r="G605" s="33"/>
      <c r="H605" s="104"/>
    </row>
    <row r="606" spans="1:8" s="82" customFormat="1" ht="15" customHeight="1">
      <c r="A606" s="98"/>
      <c r="B606" s="190" t="s">
        <v>188</v>
      </c>
      <c r="C606" s="169"/>
      <c r="D606" s="171"/>
      <c r="E606" s="170"/>
      <c r="F606" s="170"/>
      <c r="G606" s="33"/>
      <c r="H606" s="104"/>
    </row>
    <row r="607" spans="1:8" s="82" customFormat="1" ht="25.5" customHeight="1">
      <c r="A607" s="69">
        <f>A595+1</f>
        <v>11</v>
      </c>
      <c r="B607" s="191" t="s">
        <v>189</v>
      </c>
      <c r="C607" s="31" t="s">
        <v>178</v>
      </c>
      <c r="D607" s="33"/>
      <c r="E607" s="192">
        <v>55.44</v>
      </c>
      <c r="F607" s="32" t="s">
        <v>59</v>
      </c>
      <c r="G607" s="33">
        <v>300</v>
      </c>
      <c r="H607" s="104">
        <f>E607*G607</f>
        <v>16632</v>
      </c>
    </row>
    <row r="608" spans="1:8" s="81" customFormat="1" ht="15" customHeight="1">
      <c r="A608" s="142"/>
      <c r="B608" s="35" t="s">
        <v>180</v>
      </c>
      <c r="C608" s="188"/>
      <c r="D608" s="51">
        <v>5.5</v>
      </c>
      <c r="E608" s="189">
        <f>ROUNDUP(E607*D608,0)</f>
        <v>305</v>
      </c>
      <c r="F608" s="50" t="s">
        <v>33</v>
      </c>
      <c r="G608" s="33"/>
      <c r="H608" s="104"/>
    </row>
    <row r="609" spans="1:8" s="81" customFormat="1" ht="15" customHeight="1">
      <c r="A609" s="142"/>
      <c r="B609" s="35" t="s">
        <v>190</v>
      </c>
      <c r="C609" s="188"/>
      <c r="D609" s="51">
        <v>2.8</v>
      </c>
      <c r="E609" s="189">
        <f>ROUNDUP(E607*D609,0)</f>
        <v>156</v>
      </c>
      <c r="F609" s="50" t="s">
        <v>42</v>
      </c>
      <c r="G609" s="33"/>
      <c r="H609" s="104"/>
    </row>
    <row r="610" spans="1:8" s="82" customFormat="1" ht="15" customHeight="1">
      <c r="A610" s="142"/>
      <c r="B610" s="35" t="s">
        <v>191</v>
      </c>
      <c r="C610" s="188"/>
      <c r="D610" s="51">
        <v>4</v>
      </c>
      <c r="E610" s="189">
        <f>ROUNDUP(E607*D610,0)</f>
        <v>222</v>
      </c>
      <c r="F610" s="50" t="s">
        <v>42</v>
      </c>
      <c r="G610" s="33"/>
      <c r="H610" s="104"/>
    </row>
    <row r="611" spans="1:8" s="81" customFormat="1" ht="15" customHeight="1">
      <c r="A611" s="142"/>
      <c r="B611" s="35" t="s">
        <v>192</v>
      </c>
      <c r="C611" s="188"/>
      <c r="D611" s="51">
        <v>4.5999999999999996</v>
      </c>
      <c r="E611" s="189">
        <f>ROUNDUP(E607*D611,0)</f>
        <v>256</v>
      </c>
      <c r="F611" s="50" t="s">
        <v>42</v>
      </c>
      <c r="G611" s="33"/>
      <c r="H611" s="104"/>
    </row>
    <row r="612" spans="1:8" s="81" customFormat="1" ht="15" customHeight="1">
      <c r="A612" s="142"/>
      <c r="B612" s="35" t="s">
        <v>193</v>
      </c>
      <c r="C612" s="188"/>
      <c r="D612" s="51">
        <v>1.3</v>
      </c>
      <c r="E612" s="189">
        <f>ROUNDUP(E607*D612,0)</f>
        <v>73</v>
      </c>
      <c r="F612" s="50" t="s">
        <v>33</v>
      </c>
      <c r="G612" s="33"/>
      <c r="H612" s="104"/>
    </row>
    <row r="613" spans="1:8" s="81" customFormat="1" ht="25.5" customHeight="1">
      <c r="A613" s="142"/>
      <c r="B613" s="35" t="s">
        <v>194</v>
      </c>
      <c r="C613" s="188"/>
      <c r="D613" s="51">
        <v>2.04</v>
      </c>
      <c r="E613" s="189">
        <f>ROUNDUP(E607*D613,0)</f>
        <v>114</v>
      </c>
      <c r="F613" s="50" t="s">
        <v>12</v>
      </c>
      <c r="G613" s="33"/>
      <c r="H613" s="104"/>
    </row>
    <row r="614" spans="1:8" s="81" customFormat="1" ht="15" customHeight="1">
      <c r="A614" s="142"/>
      <c r="B614" s="35" t="s">
        <v>195</v>
      </c>
      <c r="C614" s="188"/>
      <c r="D614" s="51">
        <v>3.15</v>
      </c>
      <c r="E614" s="189">
        <f>E607*D614</f>
        <v>174.636</v>
      </c>
      <c r="F614" s="50" t="s">
        <v>12</v>
      </c>
      <c r="G614" s="33"/>
      <c r="H614" s="104"/>
    </row>
    <row r="615" spans="1:8" s="81" customFormat="1" ht="15" customHeight="1">
      <c r="A615" s="142"/>
      <c r="B615" s="35" t="s">
        <v>182</v>
      </c>
      <c r="C615" s="188"/>
      <c r="D615" s="51">
        <v>12</v>
      </c>
      <c r="E615" s="189">
        <f>ROUNDUP(E607*D615,0)</f>
        <v>666</v>
      </c>
      <c r="F615" s="50" t="s">
        <v>42</v>
      </c>
      <c r="G615" s="33"/>
      <c r="H615" s="104"/>
    </row>
    <row r="616" spans="1:8" s="81" customFormat="1" ht="15" customHeight="1">
      <c r="A616" s="142"/>
      <c r="B616" s="35" t="s">
        <v>196</v>
      </c>
      <c r="C616" s="188"/>
      <c r="D616" s="51">
        <v>13</v>
      </c>
      <c r="E616" s="189">
        <f>ROUNDUP(E607*D616,0)</f>
        <v>721</v>
      </c>
      <c r="F616" s="50" t="s">
        <v>42</v>
      </c>
      <c r="G616" s="33"/>
      <c r="H616" s="104"/>
    </row>
    <row r="617" spans="1:8" s="81" customFormat="1" ht="15" customHeight="1">
      <c r="A617" s="142"/>
      <c r="B617" s="35" t="s">
        <v>197</v>
      </c>
      <c r="C617" s="188"/>
      <c r="D617" s="51">
        <v>21</v>
      </c>
      <c r="E617" s="189">
        <f>ROUNDUP(E607*D617,0)</f>
        <v>1165</v>
      </c>
      <c r="F617" s="50" t="s">
        <v>42</v>
      </c>
      <c r="G617" s="33"/>
      <c r="H617" s="104"/>
    </row>
    <row r="618" spans="1:8" s="82" customFormat="1" ht="15" customHeight="1">
      <c r="A618" s="142"/>
      <c r="B618" s="35" t="s">
        <v>198</v>
      </c>
      <c r="C618" s="113"/>
      <c r="D618" s="51">
        <v>21</v>
      </c>
      <c r="E618" s="189">
        <f>ROUNDUP(E607*D618,0)</f>
        <v>1165</v>
      </c>
      <c r="F618" s="50" t="s">
        <v>42</v>
      </c>
      <c r="G618" s="33"/>
      <c r="H618" s="104"/>
    </row>
    <row r="619" spans="1:8" s="81" customFormat="1" ht="15" customHeight="1">
      <c r="A619" s="142"/>
      <c r="B619" s="35" t="s">
        <v>199</v>
      </c>
      <c r="C619" s="188"/>
      <c r="D619" s="51">
        <v>0.4</v>
      </c>
      <c r="E619" s="189">
        <f>(E607*D619)</f>
        <v>22.176000000000002</v>
      </c>
      <c r="F619" s="50" t="s">
        <v>14</v>
      </c>
      <c r="G619" s="33"/>
      <c r="H619" s="104"/>
    </row>
    <row r="620" spans="1:8" s="82" customFormat="1" ht="25.5" customHeight="1">
      <c r="A620" s="166">
        <f>A607+1</f>
        <v>12</v>
      </c>
      <c r="B620" s="191" t="s">
        <v>200</v>
      </c>
      <c r="C620" s="31" t="s">
        <v>178</v>
      </c>
      <c r="D620" s="33"/>
      <c r="E620" s="192">
        <f>E607</f>
        <v>55.44</v>
      </c>
      <c r="F620" s="32" t="s">
        <v>59</v>
      </c>
      <c r="G620" s="33">
        <v>270</v>
      </c>
      <c r="H620" s="104">
        <f>E620*G620</f>
        <v>14968.8</v>
      </c>
    </row>
    <row r="621" spans="1:8" s="81" customFormat="1" ht="15" customHeight="1">
      <c r="A621" s="142"/>
      <c r="B621" s="35" t="s">
        <v>201</v>
      </c>
      <c r="C621" s="188"/>
      <c r="D621" s="51">
        <f>0.7</f>
        <v>0.7</v>
      </c>
      <c r="E621" s="189">
        <f>ROUNDUP(E620*D621,0)</f>
        <v>39</v>
      </c>
      <c r="F621" s="50" t="s">
        <v>33</v>
      </c>
      <c r="G621" s="33"/>
      <c r="H621" s="104"/>
    </row>
    <row r="622" spans="1:8" s="81" customFormat="1" ht="15" customHeight="1">
      <c r="A622" s="142"/>
      <c r="B622" s="35" t="s">
        <v>180</v>
      </c>
      <c r="C622" s="188"/>
      <c r="D622" s="51">
        <v>2.9</v>
      </c>
      <c r="E622" s="189">
        <f>ROUNDUP(E620*D622,0)</f>
        <v>161</v>
      </c>
      <c r="F622" s="50" t="s">
        <v>33</v>
      </c>
      <c r="G622" s="33"/>
      <c r="H622" s="104"/>
    </row>
    <row r="623" spans="1:8" s="81" customFormat="1" ht="15" customHeight="1">
      <c r="A623" s="142"/>
      <c r="B623" s="35" t="s">
        <v>202</v>
      </c>
      <c r="C623" s="188"/>
      <c r="D623" s="51">
        <v>1.7</v>
      </c>
      <c r="E623" s="189">
        <f>ROUNDUP(E620*D623,0)</f>
        <v>95</v>
      </c>
      <c r="F623" s="50" t="s">
        <v>42</v>
      </c>
      <c r="G623" s="33"/>
      <c r="H623" s="104"/>
    </row>
    <row r="624" spans="1:8" s="81" customFormat="1" ht="15" customHeight="1">
      <c r="A624" s="142"/>
      <c r="B624" s="35" t="s">
        <v>203</v>
      </c>
      <c r="C624" s="188"/>
      <c r="D624" s="51">
        <v>1.4</v>
      </c>
      <c r="E624" s="189">
        <f>ROUNDUP(E620*D624,0)</f>
        <v>78</v>
      </c>
      <c r="F624" s="50" t="s">
        <v>42</v>
      </c>
      <c r="G624" s="33"/>
      <c r="H624" s="104"/>
    </row>
    <row r="625" spans="1:8" s="81" customFormat="1" ht="15" customHeight="1">
      <c r="A625" s="142"/>
      <c r="B625" s="35" t="s">
        <v>182</v>
      </c>
      <c r="C625" s="188"/>
      <c r="D625" s="51">
        <v>12</v>
      </c>
      <c r="E625" s="189">
        <f>ROUNDUP(E620*D625,0)</f>
        <v>666</v>
      </c>
      <c r="F625" s="50" t="s">
        <v>42</v>
      </c>
      <c r="G625" s="33"/>
      <c r="H625" s="104"/>
    </row>
    <row r="626" spans="1:8" s="81" customFormat="1" ht="15" customHeight="1">
      <c r="A626" s="142"/>
      <c r="B626" s="35" t="s">
        <v>197</v>
      </c>
      <c r="C626" s="188"/>
      <c r="D626" s="51">
        <f>21</f>
        <v>21</v>
      </c>
      <c r="E626" s="189">
        <f>ROUNDUP(E620*D626,0)</f>
        <v>1165</v>
      </c>
      <c r="F626" s="50" t="s">
        <v>42</v>
      </c>
      <c r="G626" s="33"/>
      <c r="H626" s="104"/>
    </row>
    <row r="627" spans="1:8" s="82" customFormat="1" ht="25.5" customHeight="1">
      <c r="A627" s="142"/>
      <c r="B627" s="35" t="s">
        <v>204</v>
      </c>
      <c r="C627" s="188"/>
      <c r="D627" s="51">
        <v>1.02</v>
      </c>
      <c r="E627" s="189">
        <f>ROUNDUP(E620*D627,0)</f>
        <v>57</v>
      </c>
      <c r="F627" s="50" t="s">
        <v>12</v>
      </c>
      <c r="G627" s="33"/>
      <c r="H627" s="104"/>
    </row>
    <row r="628" spans="1:8" s="82" customFormat="1" ht="38.25" customHeight="1">
      <c r="A628" s="142"/>
      <c r="B628" s="35" t="s">
        <v>186</v>
      </c>
      <c r="C628" s="188"/>
      <c r="D628" s="51">
        <v>1.05</v>
      </c>
      <c r="E628" s="189">
        <f>ROUNDUP(E620*D628,0)</f>
        <v>59</v>
      </c>
      <c r="F628" s="50" t="s">
        <v>12</v>
      </c>
      <c r="G628" s="33"/>
      <c r="H628" s="104"/>
    </row>
    <row r="629" spans="1:8" s="82" customFormat="1" ht="15" customHeight="1">
      <c r="A629" s="142"/>
      <c r="B629" s="35" t="s">
        <v>187</v>
      </c>
      <c r="C629" s="188"/>
      <c r="D629" s="51">
        <v>13</v>
      </c>
      <c r="E629" s="189">
        <f>ROUNDUP(E620*D629,0)</f>
        <v>721</v>
      </c>
      <c r="F629" s="50" t="s">
        <v>42</v>
      </c>
      <c r="G629" s="33"/>
      <c r="H629" s="104"/>
    </row>
    <row r="630" spans="1:8" s="82" customFormat="1" ht="15" customHeight="1">
      <c r="A630" s="142"/>
      <c r="B630" s="112"/>
      <c r="C630" s="113"/>
      <c r="D630" s="117"/>
      <c r="E630" s="145"/>
      <c r="F630" s="109"/>
      <c r="G630" s="33"/>
      <c r="H630" s="104"/>
    </row>
    <row r="631" spans="1:8" s="82" customFormat="1" ht="15" customHeight="1">
      <c r="A631" s="98"/>
      <c r="B631" s="190" t="s">
        <v>205</v>
      </c>
      <c r="C631" s="169"/>
      <c r="D631" s="171"/>
      <c r="E631" s="170"/>
      <c r="F631" s="170"/>
      <c r="G631" s="33"/>
      <c r="H631" s="104"/>
    </row>
    <row r="632" spans="1:8" s="82" customFormat="1" ht="15" customHeight="1">
      <c r="A632" s="166">
        <f>A620+1</f>
        <v>13</v>
      </c>
      <c r="B632" s="123" t="s">
        <v>144</v>
      </c>
      <c r="C632" s="9" t="s">
        <v>17</v>
      </c>
      <c r="D632" s="102"/>
      <c r="E632" s="133">
        <v>80.400000000000006</v>
      </c>
      <c r="F632" s="7" t="s">
        <v>59</v>
      </c>
      <c r="G632" s="33">
        <v>40</v>
      </c>
      <c r="H632" s="104">
        <f>E632*G632</f>
        <v>3216</v>
      </c>
    </row>
    <row r="633" spans="1:8" s="81" customFormat="1" ht="15" customHeight="1">
      <c r="A633" s="93"/>
      <c r="B633" s="141" t="s">
        <v>76</v>
      </c>
      <c r="C633" s="12"/>
      <c r="D633" s="102">
        <v>0.15</v>
      </c>
      <c r="E633" s="106">
        <f>D633*E632</f>
        <v>12.06</v>
      </c>
      <c r="F633" s="105" t="s">
        <v>14</v>
      </c>
      <c r="G633" s="33"/>
      <c r="H633" s="104"/>
    </row>
    <row r="634" spans="1:8" s="82" customFormat="1" ht="15" customHeight="1">
      <c r="A634" s="108">
        <f>A632+1</f>
        <v>14</v>
      </c>
      <c r="B634" s="136" t="s">
        <v>77</v>
      </c>
      <c r="C634" s="9" t="s">
        <v>17</v>
      </c>
      <c r="D634" s="102"/>
      <c r="E634" s="133">
        <f>E632</f>
        <v>80.400000000000006</v>
      </c>
      <c r="F634" s="7" t="s">
        <v>59</v>
      </c>
      <c r="G634" s="33">
        <v>200</v>
      </c>
      <c r="H634" s="104">
        <f>E634*G634</f>
        <v>16080.000000000002</v>
      </c>
    </row>
    <row r="635" spans="1:8" s="81" customFormat="1" ht="15" customHeight="1">
      <c r="A635" s="93"/>
      <c r="B635" s="80" t="s">
        <v>78</v>
      </c>
      <c r="C635" s="9"/>
      <c r="D635" s="102">
        <v>4</v>
      </c>
      <c r="E635" s="38">
        <f>D635*E634</f>
        <v>321.60000000000002</v>
      </c>
      <c r="F635" s="105" t="s">
        <v>14</v>
      </c>
      <c r="G635" s="33"/>
      <c r="H635" s="104"/>
    </row>
    <row r="636" spans="1:8" s="82" customFormat="1" ht="15" customHeight="1">
      <c r="A636" s="93"/>
      <c r="B636" s="141" t="s">
        <v>79</v>
      </c>
      <c r="C636" s="12"/>
      <c r="D636" s="102">
        <v>1.8</v>
      </c>
      <c r="E636" s="38">
        <f>D636*E634</f>
        <v>144.72000000000003</v>
      </c>
      <c r="F636" s="105" t="s">
        <v>14</v>
      </c>
      <c r="G636" s="33"/>
      <c r="H636" s="104"/>
    </row>
    <row r="637" spans="1:8" s="82" customFormat="1" ht="15" customHeight="1">
      <c r="A637" s="108">
        <f>A634+1</f>
        <v>15</v>
      </c>
      <c r="B637" s="99" t="s">
        <v>61</v>
      </c>
      <c r="C637" s="71" t="s">
        <v>17</v>
      </c>
      <c r="D637" s="102"/>
      <c r="E637" s="139">
        <f>E632</f>
        <v>80.400000000000006</v>
      </c>
      <c r="F637" s="71" t="s">
        <v>59</v>
      </c>
      <c r="G637" s="33">
        <v>160</v>
      </c>
      <c r="H637" s="104">
        <f>E637*G637</f>
        <v>12864</v>
      </c>
    </row>
    <row r="638" spans="1:8" s="81" customFormat="1" ht="15" customHeight="1">
      <c r="A638" s="93"/>
      <c r="B638" s="112" t="s">
        <v>80</v>
      </c>
      <c r="C638" s="113"/>
      <c r="D638" s="102">
        <v>0.35</v>
      </c>
      <c r="E638" s="106">
        <f>D638*E637</f>
        <v>28.14</v>
      </c>
      <c r="F638" s="109" t="s">
        <v>19</v>
      </c>
      <c r="G638" s="33"/>
      <c r="H638" s="104"/>
    </row>
    <row r="639" spans="1:8" s="81" customFormat="1" ht="15" customHeight="1">
      <c r="A639" s="140"/>
      <c r="B639" s="141" t="s">
        <v>66</v>
      </c>
      <c r="C639" s="12"/>
      <c r="D639" s="14">
        <v>0.15</v>
      </c>
      <c r="E639" s="106">
        <f>D639*E637</f>
        <v>12.06</v>
      </c>
      <c r="F639" s="80" t="s">
        <v>14</v>
      </c>
      <c r="G639" s="33"/>
      <c r="H639" s="104"/>
    </row>
    <row r="640" spans="1:8" s="82" customFormat="1" ht="15" customHeight="1">
      <c r="A640" s="140"/>
      <c r="B640" s="141"/>
      <c r="C640" s="12"/>
      <c r="D640" s="14"/>
      <c r="E640" s="106"/>
      <c r="F640" s="80"/>
      <c r="G640" s="33"/>
      <c r="H640" s="104"/>
    </row>
    <row r="641" spans="1:8" s="82" customFormat="1" ht="15" customHeight="1">
      <c r="A641" s="22"/>
      <c r="B641" s="23" t="s">
        <v>30</v>
      </c>
      <c r="C641" s="24"/>
      <c r="D641" s="26"/>
      <c r="E641" s="27"/>
      <c r="F641" s="25"/>
      <c r="G641" s="33"/>
      <c r="H641" s="104"/>
    </row>
    <row r="642" spans="1:8" s="82" customFormat="1" ht="15" customHeight="1">
      <c r="A642" s="98"/>
      <c r="B642" s="190" t="s">
        <v>206</v>
      </c>
      <c r="C642" s="169"/>
      <c r="D642" s="171"/>
      <c r="E642" s="170"/>
      <c r="F642" s="170"/>
      <c r="G642" s="33"/>
      <c r="H642" s="104"/>
    </row>
    <row r="643" spans="1:8" s="82" customFormat="1" ht="15" customHeight="1">
      <c r="A643" s="108">
        <f>A637+1</f>
        <v>16</v>
      </c>
      <c r="B643" s="99" t="s">
        <v>84</v>
      </c>
      <c r="C643" s="71" t="s">
        <v>17</v>
      </c>
      <c r="D643" s="159"/>
      <c r="E643" s="139">
        <f>77+17.6+55.1</f>
        <v>149.69999999999999</v>
      </c>
      <c r="F643" s="71" t="s">
        <v>59</v>
      </c>
      <c r="G643" s="33">
        <v>200</v>
      </c>
      <c r="H643" s="104">
        <f>E643*G643</f>
        <v>29939.999999999996</v>
      </c>
    </row>
    <row r="644" spans="1:8" s="81" customFormat="1" ht="15" customHeight="1">
      <c r="A644" s="142"/>
      <c r="B644" s="112" t="s">
        <v>85</v>
      </c>
      <c r="C644" s="113"/>
      <c r="D644" s="159">
        <v>1.8</v>
      </c>
      <c r="E644" s="106">
        <f>D644*E643</f>
        <v>269.45999999999998</v>
      </c>
      <c r="F644" s="109" t="s">
        <v>14</v>
      </c>
      <c r="G644" s="33"/>
      <c r="H644" s="104"/>
    </row>
    <row r="645" spans="1:8" s="81" customFormat="1" ht="15" customHeight="1">
      <c r="A645" s="142"/>
      <c r="B645" s="112" t="s">
        <v>86</v>
      </c>
      <c r="C645" s="113"/>
      <c r="D645" s="159">
        <v>1.8</v>
      </c>
      <c r="E645" s="106">
        <f>D645*E643</f>
        <v>269.45999999999998</v>
      </c>
      <c r="F645" s="109" t="s">
        <v>14</v>
      </c>
      <c r="G645" s="33"/>
      <c r="H645" s="104"/>
    </row>
    <row r="646" spans="1:8" s="81" customFormat="1" ht="15" customHeight="1">
      <c r="A646" s="142"/>
      <c r="B646" s="112" t="s">
        <v>63</v>
      </c>
      <c r="C646" s="113"/>
      <c r="D646" s="159">
        <v>0.15</v>
      </c>
      <c r="E646" s="106">
        <f>D646*E643</f>
        <v>22.454999999999998</v>
      </c>
      <c r="F646" s="109" t="s">
        <v>19</v>
      </c>
      <c r="G646" s="33"/>
      <c r="H646" s="104"/>
    </row>
    <row r="647" spans="1:8" s="81" customFormat="1" ht="15" customHeight="1">
      <c r="A647" s="142"/>
      <c r="B647" s="112" t="s">
        <v>87</v>
      </c>
      <c r="C647" s="113"/>
      <c r="D647" s="159">
        <v>0.1</v>
      </c>
      <c r="E647" s="106">
        <f>D647*E643</f>
        <v>14.969999999999999</v>
      </c>
      <c r="F647" s="109" t="s">
        <v>88</v>
      </c>
      <c r="G647" s="33"/>
      <c r="H647" s="104"/>
    </row>
    <row r="648" spans="1:8" s="81" customFormat="1" ht="15" customHeight="1">
      <c r="A648" s="142"/>
      <c r="B648" s="112" t="s">
        <v>89</v>
      </c>
      <c r="C648" s="113"/>
      <c r="D648" s="159">
        <v>1.1000000000000001</v>
      </c>
      <c r="E648" s="106">
        <f>D648*E643</f>
        <v>164.67</v>
      </c>
      <c r="F648" s="109" t="s">
        <v>90</v>
      </c>
      <c r="G648" s="33"/>
      <c r="H648" s="104"/>
    </row>
    <row r="649" spans="1:8" s="82" customFormat="1" ht="15" customHeight="1">
      <c r="A649" s="147">
        <f>A643+1</f>
        <v>17</v>
      </c>
      <c r="B649" s="99" t="s">
        <v>91</v>
      </c>
      <c r="C649" s="71" t="s">
        <v>17</v>
      </c>
      <c r="D649" s="159"/>
      <c r="E649" s="139">
        <f>E643</f>
        <v>149.69999999999999</v>
      </c>
      <c r="F649" s="71" t="s">
        <v>59</v>
      </c>
      <c r="G649" s="33">
        <v>160</v>
      </c>
      <c r="H649" s="104">
        <f>E649*G649</f>
        <v>23952</v>
      </c>
    </row>
    <row r="650" spans="1:8" s="81" customFormat="1" ht="25.5" customHeight="1">
      <c r="A650" s="142"/>
      <c r="B650" s="148" t="s">
        <v>92</v>
      </c>
      <c r="C650" s="149"/>
      <c r="D650" s="102">
        <v>0.35</v>
      </c>
      <c r="E650" s="106">
        <f>D650*E649</f>
        <v>52.394999999999996</v>
      </c>
      <c r="F650" s="109" t="s">
        <v>19</v>
      </c>
      <c r="G650" s="33"/>
      <c r="H650" s="104"/>
    </row>
    <row r="651" spans="1:8" s="81" customFormat="1" ht="15" customHeight="1">
      <c r="A651" s="142"/>
      <c r="B651" s="151" t="s">
        <v>63</v>
      </c>
      <c r="C651" s="113"/>
      <c r="D651" s="159">
        <v>0.15</v>
      </c>
      <c r="E651" s="106">
        <f>D651*E649</f>
        <v>22.454999999999998</v>
      </c>
      <c r="F651" s="109" t="s">
        <v>19</v>
      </c>
      <c r="G651" s="33"/>
      <c r="H651" s="104"/>
    </row>
    <row r="652" spans="1:8" s="82" customFormat="1" ht="15" customHeight="1">
      <c r="A652" s="152"/>
      <c r="B652" s="114"/>
      <c r="C652" s="115"/>
      <c r="D652" s="153"/>
      <c r="E652" s="154"/>
      <c r="F652" s="114"/>
      <c r="G652" s="33"/>
      <c r="H652" s="104"/>
    </row>
    <row r="653" spans="1:8" s="82" customFormat="1" ht="15" customHeight="1">
      <c r="A653" s="93"/>
      <c r="B653" s="94" t="s">
        <v>207</v>
      </c>
      <c r="C653" s="94"/>
      <c r="D653" s="96"/>
      <c r="E653" s="97"/>
      <c r="F653" s="95"/>
      <c r="G653" s="33"/>
      <c r="H653" s="104"/>
    </row>
    <row r="654" spans="1:8" s="82" customFormat="1" ht="15" customHeight="1">
      <c r="A654" s="122">
        <f>A649+1</f>
        <v>18</v>
      </c>
      <c r="B654" s="99" t="s">
        <v>57</v>
      </c>
      <c r="C654" s="100" t="s">
        <v>58</v>
      </c>
      <c r="D654" s="102"/>
      <c r="E654" s="103">
        <f>80.2+68</f>
        <v>148.19999999999999</v>
      </c>
      <c r="F654" s="101" t="s">
        <v>59</v>
      </c>
      <c r="G654" s="33">
        <v>145</v>
      </c>
      <c r="H654" s="104">
        <f>E654*G654</f>
        <v>21489</v>
      </c>
    </row>
    <row r="655" spans="1:8" s="82" customFormat="1" ht="15" customHeight="1">
      <c r="A655" s="98"/>
      <c r="B655" s="80" t="s">
        <v>60</v>
      </c>
      <c r="C655" s="9"/>
      <c r="D655" s="102">
        <v>0.02</v>
      </c>
      <c r="E655" s="106">
        <f>D655*E654</f>
        <v>2.964</v>
      </c>
      <c r="F655" s="105" t="s">
        <v>42</v>
      </c>
      <c r="G655" s="33"/>
      <c r="H655" s="104"/>
    </row>
    <row r="656" spans="1:8" s="82" customFormat="1" ht="15" customHeight="1">
      <c r="A656" s="108">
        <f>A654+1</f>
        <v>19</v>
      </c>
      <c r="B656" s="99" t="s">
        <v>61</v>
      </c>
      <c r="C656" s="71" t="s">
        <v>17</v>
      </c>
      <c r="D656" s="102"/>
      <c r="E656" s="103">
        <f>E654</f>
        <v>148.19999999999999</v>
      </c>
      <c r="F656" s="101" t="s">
        <v>59</v>
      </c>
      <c r="G656" s="33">
        <v>160</v>
      </c>
      <c r="H656" s="104">
        <f>E656*G656</f>
        <v>23712</v>
      </c>
    </row>
    <row r="657" spans="1:8" s="81" customFormat="1" ht="25.5" customHeight="1">
      <c r="A657" s="98"/>
      <c r="B657" s="109" t="s">
        <v>62</v>
      </c>
      <c r="C657" s="71"/>
      <c r="D657" s="102">
        <v>0.35</v>
      </c>
      <c r="E657" s="111">
        <f>E656*D657</f>
        <v>51.86999999999999</v>
      </c>
      <c r="F657" s="110" t="s">
        <v>19</v>
      </c>
      <c r="G657" s="33"/>
      <c r="H657" s="104"/>
    </row>
    <row r="658" spans="1:8" s="81" customFormat="1" ht="15" customHeight="1">
      <c r="A658" s="98"/>
      <c r="B658" s="112" t="s">
        <v>63</v>
      </c>
      <c r="C658" s="113"/>
      <c r="D658" s="102">
        <v>0.15</v>
      </c>
      <c r="E658" s="111">
        <f>E656*D658</f>
        <v>22.229999999999997</v>
      </c>
      <c r="F658" s="110" t="s">
        <v>19</v>
      </c>
      <c r="G658" s="33"/>
      <c r="H658" s="104"/>
    </row>
    <row r="659" spans="1:8" s="82" customFormat="1" ht="15" customHeight="1">
      <c r="A659" s="93"/>
      <c r="B659" s="114"/>
      <c r="C659" s="115"/>
      <c r="D659" s="117"/>
      <c r="E659" s="118"/>
      <c r="F659" s="116"/>
      <c r="G659" s="33"/>
      <c r="H659" s="104"/>
    </row>
    <row r="660" spans="1:8" s="82" customFormat="1" ht="15" customHeight="1">
      <c r="A660" s="155"/>
      <c r="B660" s="94" t="s">
        <v>208</v>
      </c>
      <c r="C660" s="94"/>
      <c r="D660" s="156"/>
      <c r="E660" s="97"/>
      <c r="F660" s="95"/>
      <c r="G660" s="33"/>
      <c r="H660" s="104"/>
    </row>
    <row r="661" spans="1:8" s="82" customFormat="1" ht="15" customHeight="1">
      <c r="A661" s="108">
        <f>A656+1</f>
        <v>20</v>
      </c>
      <c r="B661" s="99" t="s">
        <v>95</v>
      </c>
      <c r="C661" s="71" t="s">
        <v>11</v>
      </c>
      <c r="D661" s="159"/>
      <c r="E661" s="139">
        <f>33.9+240.2</f>
        <v>274.09999999999997</v>
      </c>
      <c r="F661" s="71" t="s">
        <v>59</v>
      </c>
      <c r="G661" s="33">
        <v>200</v>
      </c>
      <c r="H661" s="104">
        <f>E661*G661</f>
        <v>54819.999999999993</v>
      </c>
    </row>
    <row r="662" spans="1:8" s="81" customFormat="1" ht="15" customHeight="1">
      <c r="A662" s="98"/>
      <c r="B662" s="148" t="s">
        <v>96</v>
      </c>
      <c r="C662" s="149"/>
      <c r="D662" s="159">
        <v>0.4</v>
      </c>
      <c r="E662" s="48">
        <f>E661*D662</f>
        <v>109.63999999999999</v>
      </c>
      <c r="F662" s="109" t="s">
        <v>88</v>
      </c>
      <c r="G662" s="33"/>
      <c r="H662" s="104"/>
    </row>
    <row r="663" spans="1:8" s="81" customFormat="1" ht="15" customHeight="1">
      <c r="A663" s="172"/>
      <c r="B663" s="148" t="s">
        <v>97</v>
      </c>
      <c r="C663" s="149"/>
      <c r="D663" s="159">
        <v>0.4</v>
      </c>
      <c r="E663" s="48">
        <f>E661*D663</f>
        <v>109.63999999999999</v>
      </c>
      <c r="F663" s="109" t="s">
        <v>88</v>
      </c>
      <c r="G663" s="33"/>
      <c r="H663" s="104"/>
    </row>
    <row r="664" spans="1:8" s="81" customFormat="1" ht="15" customHeight="1">
      <c r="A664" s="142"/>
      <c r="B664" s="148" t="s">
        <v>98</v>
      </c>
      <c r="C664" s="149"/>
      <c r="D664" s="159">
        <v>25</v>
      </c>
      <c r="E664" s="48">
        <f>E661*D664</f>
        <v>6852.4999999999991</v>
      </c>
      <c r="F664" s="109" t="s">
        <v>14</v>
      </c>
      <c r="G664" s="33"/>
      <c r="H664" s="104"/>
    </row>
    <row r="665" spans="1:8" s="81" customFormat="1" ht="15" customHeight="1">
      <c r="A665" s="142"/>
      <c r="B665" s="148" t="s">
        <v>99</v>
      </c>
      <c r="C665" s="149"/>
      <c r="D665" s="159">
        <v>0.3</v>
      </c>
      <c r="E665" s="48">
        <f>E661*D665</f>
        <v>82.22999999999999</v>
      </c>
      <c r="F665" s="109" t="s">
        <v>14</v>
      </c>
      <c r="G665" s="33"/>
      <c r="H665" s="104"/>
    </row>
    <row r="666" spans="1:8" s="81" customFormat="1" ht="15" customHeight="1">
      <c r="A666" s="142"/>
      <c r="B666" s="148" t="s">
        <v>100</v>
      </c>
      <c r="C666" s="149"/>
      <c r="D666" s="159">
        <v>0.1</v>
      </c>
      <c r="E666" s="48">
        <f>E661*D666</f>
        <v>27.409999999999997</v>
      </c>
      <c r="F666" s="109" t="s">
        <v>70</v>
      </c>
      <c r="G666" s="33"/>
      <c r="H666" s="104"/>
    </row>
    <row r="667" spans="1:8" s="82" customFormat="1" ht="15" customHeight="1">
      <c r="A667" s="122">
        <f>A661+1</f>
        <v>21</v>
      </c>
      <c r="B667" s="99" t="s">
        <v>101</v>
      </c>
      <c r="C667" s="71" t="s">
        <v>38</v>
      </c>
      <c r="D667" s="159"/>
      <c r="E667" s="139">
        <f>E661</f>
        <v>274.09999999999997</v>
      </c>
      <c r="F667" s="71" t="s">
        <v>59</v>
      </c>
      <c r="G667" s="33">
        <v>800</v>
      </c>
      <c r="H667" s="104">
        <f>E667*G667</f>
        <v>219279.99999999997</v>
      </c>
    </row>
    <row r="668" spans="1:8" s="82" customFormat="1" ht="15" customHeight="1">
      <c r="A668" s="142"/>
      <c r="B668" s="151" t="s">
        <v>40</v>
      </c>
      <c r="C668" s="113"/>
      <c r="D668" s="159">
        <v>1.1000000000000001</v>
      </c>
      <c r="E668" s="48">
        <f>(E667-224.4)*D668</f>
        <v>54.669999999999959</v>
      </c>
      <c r="F668" s="109" t="s">
        <v>70</v>
      </c>
      <c r="G668" s="33"/>
      <c r="H668" s="104"/>
    </row>
    <row r="669" spans="1:8" s="82" customFormat="1" ht="15" customHeight="1">
      <c r="A669" s="142"/>
      <c r="B669" s="151" t="s">
        <v>102</v>
      </c>
      <c r="C669" s="113"/>
      <c r="D669" s="159">
        <v>1.1000000000000001</v>
      </c>
      <c r="E669" s="48">
        <f>224.4*D669</f>
        <v>246.84000000000003</v>
      </c>
      <c r="F669" s="109" t="s">
        <v>70</v>
      </c>
      <c r="G669" s="33"/>
      <c r="H669" s="104"/>
    </row>
    <row r="670" spans="1:8" s="81" customFormat="1" ht="15" customHeight="1">
      <c r="A670" s="142"/>
      <c r="B670" s="151" t="s">
        <v>63</v>
      </c>
      <c r="C670" s="113"/>
      <c r="D670" s="159">
        <v>0.15</v>
      </c>
      <c r="E670" s="48">
        <f>E667*D670</f>
        <v>41.114999999999995</v>
      </c>
      <c r="F670" s="109" t="s">
        <v>19</v>
      </c>
      <c r="G670" s="33"/>
      <c r="H670" s="104"/>
    </row>
    <row r="671" spans="1:8" s="81" customFormat="1" ht="15" customHeight="1">
      <c r="A671" s="142"/>
      <c r="B671" s="151" t="s">
        <v>103</v>
      </c>
      <c r="C671" s="113"/>
      <c r="D671" s="159">
        <v>7.6</v>
      </c>
      <c r="E671" s="48">
        <f>E667*D671</f>
        <v>2083.16</v>
      </c>
      <c r="F671" s="109" t="s">
        <v>14</v>
      </c>
      <c r="G671" s="33"/>
      <c r="H671" s="104"/>
    </row>
    <row r="672" spans="1:8" s="82" customFormat="1" ht="15" customHeight="1">
      <c r="A672" s="142"/>
      <c r="B672" s="151" t="s">
        <v>104</v>
      </c>
      <c r="C672" s="113"/>
      <c r="D672" s="159">
        <v>11</v>
      </c>
      <c r="E672" s="48">
        <f>E667*D672</f>
        <v>3015.0999999999995</v>
      </c>
      <c r="F672" s="109" t="s">
        <v>88</v>
      </c>
      <c r="G672" s="33"/>
      <c r="H672" s="104"/>
    </row>
    <row r="673" spans="1:8" s="81" customFormat="1" ht="15" customHeight="1">
      <c r="A673" s="142"/>
      <c r="B673" s="151" t="s">
        <v>105</v>
      </c>
      <c r="C673" s="113"/>
      <c r="D673" s="159">
        <v>0.4</v>
      </c>
      <c r="E673" s="48">
        <f>E667*D673</f>
        <v>109.63999999999999</v>
      </c>
      <c r="F673" s="109" t="s">
        <v>14</v>
      </c>
      <c r="G673" s="33"/>
      <c r="H673" s="104"/>
    </row>
    <row r="674" spans="1:8" s="82" customFormat="1" ht="15" customHeight="1">
      <c r="A674" s="152"/>
      <c r="B674" s="114"/>
      <c r="C674" s="115"/>
      <c r="D674" s="153"/>
      <c r="E674" s="154"/>
      <c r="F674" s="114"/>
      <c r="G674" s="33"/>
      <c r="H674" s="104"/>
    </row>
    <row r="675" spans="1:8" s="82" customFormat="1" ht="15" customHeight="1">
      <c r="A675" s="98"/>
      <c r="B675" s="190" t="s">
        <v>205</v>
      </c>
      <c r="C675" s="169"/>
      <c r="D675" s="171"/>
      <c r="E675" s="170"/>
      <c r="F675" s="170"/>
      <c r="G675" s="33"/>
      <c r="H675" s="104"/>
    </row>
    <row r="676" spans="1:8" s="82" customFormat="1" ht="15" customHeight="1">
      <c r="A676" s="122">
        <f>A667+1</f>
        <v>22</v>
      </c>
      <c r="B676" s="123" t="s">
        <v>209</v>
      </c>
      <c r="C676" s="9" t="s">
        <v>17</v>
      </c>
      <c r="D676" s="102"/>
      <c r="E676" s="133">
        <v>80.400000000000006</v>
      </c>
      <c r="F676" s="7" t="s">
        <v>59</v>
      </c>
      <c r="G676" s="33">
        <v>40</v>
      </c>
      <c r="H676" s="104">
        <f>E676*G676</f>
        <v>3216</v>
      </c>
    </row>
    <row r="677" spans="1:8" s="81" customFormat="1" ht="15" customHeight="1">
      <c r="A677" s="93"/>
      <c r="B677" s="141" t="s">
        <v>76</v>
      </c>
      <c r="C677" s="12"/>
      <c r="D677" s="102">
        <v>0.15</v>
      </c>
      <c r="E677" s="106">
        <f>D677*E676</f>
        <v>12.06</v>
      </c>
      <c r="F677" s="105" t="s">
        <v>14</v>
      </c>
      <c r="G677" s="33"/>
      <c r="H677" s="104"/>
    </row>
    <row r="678" spans="1:8" s="82" customFormat="1" ht="15" customHeight="1">
      <c r="A678" s="108">
        <f>A676+1</f>
        <v>23</v>
      </c>
      <c r="B678" s="136" t="s">
        <v>77</v>
      </c>
      <c r="C678" s="9" t="s">
        <v>17</v>
      </c>
      <c r="D678" s="102"/>
      <c r="E678" s="133">
        <f>E676</f>
        <v>80.400000000000006</v>
      </c>
      <c r="F678" s="7" t="s">
        <v>59</v>
      </c>
      <c r="G678" s="33">
        <v>200</v>
      </c>
      <c r="H678" s="104">
        <f>E678*G678</f>
        <v>16080.000000000002</v>
      </c>
    </row>
    <row r="679" spans="1:8" s="81" customFormat="1" ht="15" customHeight="1">
      <c r="A679" s="93"/>
      <c r="B679" s="80" t="s">
        <v>78</v>
      </c>
      <c r="C679" s="9"/>
      <c r="D679" s="102">
        <v>4</v>
      </c>
      <c r="E679" s="38">
        <f>D679*E678</f>
        <v>321.60000000000002</v>
      </c>
      <c r="F679" s="105" t="s">
        <v>14</v>
      </c>
      <c r="G679" s="33"/>
      <c r="H679" s="104"/>
    </row>
    <row r="680" spans="1:8" s="82" customFormat="1" ht="15" customHeight="1">
      <c r="A680" s="93"/>
      <c r="B680" s="141" t="s">
        <v>79</v>
      </c>
      <c r="C680" s="12"/>
      <c r="D680" s="102">
        <v>1.8</v>
      </c>
      <c r="E680" s="38">
        <f>D680*E678</f>
        <v>144.72000000000003</v>
      </c>
      <c r="F680" s="105" t="s">
        <v>14</v>
      </c>
      <c r="G680" s="33"/>
      <c r="H680" s="104"/>
    </row>
    <row r="681" spans="1:8" s="81" customFormat="1" ht="15" customHeight="1">
      <c r="A681" s="98"/>
      <c r="B681" s="112" t="s">
        <v>89</v>
      </c>
      <c r="C681" s="113"/>
      <c r="D681" s="159">
        <v>1.1000000000000001</v>
      </c>
      <c r="E681" s="145">
        <f>D681*E676</f>
        <v>88.440000000000012</v>
      </c>
      <c r="F681" s="109" t="s">
        <v>90</v>
      </c>
      <c r="G681" s="33"/>
      <c r="H681" s="104"/>
    </row>
    <row r="682" spans="1:8" s="82" customFormat="1" ht="15" customHeight="1">
      <c r="A682" s="108">
        <f>A678+1</f>
        <v>24</v>
      </c>
      <c r="B682" s="99" t="s">
        <v>91</v>
      </c>
      <c r="C682" s="71" t="s">
        <v>17</v>
      </c>
      <c r="D682" s="102"/>
      <c r="E682" s="139">
        <f>E676</f>
        <v>80.400000000000006</v>
      </c>
      <c r="F682" s="71" t="s">
        <v>59</v>
      </c>
      <c r="G682" s="33">
        <v>160</v>
      </c>
      <c r="H682" s="104">
        <f>E682*G682</f>
        <v>12864</v>
      </c>
    </row>
    <row r="683" spans="1:8" s="81" customFormat="1" ht="15" customHeight="1">
      <c r="A683" s="93"/>
      <c r="B683" s="112" t="s">
        <v>80</v>
      </c>
      <c r="C683" s="113"/>
      <c r="D683" s="102">
        <v>0.35</v>
      </c>
      <c r="E683" s="106">
        <f>D683*E682</f>
        <v>28.14</v>
      </c>
      <c r="F683" s="109" t="s">
        <v>19</v>
      </c>
      <c r="G683" s="33"/>
      <c r="H683" s="104"/>
    </row>
    <row r="684" spans="1:8" s="81" customFormat="1" ht="15" customHeight="1">
      <c r="A684" s="140"/>
      <c r="B684" s="141" t="s">
        <v>66</v>
      </c>
      <c r="C684" s="12"/>
      <c r="D684" s="14">
        <v>0.15</v>
      </c>
      <c r="E684" s="106">
        <f>D684*E682</f>
        <v>12.06</v>
      </c>
      <c r="F684" s="80" t="s">
        <v>14</v>
      </c>
      <c r="G684" s="33"/>
      <c r="H684" s="104"/>
    </row>
    <row r="685" spans="1:8" s="82" customFormat="1" ht="15" customHeight="1">
      <c r="A685" s="161"/>
      <c r="B685" s="151"/>
      <c r="C685" s="113"/>
      <c r="D685" s="102"/>
      <c r="E685" s="48"/>
      <c r="F685" s="109"/>
      <c r="G685" s="33"/>
      <c r="H685" s="104"/>
    </row>
    <row r="686" spans="1:8" s="82" customFormat="1" ht="15" customHeight="1">
      <c r="A686" s="155"/>
      <c r="B686" s="167" t="s">
        <v>176</v>
      </c>
      <c r="C686" s="169"/>
      <c r="D686" s="171"/>
      <c r="E686" s="170"/>
      <c r="F686" s="170"/>
      <c r="G686" s="33"/>
      <c r="H686" s="104"/>
    </row>
    <row r="687" spans="1:8" s="82" customFormat="1" ht="15" customHeight="1">
      <c r="A687" s="108">
        <f>A682+1</f>
        <v>25</v>
      </c>
      <c r="B687" s="99" t="s">
        <v>210</v>
      </c>
      <c r="C687" s="100" t="s">
        <v>58</v>
      </c>
      <c r="D687" s="159"/>
      <c r="E687" s="139">
        <v>36.24</v>
      </c>
      <c r="F687" s="71" t="s">
        <v>59</v>
      </c>
      <c r="G687" s="33">
        <v>240</v>
      </c>
      <c r="H687" s="104">
        <f>E687*G687</f>
        <v>8697.6</v>
      </c>
    </row>
    <row r="688" spans="1:8" s="82" customFormat="1" ht="25.5" customHeight="1">
      <c r="A688" s="93"/>
      <c r="B688" s="109" t="s">
        <v>211</v>
      </c>
      <c r="C688" s="71"/>
      <c r="D688" s="102">
        <v>1.03</v>
      </c>
      <c r="E688" s="106">
        <f>D688*E687</f>
        <v>37.327200000000005</v>
      </c>
      <c r="F688" s="112" t="s">
        <v>12</v>
      </c>
      <c r="G688" s="33"/>
      <c r="H688" s="104"/>
    </row>
    <row r="689" spans="1:8" s="82" customFormat="1" ht="15" customHeight="1">
      <c r="A689" s="172"/>
      <c r="B689" s="109" t="s">
        <v>212</v>
      </c>
      <c r="C689" s="71"/>
      <c r="D689" s="102">
        <v>0.7</v>
      </c>
      <c r="E689" s="106">
        <f>D689*E687</f>
        <v>25.367999999999999</v>
      </c>
      <c r="F689" s="109" t="s">
        <v>90</v>
      </c>
      <c r="G689" s="33"/>
      <c r="H689" s="104"/>
    </row>
    <row r="690" spans="1:8" s="81" customFormat="1" ht="15" customHeight="1">
      <c r="A690" s="161"/>
      <c r="B690" s="109" t="s">
        <v>213</v>
      </c>
      <c r="C690" s="71"/>
      <c r="D690" s="102">
        <v>1.02</v>
      </c>
      <c r="E690" s="106">
        <f>D690*E687</f>
        <v>36.964800000000004</v>
      </c>
      <c r="F690" s="112" t="s">
        <v>12</v>
      </c>
      <c r="G690" s="33"/>
      <c r="H690" s="104"/>
    </row>
    <row r="691" spans="1:8" s="81" customFormat="1" ht="15" customHeight="1">
      <c r="A691" s="161"/>
      <c r="B691" s="109" t="s">
        <v>214</v>
      </c>
      <c r="C691" s="71"/>
      <c r="D691" s="102">
        <v>10</v>
      </c>
      <c r="E691" s="106">
        <f>D691*E687</f>
        <v>362.40000000000003</v>
      </c>
      <c r="F691" s="193" t="s">
        <v>42</v>
      </c>
      <c r="G691" s="33"/>
      <c r="H691" s="104"/>
    </row>
    <row r="692" spans="1:8" s="82" customFormat="1" ht="25.5" customHeight="1">
      <c r="A692" s="122">
        <f>A687+1</f>
        <v>26</v>
      </c>
      <c r="B692" s="99" t="s">
        <v>215</v>
      </c>
      <c r="C692" s="71" t="s">
        <v>17</v>
      </c>
      <c r="D692" s="159"/>
      <c r="E692" s="139">
        <f>E687</f>
        <v>36.24</v>
      </c>
      <c r="F692" s="71" t="s">
        <v>59</v>
      </c>
      <c r="G692" s="33">
        <v>160</v>
      </c>
      <c r="H692" s="104">
        <f>E692*G692</f>
        <v>5798.4000000000005</v>
      </c>
    </row>
    <row r="693" spans="1:8" s="82" customFormat="1" ht="15" customHeight="1">
      <c r="A693" s="161"/>
      <c r="B693" s="109" t="s">
        <v>216</v>
      </c>
      <c r="C693" s="71"/>
      <c r="D693" s="102">
        <v>0.15</v>
      </c>
      <c r="E693" s="106">
        <f>D693*E692</f>
        <v>5.4359999999999999</v>
      </c>
      <c r="F693" s="112" t="s">
        <v>19</v>
      </c>
      <c r="G693" s="33"/>
      <c r="H693" s="104"/>
    </row>
    <row r="694" spans="1:8" s="81" customFormat="1" ht="15" customHeight="1">
      <c r="A694" s="161"/>
      <c r="B694" s="109" t="s">
        <v>217</v>
      </c>
      <c r="C694" s="71"/>
      <c r="D694" s="102">
        <v>0.6</v>
      </c>
      <c r="E694" s="106">
        <f>D694*E692</f>
        <v>21.744</v>
      </c>
      <c r="F694" s="109" t="s">
        <v>90</v>
      </c>
      <c r="G694" s="33"/>
      <c r="H694" s="104"/>
    </row>
    <row r="695" spans="1:8" s="82" customFormat="1" ht="26.25" customHeight="1">
      <c r="A695" s="161"/>
      <c r="B695" s="194" t="s">
        <v>218</v>
      </c>
      <c r="C695" s="195"/>
      <c r="D695" s="197">
        <v>0.2</v>
      </c>
      <c r="E695" s="187">
        <f>D695*E692</f>
        <v>7.2480000000000011</v>
      </c>
      <c r="F695" s="196" t="s">
        <v>14</v>
      </c>
      <c r="G695" s="33"/>
      <c r="H695" s="104"/>
    </row>
    <row r="696" spans="1:8" s="82" customFormat="1" ht="15" customHeight="1">
      <c r="A696" s="198"/>
      <c r="B696" s="199"/>
      <c r="C696" s="71"/>
      <c r="D696" s="102"/>
      <c r="E696" s="145"/>
      <c r="F696" s="112"/>
      <c r="G696" s="33"/>
      <c r="H696" s="104"/>
    </row>
    <row r="697" spans="1:8" s="82" customFormat="1" ht="15" customHeight="1">
      <c r="A697" s="200"/>
      <c r="B697" s="201" t="s">
        <v>188</v>
      </c>
      <c r="C697" s="169"/>
      <c r="D697" s="171"/>
      <c r="E697" s="170"/>
      <c r="F697" s="170"/>
      <c r="G697" s="33"/>
      <c r="H697" s="104"/>
    </row>
    <row r="698" spans="1:8" s="82" customFormat="1" ht="25.5" customHeight="1">
      <c r="A698" s="166">
        <f>A692+1</f>
        <v>27</v>
      </c>
      <c r="B698" s="202" t="s">
        <v>219</v>
      </c>
      <c r="C698" s="31" t="s">
        <v>178</v>
      </c>
      <c r="D698" s="33"/>
      <c r="E698" s="34">
        <v>92.75</v>
      </c>
      <c r="F698" s="41" t="s">
        <v>59</v>
      </c>
      <c r="G698" s="33">
        <v>300</v>
      </c>
      <c r="H698" s="104">
        <f>E698*G698</f>
        <v>27825</v>
      </c>
    </row>
    <row r="699" spans="1:8" s="81" customFormat="1" ht="15" customHeight="1">
      <c r="A699" s="161"/>
      <c r="B699" s="203" t="s">
        <v>201</v>
      </c>
      <c r="C699" s="188"/>
      <c r="D699" s="51">
        <v>0.7</v>
      </c>
      <c r="E699" s="189">
        <f>(E698*D699)</f>
        <v>64.924999999999997</v>
      </c>
      <c r="F699" s="50" t="s">
        <v>33</v>
      </c>
      <c r="G699" s="33"/>
      <c r="H699" s="104"/>
    </row>
    <row r="700" spans="1:8" s="81" customFormat="1" ht="15" customHeight="1">
      <c r="A700" s="204"/>
      <c r="B700" s="203" t="s">
        <v>180</v>
      </c>
      <c r="C700" s="188"/>
      <c r="D700" s="51">
        <v>2</v>
      </c>
      <c r="E700" s="189">
        <f>(E698*D700)</f>
        <v>185.5</v>
      </c>
      <c r="F700" s="50" t="s">
        <v>33</v>
      </c>
      <c r="G700" s="33"/>
      <c r="H700" s="104"/>
    </row>
    <row r="701" spans="1:8" s="81" customFormat="1" ht="15" customHeight="1">
      <c r="A701" s="161"/>
      <c r="B701" s="203" t="s">
        <v>181</v>
      </c>
      <c r="C701" s="188"/>
      <c r="D701" s="51">
        <v>0.8</v>
      </c>
      <c r="E701" s="189">
        <f>(E698*D701)</f>
        <v>74.2</v>
      </c>
      <c r="F701" s="50" t="s">
        <v>33</v>
      </c>
      <c r="G701" s="33"/>
      <c r="H701" s="104"/>
    </row>
    <row r="702" spans="1:8" s="82" customFormat="1" ht="15" customHeight="1">
      <c r="A702" s="161"/>
      <c r="B702" s="35" t="s">
        <v>220</v>
      </c>
      <c r="C702" s="188"/>
      <c r="D702" s="51">
        <v>1.4</v>
      </c>
      <c r="E702" s="189">
        <f>(E698*D702)</f>
        <v>129.85</v>
      </c>
      <c r="F702" s="50" t="s">
        <v>42</v>
      </c>
      <c r="G702" s="33"/>
      <c r="H702" s="104"/>
    </row>
    <row r="703" spans="1:8" s="82" customFormat="1" ht="15" customHeight="1">
      <c r="A703" s="172"/>
      <c r="B703" s="35" t="s">
        <v>221</v>
      </c>
      <c r="C703" s="188"/>
      <c r="D703" s="51">
        <v>2</v>
      </c>
      <c r="E703" s="189">
        <f>(E698*D703)</f>
        <v>185.5</v>
      </c>
      <c r="F703" s="50" t="s">
        <v>42</v>
      </c>
      <c r="G703" s="33"/>
      <c r="H703" s="104"/>
    </row>
    <row r="704" spans="1:8" s="81" customFormat="1" ht="15" customHeight="1">
      <c r="A704" s="161"/>
      <c r="B704" s="35" t="s">
        <v>182</v>
      </c>
      <c r="C704" s="188"/>
      <c r="D704" s="51">
        <v>12</v>
      </c>
      <c r="E704" s="189">
        <f>(E698*D704)</f>
        <v>1113</v>
      </c>
      <c r="F704" s="50" t="s">
        <v>42</v>
      </c>
      <c r="G704" s="33"/>
      <c r="H704" s="104"/>
    </row>
    <row r="705" spans="1:8" s="81" customFormat="1" ht="15" customHeight="1">
      <c r="A705" s="161"/>
      <c r="B705" s="35" t="s">
        <v>222</v>
      </c>
      <c r="C705" s="188"/>
      <c r="D705" s="51">
        <v>1.6</v>
      </c>
      <c r="E705" s="189">
        <f>(E698*D705)</f>
        <v>148.4</v>
      </c>
      <c r="F705" s="50" t="s">
        <v>42</v>
      </c>
      <c r="G705" s="33"/>
      <c r="H705" s="104"/>
    </row>
    <row r="706" spans="1:8" s="81" customFormat="1" ht="25.5" customHeight="1">
      <c r="A706" s="161"/>
      <c r="B706" s="35" t="s">
        <v>223</v>
      </c>
      <c r="C706" s="188"/>
      <c r="D706" s="51">
        <v>2.04</v>
      </c>
      <c r="E706" s="189">
        <f>(E698*D706)</f>
        <v>189.21</v>
      </c>
      <c r="F706" s="50" t="s">
        <v>12</v>
      </c>
      <c r="G706" s="33"/>
      <c r="H706" s="104"/>
    </row>
    <row r="707" spans="1:8" s="81" customFormat="1" ht="15" customHeight="1">
      <c r="A707" s="161"/>
      <c r="B707" s="35" t="s">
        <v>195</v>
      </c>
      <c r="C707" s="188"/>
      <c r="D707" s="51">
        <v>3.15</v>
      </c>
      <c r="E707" s="189">
        <f>(E698*D707)</f>
        <v>292.16249999999997</v>
      </c>
      <c r="F707" s="50" t="s">
        <v>12</v>
      </c>
      <c r="G707" s="33"/>
      <c r="H707" s="104"/>
    </row>
    <row r="708" spans="1:8" s="82" customFormat="1" ht="15" customHeight="1">
      <c r="A708" s="161"/>
      <c r="B708" s="35" t="s">
        <v>224</v>
      </c>
      <c r="C708" s="188"/>
      <c r="D708" s="51">
        <v>1.05</v>
      </c>
      <c r="E708" s="189">
        <f>(E698*D708)</f>
        <v>97.387500000000003</v>
      </c>
      <c r="F708" s="50" t="s">
        <v>12</v>
      </c>
      <c r="G708" s="33"/>
      <c r="H708" s="104"/>
    </row>
    <row r="709" spans="1:8" s="81" customFormat="1" ht="15" customHeight="1">
      <c r="A709" s="161"/>
      <c r="B709" s="35" t="s">
        <v>196</v>
      </c>
      <c r="C709" s="188"/>
      <c r="D709" s="51">
        <v>6</v>
      </c>
      <c r="E709" s="189">
        <f>(E698*D709)</f>
        <v>556.5</v>
      </c>
      <c r="F709" s="50" t="s">
        <v>42</v>
      </c>
      <c r="G709" s="33"/>
      <c r="H709" s="104"/>
    </row>
    <row r="710" spans="1:8" s="81" customFormat="1" ht="15" customHeight="1">
      <c r="A710" s="161"/>
      <c r="B710" s="35" t="s">
        <v>197</v>
      </c>
      <c r="C710" s="188"/>
      <c r="D710" s="51">
        <v>14</v>
      </c>
      <c r="E710" s="189">
        <f>(E698*D710)</f>
        <v>1298.5</v>
      </c>
      <c r="F710" s="50" t="s">
        <v>42</v>
      </c>
      <c r="G710" s="33"/>
      <c r="H710" s="104"/>
    </row>
    <row r="711" spans="1:8" s="82" customFormat="1" ht="15" customHeight="1">
      <c r="A711" s="161"/>
      <c r="B711" s="35" t="s">
        <v>198</v>
      </c>
      <c r="C711" s="113"/>
      <c r="D711" s="51">
        <v>21</v>
      </c>
      <c r="E711" s="189">
        <f>(E698*D711)</f>
        <v>1947.75</v>
      </c>
      <c r="F711" s="50" t="s">
        <v>42</v>
      </c>
      <c r="G711" s="33"/>
      <c r="H711" s="104"/>
    </row>
    <row r="712" spans="1:8" s="82" customFormat="1" ht="15" customHeight="1">
      <c r="A712" s="161"/>
      <c r="B712" s="35" t="s">
        <v>225</v>
      </c>
      <c r="C712" s="188"/>
      <c r="D712" s="51">
        <v>0.1</v>
      </c>
      <c r="E712" s="189">
        <f>(E698*D712)</f>
        <v>9.2750000000000004</v>
      </c>
      <c r="F712" s="50" t="s">
        <v>42</v>
      </c>
      <c r="G712" s="33"/>
      <c r="H712" s="104"/>
    </row>
    <row r="713" spans="1:8" s="81" customFormat="1" ht="15" customHeight="1">
      <c r="A713" s="161"/>
      <c r="B713" s="35" t="s">
        <v>199</v>
      </c>
      <c r="C713" s="188"/>
      <c r="D713" s="51">
        <v>0.4</v>
      </c>
      <c r="E713" s="189">
        <f>(E698*D713)</f>
        <v>37.1</v>
      </c>
      <c r="F713" s="50" t="s">
        <v>14</v>
      </c>
      <c r="G713" s="33"/>
      <c r="H713" s="104"/>
    </row>
    <row r="714" spans="1:8" s="82" customFormat="1" ht="38.25" customHeight="1">
      <c r="A714" s="122">
        <f>A698+1</f>
        <v>28</v>
      </c>
      <c r="B714" s="205" t="s">
        <v>226</v>
      </c>
      <c r="C714" s="31" t="s">
        <v>178</v>
      </c>
      <c r="D714" s="33"/>
      <c r="E714" s="34">
        <v>92.75</v>
      </c>
      <c r="F714" s="41" t="s">
        <v>59</v>
      </c>
      <c r="G714" s="33">
        <v>270</v>
      </c>
      <c r="H714" s="104">
        <f>E714*G714</f>
        <v>25042.5</v>
      </c>
    </row>
    <row r="715" spans="1:8" s="81" customFormat="1" ht="15" customHeight="1">
      <c r="A715" s="161"/>
      <c r="B715" s="35" t="s">
        <v>201</v>
      </c>
      <c r="C715" s="188"/>
      <c r="D715" s="51">
        <v>0.7</v>
      </c>
      <c r="E715" s="189">
        <f>(E714*D715)</f>
        <v>64.924999999999997</v>
      </c>
      <c r="F715" s="50" t="s">
        <v>33</v>
      </c>
      <c r="G715" s="33"/>
      <c r="H715" s="104"/>
    </row>
    <row r="716" spans="1:8" s="81" customFormat="1" ht="15" customHeight="1">
      <c r="A716" s="161"/>
      <c r="B716" s="35" t="s">
        <v>180</v>
      </c>
      <c r="C716" s="188"/>
      <c r="D716" s="51">
        <v>2</v>
      </c>
      <c r="E716" s="189">
        <f>(E714*D716)</f>
        <v>185.5</v>
      </c>
      <c r="F716" s="50" t="s">
        <v>22</v>
      </c>
      <c r="G716" s="33"/>
      <c r="H716" s="104"/>
    </row>
    <row r="717" spans="1:8" s="81" customFormat="1" ht="15" customHeight="1">
      <c r="A717" s="161"/>
      <c r="B717" s="35" t="s">
        <v>181</v>
      </c>
      <c r="C717" s="188"/>
      <c r="D717" s="51">
        <v>0.8</v>
      </c>
      <c r="E717" s="189">
        <f>(E714*D717)</f>
        <v>74.2</v>
      </c>
      <c r="F717" s="50" t="s">
        <v>33</v>
      </c>
      <c r="G717" s="33"/>
      <c r="H717" s="104"/>
    </row>
    <row r="718" spans="1:8" s="81" customFormat="1" ht="15" customHeight="1">
      <c r="A718" s="161"/>
      <c r="B718" s="35" t="s">
        <v>203</v>
      </c>
      <c r="C718" s="188"/>
      <c r="D718" s="51">
        <v>1.4</v>
      </c>
      <c r="E718" s="189">
        <f>(E714*D718)</f>
        <v>129.85</v>
      </c>
      <c r="F718" s="50" t="s">
        <v>42</v>
      </c>
      <c r="G718" s="33"/>
      <c r="H718" s="104"/>
    </row>
    <row r="719" spans="1:8" s="81" customFormat="1" ht="15" customHeight="1">
      <c r="A719" s="161"/>
      <c r="B719" s="35" t="s">
        <v>182</v>
      </c>
      <c r="C719" s="188"/>
      <c r="D719" s="51">
        <v>12</v>
      </c>
      <c r="E719" s="189">
        <f>(E714*D719)</f>
        <v>1113</v>
      </c>
      <c r="F719" s="50" t="s">
        <v>42</v>
      </c>
      <c r="G719" s="33"/>
      <c r="H719" s="104"/>
    </row>
    <row r="720" spans="1:8" s="81" customFormat="1" ht="15" customHeight="1">
      <c r="A720" s="161"/>
      <c r="B720" s="35" t="s">
        <v>222</v>
      </c>
      <c r="C720" s="188"/>
      <c r="D720" s="51">
        <v>1.6</v>
      </c>
      <c r="E720" s="189">
        <f>(E714*D720)</f>
        <v>148.4</v>
      </c>
      <c r="F720" s="50" t="s">
        <v>42</v>
      </c>
      <c r="G720" s="33"/>
      <c r="H720" s="104"/>
    </row>
    <row r="721" spans="1:8" s="81" customFormat="1" ht="15" customHeight="1">
      <c r="A721" s="161"/>
      <c r="B721" s="35" t="s">
        <v>197</v>
      </c>
      <c r="C721" s="188"/>
      <c r="D721" s="51">
        <v>2.8</v>
      </c>
      <c r="E721" s="189">
        <f>(E714*D721)</f>
        <v>259.7</v>
      </c>
      <c r="F721" s="50" t="s">
        <v>42</v>
      </c>
      <c r="G721" s="33"/>
      <c r="H721" s="104"/>
    </row>
    <row r="722" spans="1:8" s="82" customFormat="1" ht="25.5" customHeight="1">
      <c r="A722" s="161"/>
      <c r="B722" s="35" t="s">
        <v>204</v>
      </c>
      <c r="C722" s="188"/>
      <c r="D722" s="51">
        <v>1.02</v>
      </c>
      <c r="E722" s="189">
        <f>E714*D722</f>
        <v>94.605000000000004</v>
      </c>
      <c r="F722" s="79" t="s">
        <v>12</v>
      </c>
      <c r="G722" s="33"/>
      <c r="H722" s="104"/>
    </row>
    <row r="723" spans="1:8" s="82" customFormat="1" ht="38.25" customHeight="1">
      <c r="A723" s="161"/>
      <c r="B723" s="35" t="s">
        <v>186</v>
      </c>
      <c r="C723" s="188"/>
      <c r="D723" s="51">
        <v>1.05</v>
      </c>
      <c r="E723" s="189">
        <f>(E714*D723)</f>
        <v>97.387500000000003</v>
      </c>
      <c r="F723" s="50" t="s">
        <v>12</v>
      </c>
      <c r="G723" s="33"/>
      <c r="H723" s="104"/>
    </row>
    <row r="724" spans="1:8" s="82" customFormat="1" ht="15" customHeight="1">
      <c r="A724" s="161"/>
      <c r="B724" s="35" t="s">
        <v>187</v>
      </c>
      <c r="C724" s="188"/>
      <c r="D724" s="51">
        <v>14</v>
      </c>
      <c r="E724" s="189">
        <f>(E714*D724)</f>
        <v>1298.5</v>
      </c>
      <c r="F724" s="50" t="s">
        <v>88</v>
      </c>
      <c r="G724" s="33"/>
      <c r="H724" s="104"/>
    </row>
    <row r="725" spans="1:8" s="82" customFormat="1" ht="15.75" customHeight="1">
      <c r="A725" s="161"/>
      <c r="B725" s="151"/>
      <c r="C725" s="113"/>
      <c r="D725" s="102"/>
      <c r="E725" s="206"/>
      <c r="F725" s="109"/>
      <c r="G725" s="33"/>
      <c r="H725" s="104"/>
    </row>
    <row r="726" spans="1:8" s="82" customFormat="1" ht="15" customHeight="1">
      <c r="A726" s="22"/>
      <c r="B726" s="23" t="s">
        <v>107</v>
      </c>
      <c r="C726" s="24"/>
      <c r="D726" s="26"/>
      <c r="E726" s="27"/>
      <c r="F726" s="25"/>
      <c r="G726" s="33"/>
      <c r="H726" s="104"/>
    </row>
    <row r="727" spans="1:8" s="82" customFormat="1" ht="15" customHeight="1">
      <c r="A727" s="155"/>
      <c r="B727" s="94" t="s">
        <v>227</v>
      </c>
      <c r="C727" s="169"/>
      <c r="D727" s="171"/>
      <c r="E727" s="170"/>
      <c r="F727" s="170"/>
      <c r="G727" s="33"/>
      <c r="H727" s="104"/>
    </row>
    <row r="728" spans="1:8" s="82" customFormat="1" ht="15" customHeight="1">
      <c r="A728" s="122">
        <f>A714+1</f>
        <v>29</v>
      </c>
      <c r="B728" s="99" t="s">
        <v>109</v>
      </c>
      <c r="C728" s="71" t="s">
        <v>38</v>
      </c>
      <c r="D728" s="102"/>
      <c r="E728" s="139">
        <v>95.61</v>
      </c>
      <c r="F728" s="71" t="s">
        <v>59</v>
      </c>
      <c r="G728" s="33">
        <v>535</v>
      </c>
      <c r="H728" s="104">
        <f>E728*G728</f>
        <v>51151.35</v>
      </c>
    </row>
    <row r="729" spans="1:8" s="82" customFormat="1" ht="15" customHeight="1">
      <c r="A729" s="161"/>
      <c r="B729" s="151" t="s">
        <v>40</v>
      </c>
      <c r="C729" s="113"/>
      <c r="D729" s="102">
        <v>1.1000000000000001</v>
      </c>
      <c r="E729" s="48">
        <f>(E728-60.81)*D729</f>
        <v>38.28</v>
      </c>
      <c r="F729" s="109" t="s">
        <v>70</v>
      </c>
      <c r="G729" s="33"/>
      <c r="H729" s="104"/>
    </row>
    <row r="730" spans="1:8" s="82" customFormat="1" ht="15" customHeight="1">
      <c r="A730" s="161"/>
      <c r="B730" s="151" t="s">
        <v>102</v>
      </c>
      <c r="C730" s="113"/>
      <c r="D730" s="102">
        <v>1.1000000000000001</v>
      </c>
      <c r="E730" s="48">
        <f>60.81*D730</f>
        <v>66.891000000000005</v>
      </c>
      <c r="F730" s="109" t="s">
        <v>70</v>
      </c>
      <c r="G730" s="33"/>
      <c r="H730" s="104"/>
    </row>
    <row r="731" spans="1:8" s="81" customFormat="1" ht="15" customHeight="1">
      <c r="A731" s="161"/>
      <c r="B731" s="151" t="s">
        <v>63</v>
      </c>
      <c r="C731" s="113"/>
      <c r="D731" s="102">
        <v>0.15</v>
      </c>
      <c r="E731" s="48">
        <f>E728*D731</f>
        <v>14.3415</v>
      </c>
      <c r="F731" s="109" t="s">
        <v>19</v>
      </c>
      <c r="G731" s="33"/>
      <c r="H731" s="104"/>
    </row>
    <row r="732" spans="1:8" s="81" customFormat="1" ht="15" customHeight="1">
      <c r="A732" s="161"/>
      <c r="B732" s="151" t="s">
        <v>103</v>
      </c>
      <c r="C732" s="113"/>
      <c r="D732" s="102">
        <v>7.6</v>
      </c>
      <c r="E732" s="48">
        <f>E728*D732</f>
        <v>726.63599999999997</v>
      </c>
      <c r="F732" s="109" t="s">
        <v>14</v>
      </c>
      <c r="G732" s="33"/>
      <c r="H732" s="104"/>
    </row>
    <row r="733" spans="1:8" s="82" customFormat="1" ht="15" customHeight="1">
      <c r="A733" s="161"/>
      <c r="B733" s="151" t="s">
        <v>104</v>
      </c>
      <c r="C733" s="113"/>
      <c r="D733" s="102">
        <v>11</v>
      </c>
      <c r="E733" s="48">
        <f>E728*D733</f>
        <v>1051.71</v>
      </c>
      <c r="F733" s="109" t="s">
        <v>88</v>
      </c>
      <c r="G733" s="33"/>
      <c r="H733" s="104"/>
    </row>
    <row r="734" spans="1:8" s="81" customFormat="1" ht="15" customHeight="1">
      <c r="A734" s="161"/>
      <c r="B734" s="151" t="s">
        <v>105</v>
      </c>
      <c r="C734" s="113"/>
      <c r="D734" s="102">
        <v>0.4</v>
      </c>
      <c r="E734" s="48">
        <f>E728*D734</f>
        <v>38.244</v>
      </c>
      <c r="F734" s="109" t="s">
        <v>14</v>
      </c>
      <c r="G734" s="33"/>
      <c r="H734" s="104"/>
    </row>
    <row r="735" spans="1:8" s="82" customFormat="1" ht="25.5" customHeight="1">
      <c r="A735" s="166">
        <f>A728+1</f>
        <v>30</v>
      </c>
      <c r="B735" s="99" t="s">
        <v>111</v>
      </c>
      <c r="C735" s="71" t="s">
        <v>58</v>
      </c>
      <c r="D735" s="102"/>
      <c r="E735" s="139">
        <f>E728</f>
        <v>95.61</v>
      </c>
      <c r="F735" s="71" t="s">
        <v>59</v>
      </c>
      <c r="G735" s="33">
        <v>200</v>
      </c>
      <c r="H735" s="104">
        <f>E735*G735</f>
        <v>19122</v>
      </c>
    </row>
    <row r="736" spans="1:8" s="81" customFormat="1" ht="15" customHeight="1">
      <c r="A736" s="161"/>
      <c r="B736" s="151" t="s">
        <v>112</v>
      </c>
      <c r="C736" s="113"/>
      <c r="D736" s="102">
        <f>499*0.085*1.02/1000</f>
        <v>4.3263300000000011E-2</v>
      </c>
      <c r="E736" s="48">
        <f>E735*D736</f>
        <v>4.1364041130000011</v>
      </c>
      <c r="F736" s="109" t="s">
        <v>113</v>
      </c>
      <c r="G736" s="33"/>
      <c r="H736" s="104"/>
    </row>
    <row r="737" spans="1:8" s="81" customFormat="1" ht="15" customHeight="1">
      <c r="A737" s="161"/>
      <c r="B737" s="151" t="s">
        <v>114</v>
      </c>
      <c r="C737" s="113"/>
      <c r="D737" s="102">
        <f>1792*0.8*0.085*1.02/1000</f>
        <v>0.12429312000000003</v>
      </c>
      <c r="E737" s="48">
        <f>E735*D737</f>
        <v>11.883665203200003</v>
      </c>
      <c r="F737" s="109" t="s">
        <v>113</v>
      </c>
      <c r="G737" s="33"/>
      <c r="H737" s="104"/>
    </row>
    <row r="738" spans="1:8" s="82" customFormat="1" ht="15" customHeight="1">
      <c r="A738" s="161"/>
      <c r="B738" s="151" t="s">
        <v>115</v>
      </c>
      <c r="C738" s="113"/>
      <c r="D738" s="102">
        <f>1792*0.2*0.85*1.02/1000</f>
        <v>0.31073280000000003</v>
      </c>
      <c r="E738" s="48">
        <f>E735*D738</f>
        <v>29.709163008000004</v>
      </c>
      <c r="F738" s="109" t="s">
        <v>113</v>
      </c>
      <c r="G738" s="33"/>
      <c r="H738" s="104"/>
    </row>
    <row r="739" spans="1:8" s="82" customFormat="1" ht="15" customHeight="1">
      <c r="A739" s="161"/>
      <c r="B739" s="151" t="s">
        <v>116</v>
      </c>
      <c r="C739" s="113"/>
      <c r="D739" s="102">
        <v>1.1000000000000001</v>
      </c>
      <c r="E739" s="48">
        <f>E735*D739</f>
        <v>105.17100000000001</v>
      </c>
      <c r="F739" s="109" t="s">
        <v>70</v>
      </c>
      <c r="G739" s="33"/>
      <c r="H739" s="104"/>
    </row>
    <row r="740" spans="1:8" s="81" customFormat="1" ht="15" customHeight="1">
      <c r="A740" s="161"/>
      <c r="B740" s="151" t="s">
        <v>117</v>
      </c>
      <c r="C740" s="113"/>
      <c r="D740" s="102">
        <f>0.21/1000</f>
        <v>2.0999999999999998E-4</v>
      </c>
      <c r="E740" s="48">
        <f>E735*D740</f>
        <v>2.0078099999999998E-2</v>
      </c>
      <c r="F740" s="109" t="s">
        <v>113</v>
      </c>
      <c r="G740" s="33"/>
      <c r="H740" s="104"/>
    </row>
    <row r="741" spans="1:8" s="82" customFormat="1" ht="15" customHeight="1">
      <c r="A741" s="161"/>
      <c r="B741" s="151" t="s">
        <v>118</v>
      </c>
      <c r="C741" s="113"/>
      <c r="D741" s="102">
        <v>4</v>
      </c>
      <c r="E741" s="48">
        <f>E735*D741</f>
        <v>382.44</v>
      </c>
      <c r="F741" s="109" t="s">
        <v>88</v>
      </c>
      <c r="G741" s="33"/>
      <c r="H741" s="104"/>
    </row>
    <row r="742" spans="1:8" s="81" customFormat="1" ht="15" customHeight="1">
      <c r="A742" s="161"/>
      <c r="B742" s="151" t="s">
        <v>119</v>
      </c>
      <c r="C742" s="113"/>
      <c r="D742" s="102"/>
      <c r="E742" s="48">
        <f>E735</f>
        <v>95.61</v>
      </c>
      <c r="F742" s="109" t="s">
        <v>90</v>
      </c>
      <c r="G742" s="33"/>
      <c r="H742" s="104"/>
    </row>
    <row r="743" spans="1:8" s="82" customFormat="1" ht="15" customHeight="1">
      <c r="A743" s="161"/>
      <c r="B743" s="151"/>
      <c r="C743" s="113"/>
      <c r="D743" s="102"/>
      <c r="E743" s="48"/>
      <c r="F743" s="109"/>
      <c r="G743" s="33"/>
      <c r="H743" s="104"/>
    </row>
    <row r="744" spans="1:8" s="82" customFormat="1" ht="15" customHeight="1">
      <c r="A744" s="155"/>
      <c r="B744" s="94" t="s">
        <v>228</v>
      </c>
      <c r="C744" s="169"/>
      <c r="D744" s="171"/>
      <c r="E744" s="170"/>
      <c r="F744" s="170"/>
      <c r="G744" s="33"/>
      <c r="H744" s="104"/>
    </row>
    <row r="745" spans="1:8" s="82" customFormat="1" ht="15" customHeight="1">
      <c r="A745" s="166">
        <f>A735+1</f>
        <v>31</v>
      </c>
      <c r="B745" s="99" t="s">
        <v>109</v>
      </c>
      <c r="C745" s="71" t="s">
        <v>38</v>
      </c>
      <c r="D745" s="159"/>
      <c r="E745" s="139">
        <v>121.42</v>
      </c>
      <c r="F745" s="71" t="s">
        <v>59</v>
      </c>
      <c r="G745" s="33">
        <v>535</v>
      </c>
      <c r="H745" s="104">
        <f>E745*G745</f>
        <v>64959.700000000004</v>
      </c>
    </row>
    <row r="746" spans="1:8" s="82" customFormat="1" ht="15" customHeight="1">
      <c r="A746" s="161"/>
      <c r="B746" s="151" t="s">
        <v>40</v>
      </c>
      <c r="C746" s="113"/>
      <c r="D746" s="159">
        <v>1.1000000000000001</v>
      </c>
      <c r="E746" s="48">
        <f>E745*D746</f>
        <v>133.56200000000001</v>
      </c>
      <c r="F746" s="109" t="s">
        <v>70</v>
      </c>
      <c r="G746" s="33"/>
      <c r="H746" s="104"/>
    </row>
    <row r="747" spans="1:8" s="81" customFormat="1" ht="15" customHeight="1">
      <c r="A747" s="161"/>
      <c r="B747" s="151" t="s">
        <v>63</v>
      </c>
      <c r="C747" s="113"/>
      <c r="D747" s="159">
        <v>0.2</v>
      </c>
      <c r="E747" s="48">
        <f>E745*D747</f>
        <v>24.284000000000002</v>
      </c>
      <c r="F747" s="109" t="s">
        <v>19</v>
      </c>
      <c r="G747" s="33"/>
      <c r="H747" s="104"/>
    </row>
    <row r="748" spans="1:8" s="81" customFormat="1" ht="15" customHeight="1">
      <c r="A748" s="161"/>
      <c r="B748" s="151" t="s">
        <v>103</v>
      </c>
      <c r="C748" s="113"/>
      <c r="D748" s="159">
        <v>7.6</v>
      </c>
      <c r="E748" s="48">
        <f>E745*D748</f>
        <v>922.79199999999992</v>
      </c>
      <c r="F748" s="109" t="s">
        <v>14</v>
      </c>
      <c r="G748" s="33"/>
      <c r="H748" s="104"/>
    </row>
    <row r="749" spans="1:8" s="82" customFormat="1" ht="15" customHeight="1">
      <c r="A749" s="161"/>
      <c r="B749" s="151" t="s">
        <v>104</v>
      </c>
      <c r="C749" s="113"/>
      <c r="D749" s="159">
        <v>11</v>
      </c>
      <c r="E749" s="48">
        <f>E745*D749</f>
        <v>1335.6200000000001</v>
      </c>
      <c r="F749" s="109" t="s">
        <v>88</v>
      </c>
      <c r="G749" s="33"/>
      <c r="H749" s="104"/>
    </row>
    <row r="750" spans="1:8" s="81" customFormat="1" ht="15" customHeight="1">
      <c r="A750" s="161"/>
      <c r="B750" s="151" t="s">
        <v>105</v>
      </c>
      <c r="C750" s="113"/>
      <c r="D750" s="159">
        <v>0.4</v>
      </c>
      <c r="E750" s="48">
        <f>E745*D750</f>
        <v>48.568000000000005</v>
      </c>
      <c r="F750" s="109" t="s">
        <v>14</v>
      </c>
      <c r="G750" s="33"/>
      <c r="H750" s="104"/>
    </row>
    <row r="751" spans="1:8" s="82" customFormat="1" ht="15" customHeight="1">
      <c r="A751" s="166">
        <f>A745+1</f>
        <v>32</v>
      </c>
      <c r="B751" s="99" t="s">
        <v>121</v>
      </c>
      <c r="C751" s="71" t="s">
        <v>58</v>
      </c>
      <c r="D751" s="159"/>
      <c r="E751" s="139">
        <f>E745</f>
        <v>121.42</v>
      </c>
      <c r="F751" s="71" t="s">
        <v>59</v>
      </c>
      <c r="G751" s="33">
        <v>80</v>
      </c>
      <c r="H751" s="104">
        <f>E751*G751</f>
        <v>9713.6</v>
      </c>
    </row>
    <row r="752" spans="1:8" s="81" customFormat="1" ht="15" customHeight="1">
      <c r="A752" s="161"/>
      <c r="B752" s="151" t="s">
        <v>63</v>
      </c>
      <c r="C752" s="113"/>
      <c r="D752" s="159">
        <v>0.2</v>
      </c>
      <c r="E752" s="48">
        <f>E751*D752</f>
        <v>24.284000000000002</v>
      </c>
      <c r="F752" s="109" t="s">
        <v>19</v>
      </c>
      <c r="G752" s="33"/>
      <c r="H752" s="104"/>
    </row>
    <row r="753" spans="1:8" s="81" customFormat="1" ht="15" customHeight="1">
      <c r="A753" s="161"/>
      <c r="B753" s="151" t="s">
        <v>122</v>
      </c>
      <c r="C753" s="113"/>
      <c r="D753" s="159">
        <v>4.8</v>
      </c>
      <c r="E753" s="48">
        <f>E751*D753</f>
        <v>582.81600000000003</v>
      </c>
      <c r="F753" s="109" t="s">
        <v>14</v>
      </c>
      <c r="G753" s="33"/>
      <c r="H753" s="104"/>
    </row>
    <row r="754" spans="1:8" s="82" customFormat="1" ht="25.5" customHeight="1">
      <c r="A754" s="166">
        <f>A751+1</f>
        <v>33</v>
      </c>
      <c r="B754" s="99" t="s">
        <v>150</v>
      </c>
      <c r="C754" s="71" t="s">
        <v>58</v>
      </c>
      <c r="D754" s="159"/>
      <c r="E754" s="139">
        <f>E745</f>
        <v>121.42</v>
      </c>
      <c r="F754" s="71" t="s">
        <v>59</v>
      </c>
      <c r="G754" s="33">
        <v>200</v>
      </c>
      <c r="H754" s="104">
        <f>E754*G754</f>
        <v>24284</v>
      </c>
    </row>
    <row r="755" spans="1:8" s="81" customFormat="1" ht="15" customHeight="1">
      <c r="A755" s="161"/>
      <c r="B755" s="151" t="s">
        <v>112</v>
      </c>
      <c r="C755" s="113"/>
      <c r="D755" s="159">
        <f>(499*0.075*1.02)/1000</f>
        <v>3.8173499999999999E-2</v>
      </c>
      <c r="E755" s="48">
        <f>E754*D755</f>
        <v>4.6350263700000003</v>
      </c>
      <c r="F755" s="109" t="s">
        <v>113</v>
      </c>
      <c r="G755" s="33"/>
      <c r="H755" s="104"/>
    </row>
    <row r="756" spans="1:8" s="81" customFormat="1" ht="15" customHeight="1">
      <c r="A756" s="161"/>
      <c r="B756" s="151" t="s">
        <v>114</v>
      </c>
      <c r="C756" s="113"/>
      <c r="D756" s="159">
        <f>(1792*0.8*0.075*1.02)/1000</f>
        <v>0.10967040000000002</v>
      </c>
      <c r="E756" s="48">
        <f>E754*D756</f>
        <v>13.316179968000002</v>
      </c>
      <c r="F756" s="109" t="s">
        <v>113</v>
      </c>
      <c r="G756" s="33"/>
      <c r="H756" s="104"/>
    </row>
    <row r="757" spans="1:8" s="82" customFormat="1" ht="15" customHeight="1">
      <c r="A757" s="172"/>
      <c r="B757" s="151" t="s">
        <v>115</v>
      </c>
      <c r="C757" s="113"/>
      <c r="D757" s="159">
        <f>(1792*0.2*0.075*1.02)/1000</f>
        <v>2.7417600000000004E-2</v>
      </c>
      <c r="E757" s="48">
        <f>E754*D757</f>
        <v>3.3290449920000005</v>
      </c>
      <c r="F757" s="109" t="s">
        <v>113</v>
      </c>
      <c r="G757" s="33"/>
      <c r="H757" s="104"/>
    </row>
    <row r="758" spans="1:8" s="82" customFormat="1" ht="15" customHeight="1">
      <c r="A758" s="161"/>
      <c r="B758" s="151" t="s">
        <v>116</v>
      </c>
      <c r="C758" s="113"/>
      <c r="D758" s="159">
        <v>1.1000000000000001</v>
      </c>
      <c r="E758" s="48">
        <f>E754*D758</f>
        <v>133.56200000000001</v>
      </c>
      <c r="F758" s="109" t="s">
        <v>70</v>
      </c>
      <c r="G758" s="33"/>
      <c r="H758" s="104"/>
    </row>
    <row r="759" spans="1:8" s="81" customFormat="1" ht="15" customHeight="1">
      <c r="A759" s="161"/>
      <c r="B759" s="151" t="s">
        <v>117</v>
      </c>
      <c r="C759" s="113"/>
      <c r="D759" s="159">
        <f>0.21/1000</f>
        <v>2.0999999999999998E-4</v>
      </c>
      <c r="E759" s="48">
        <f>E754*D759</f>
        <v>2.5498199999999999E-2</v>
      </c>
      <c r="F759" s="109" t="s">
        <v>113</v>
      </c>
      <c r="G759" s="33"/>
      <c r="H759" s="104"/>
    </row>
    <row r="760" spans="1:8" s="82" customFormat="1" ht="15" customHeight="1">
      <c r="A760" s="161"/>
      <c r="B760" s="151" t="s">
        <v>118</v>
      </c>
      <c r="C760" s="113"/>
      <c r="D760" s="159">
        <v>4</v>
      </c>
      <c r="E760" s="48">
        <f>E754*D760</f>
        <v>485.68</v>
      </c>
      <c r="F760" s="109" t="s">
        <v>88</v>
      </c>
      <c r="G760" s="33"/>
      <c r="H760" s="104"/>
    </row>
    <row r="761" spans="1:8" s="81" customFormat="1" ht="15" customHeight="1">
      <c r="A761" s="161"/>
      <c r="B761" s="151" t="s">
        <v>119</v>
      </c>
      <c r="C761" s="113"/>
      <c r="D761" s="159"/>
      <c r="E761" s="48">
        <f>E754</f>
        <v>121.42</v>
      </c>
      <c r="F761" s="109" t="s">
        <v>90</v>
      </c>
      <c r="G761" s="33"/>
      <c r="H761" s="104"/>
    </row>
    <row r="762" spans="1:8" s="82" customFormat="1" ht="25.5" customHeight="1">
      <c r="A762" s="166">
        <f>A754+1</f>
        <v>34</v>
      </c>
      <c r="B762" s="99" t="s">
        <v>160</v>
      </c>
      <c r="C762" s="71" t="s">
        <v>58</v>
      </c>
      <c r="D762" s="159"/>
      <c r="E762" s="139">
        <f>E745</f>
        <v>121.42</v>
      </c>
      <c r="F762" s="71" t="s">
        <v>59</v>
      </c>
      <c r="G762" s="33">
        <v>95</v>
      </c>
      <c r="H762" s="104">
        <f>E762*G762</f>
        <v>11534.9</v>
      </c>
    </row>
    <row r="763" spans="1:8" s="81" customFormat="1" ht="15" customHeight="1">
      <c r="A763" s="161"/>
      <c r="B763" s="151" t="s">
        <v>132</v>
      </c>
      <c r="C763" s="113"/>
      <c r="D763" s="159">
        <v>1.3</v>
      </c>
      <c r="E763" s="48">
        <f>E762*D763</f>
        <v>157.846</v>
      </c>
      <c r="F763" s="109" t="s">
        <v>70</v>
      </c>
      <c r="G763" s="33"/>
      <c r="H763" s="104"/>
    </row>
    <row r="764" spans="1:8" s="82" customFormat="1" ht="15" customHeight="1">
      <c r="A764" s="161"/>
      <c r="B764" s="151" t="s">
        <v>133</v>
      </c>
      <c r="C764" s="113"/>
      <c r="D764" s="159"/>
      <c r="E764" s="48">
        <f>E762</f>
        <v>121.42</v>
      </c>
      <c r="F764" s="109" t="s">
        <v>90</v>
      </c>
      <c r="G764" s="33"/>
      <c r="H764" s="104"/>
    </row>
    <row r="765" spans="1:8" s="82" customFormat="1" ht="15" customHeight="1">
      <c r="A765" s="161"/>
      <c r="B765" s="151"/>
      <c r="C765" s="113"/>
      <c r="D765" s="102"/>
      <c r="E765" s="48"/>
      <c r="F765" s="109"/>
      <c r="G765" s="33"/>
      <c r="H765" s="104"/>
    </row>
    <row r="766" spans="1:8" s="82" customFormat="1" ht="15" customHeight="1">
      <c r="A766" s="155"/>
      <c r="B766" s="173" t="s">
        <v>175</v>
      </c>
      <c r="C766" s="169"/>
      <c r="D766" s="171"/>
      <c r="E766" s="170"/>
      <c r="F766" s="170"/>
      <c r="G766" s="33"/>
      <c r="H766" s="104"/>
    </row>
    <row r="767" spans="1:8" s="82" customFormat="1" ht="15" customHeight="1">
      <c r="A767" s="166">
        <f>A762+1</f>
        <v>35</v>
      </c>
      <c r="B767" s="99" t="s">
        <v>109</v>
      </c>
      <c r="C767" s="71" t="s">
        <v>38</v>
      </c>
      <c r="D767" s="159"/>
      <c r="E767" s="139">
        <v>13.1</v>
      </c>
      <c r="F767" s="71" t="s">
        <v>59</v>
      </c>
      <c r="G767" s="33">
        <v>535</v>
      </c>
      <c r="H767" s="104">
        <f>E767*G767</f>
        <v>7008.5</v>
      </c>
    </row>
    <row r="768" spans="1:8" s="82" customFormat="1" ht="15" customHeight="1">
      <c r="A768" s="161"/>
      <c r="B768" s="151" t="s">
        <v>40</v>
      </c>
      <c r="C768" s="113"/>
      <c r="D768" s="159">
        <v>1.1000000000000001</v>
      </c>
      <c r="E768" s="48">
        <f>E767*D768</f>
        <v>14.41</v>
      </c>
      <c r="F768" s="109" t="s">
        <v>70</v>
      </c>
      <c r="G768" s="33"/>
      <c r="H768" s="104"/>
    </row>
    <row r="769" spans="1:8" s="81" customFormat="1" ht="15" customHeight="1">
      <c r="A769" s="161"/>
      <c r="B769" s="151" t="s">
        <v>63</v>
      </c>
      <c r="C769" s="113"/>
      <c r="D769" s="159">
        <v>0.2</v>
      </c>
      <c r="E769" s="48">
        <f>E767*D769</f>
        <v>2.62</v>
      </c>
      <c r="F769" s="109" t="s">
        <v>19</v>
      </c>
      <c r="G769" s="33"/>
      <c r="H769" s="104"/>
    </row>
    <row r="770" spans="1:8" s="81" customFormat="1" ht="15" customHeight="1">
      <c r="A770" s="161"/>
      <c r="B770" s="151" t="s">
        <v>103</v>
      </c>
      <c r="C770" s="113"/>
      <c r="D770" s="159">
        <v>7.6</v>
      </c>
      <c r="E770" s="48">
        <f>E767*D770</f>
        <v>99.559999999999988</v>
      </c>
      <c r="F770" s="109" t="s">
        <v>14</v>
      </c>
      <c r="G770" s="33"/>
      <c r="H770" s="104"/>
    </row>
    <row r="771" spans="1:8" s="82" customFormat="1" ht="15" customHeight="1">
      <c r="A771" s="161"/>
      <c r="B771" s="151" t="s">
        <v>104</v>
      </c>
      <c r="C771" s="113"/>
      <c r="D771" s="159">
        <v>11</v>
      </c>
      <c r="E771" s="48">
        <f>E767*D771</f>
        <v>144.1</v>
      </c>
      <c r="F771" s="109" t="s">
        <v>88</v>
      </c>
      <c r="G771" s="33"/>
      <c r="H771" s="104"/>
    </row>
    <row r="772" spans="1:8" s="81" customFormat="1" ht="15" customHeight="1">
      <c r="A772" s="161"/>
      <c r="B772" s="151" t="s">
        <v>105</v>
      </c>
      <c r="C772" s="113"/>
      <c r="D772" s="159">
        <v>0.4</v>
      </c>
      <c r="E772" s="48">
        <f>E767*D772</f>
        <v>5.24</v>
      </c>
      <c r="F772" s="109" t="s">
        <v>14</v>
      </c>
      <c r="G772" s="33"/>
      <c r="H772" s="104"/>
    </row>
    <row r="773" spans="1:8" s="82" customFormat="1" ht="15" customHeight="1">
      <c r="A773" s="166">
        <f>A767+1</f>
        <v>36</v>
      </c>
      <c r="B773" s="99" t="s">
        <v>121</v>
      </c>
      <c r="C773" s="71" t="s">
        <v>58</v>
      </c>
      <c r="D773" s="159"/>
      <c r="E773" s="139">
        <f>E767</f>
        <v>13.1</v>
      </c>
      <c r="F773" s="71" t="s">
        <v>59</v>
      </c>
      <c r="G773" s="33">
        <v>80</v>
      </c>
      <c r="H773" s="104">
        <f>E773*G773</f>
        <v>1048</v>
      </c>
    </row>
    <row r="774" spans="1:8" s="81" customFormat="1" ht="15" customHeight="1">
      <c r="A774" s="161"/>
      <c r="B774" s="151" t="s">
        <v>63</v>
      </c>
      <c r="C774" s="113"/>
      <c r="D774" s="159">
        <v>0.2</v>
      </c>
      <c r="E774" s="48">
        <f>E773*D774</f>
        <v>2.62</v>
      </c>
      <c r="F774" s="109" t="s">
        <v>19</v>
      </c>
      <c r="G774" s="33"/>
      <c r="H774" s="104"/>
    </row>
    <row r="775" spans="1:8" s="81" customFormat="1" ht="15" customHeight="1">
      <c r="A775" s="161"/>
      <c r="B775" s="151" t="s">
        <v>122</v>
      </c>
      <c r="C775" s="113"/>
      <c r="D775" s="159">
        <v>4.8</v>
      </c>
      <c r="E775" s="48">
        <f>E773*D775</f>
        <v>62.879999999999995</v>
      </c>
      <c r="F775" s="109" t="s">
        <v>14</v>
      </c>
      <c r="G775" s="33"/>
      <c r="H775" s="104"/>
    </row>
    <row r="776" spans="1:8" s="82" customFormat="1" ht="25.5" customHeight="1">
      <c r="A776" s="166">
        <f>A773+1</f>
        <v>37</v>
      </c>
      <c r="B776" s="99" t="s">
        <v>229</v>
      </c>
      <c r="C776" s="71" t="s">
        <v>58</v>
      </c>
      <c r="D776" s="159"/>
      <c r="E776" s="139">
        <f>E767</f>
        <v>13.1</v>
      </c>
      <c r="F776" s="71" t="s">
        <v>59</v>
      </c>
      <c r="G776" s="33">
        <v>200</v>
      </c>
      <c r="H776" s="104">
        <f>E776*G776</f>
        <v>2620</v>
      </c>
    </row>
    <row r="777" spans="1:8" s="81" customFormat="1" ht="15" customHeight="1">
      <c r="A777" s="161"/>
      <c r="B777" s="151" t="s">
        <v>112</v>
      </c>
      <c r="C777" s="113"/>
      <c r="D777" s="159">
        <f>(499*0.1*1.02)/1000</f>
        <v>5.0898000000000006E-2</v>
      </c>
      <c r="E777" s="48">
        <f>E776*D777</f>
        <v>0.66676380000000002</v>
      </c>
      <c r="F777" s="109" t="s">
        <v>113</v>
      </c>
      <c r="G777" s="33"/>
      <c r="H777" s="104"/>
    </row>
    <row r="778" spans="1:8" s="81" customFormat="1" ht="15" customHeight="1">
      <c r="A778" s="161"/>
      <c r="B778" s="151" t="s">
        <v>114</v>
      </c>
      <c r="C778" s="113"/>
      <c r="D778" s="159">
        <f>(1792*0.8*0.1*1.02)/1000</f>
        <v>0.1462272</v>
      </c>
      <c r="E778" s="48">
        <f>E776*D778</f>
        <v>1.91557632</v>
      </c>
      <c r="F778" s="109" t="s">
        <v>113</v>
      </c>
      <c r="G778" s="33"/>
      <c r="H778" s="104"/>
    </row>
    <row r="779" spans="1:8" s="82" customFormat="1" ht="15" customHeight="1">
      <c r="A779" s="172"/>
      <c r="B779" s="151" t="s">
        <v>115</v>
      </c>
      <c r="C779" s="113"/>
      <c r="D779" s="159">
        <f>(1792*0.2*0.1*1.02)/1000</f>
        <v>3.65568E-2</v>
      </c>
      <c r="E779" s="48">
        <f>E776*D779</f>
        <v>0.47889408</v>
      </c>
      <c r="F779" s="109" t="s">
        <v>113</v>
      </c>
      <c r="G779" s="33"/>
      <c r="H779" s="104"/>
    </row>
    <row r="780" spans="1:8" s="82" customFormat="1" ht="15" customHeight="1">
      <c r="A780" s="161"/>
      <c r="B780" s="151" t="s">
        <v>116</v>
      </c>
      <c r="C780" s="113"/>
      <c r="D780" s="159">
        <v>1.1000000000000001</v>
      </c>
      <c r="E780" s="48">
        <f>E776*D780</f>
        <v>14.41</v>
      </c>
      <c r="F780" s="109" t="s">
        <v>70</v>
      </c>
      <c r="G780" s="33"/>
      <c r="H780" s="104"/>
    </row>
    <row r="781" spans="1:8" s="81" customFormat="1" ht="15" customHeight="1">
      <c r="A781" s="161"/>
      <c r="B781" s="151" t="s">
        <v>117</v>
      </c>
      <c r="C781" s="113"/>
      <c r="D781" s="159">
        <f>0.21/1000</f>
        <v>2.0999999999999998E-4</v>
      </c>
      <c r="E781" s="48">
        <f>E776*D781</f>
        <v>2.7509999999999995E-3</v>
      </c>
      <c r="F781" s="109" t="s">
        <v>113</v>
      </c>
      <c r="G781" s="33"/>
      <c r="H781" s="104"/>
    </row>
    <row r="782" spans="1:8" s="82" customFormat="1" ht="15" customHeight="1">
      <c r="A782" s="161"/>
      <c r="B782" s="151" t="s">
        <v>118</v>
      </c>
      <c r="C782" s="113"/>
      <c r="D782" s="159">
        <v>4</v>
      </c>
      <c r="E782" s="48">
        <f>E776*D782</f>
        <v>52.4</v>
      </c>
      <c r="F782" s="109" t="s">
        <v>88</v>
      </c>
      <c r="G782" s="33"/>
      <c r="H782" s="104"/>
    </row>
    <row r="783" spans="1:8" s="81" customFormat="1" ht="15" customHeight="1">
      <c r="A783" s="161"/>
      <c r="B783" s="151" t="s">
        <v>119</v>
      </c>
      <c r="C783" s="113"/>
      <c r="D783" s="159"/>
      <c r="E783" s="48">
        <f>E776</f>
        <v>13.1</v>
      </c>
      <c r="F783" s="109" t="s">
        <v>90</v>
      </c>
      <c r="G783" s="33"/>
      <c r="H783" s="104"/>
    </row>
    <row r="784" spans="1:8" s="82" customFormat="1" ht="15" customHeight="1">
      <c r="A784" s="166">
        <f>A776+1</f>
        <v>38</v>
      </c>
      <c r="B784" s="99" t="s">
        <v>134</v>
      </c>
      <c r="C784" s="71" t="s">
        <v>58</v>
      </c>
      <c r="D784" s="159"/>
      <c r="E784" s="139">
        <f>E767</f>
        <v>13.1</v>
      </c>
      <c r="F784" s="71" t="s">
        <v>59</v>
      </c>
      <c r="G784" s="33">
        <v>120</v>
      </c>
      <c r="H784" s="104">
        <f>E784*G784</f>
        <v>1572</v>
      </c>
    </row>
    <row r="785" spans="1:8" s="82" customFormat="1" ht="15" customHeight="1">
      <c r="A785" s="161"/>
      <c r="B785" s="151" t="s">
        <v>135</v>
      </c>
      <c r="C785" s="113"/>
      <c r="D785" s="159">
        <f>1.15</f>
        <v>1.1499999999999999</v>
      </c>
      <c r="E785" s="48">
        <f>E784*D785</f>
        <v>15.064999999999998</v>
      </c>
      <c r="F785" s="109" t="s">
        <v>70</v>
      </c>
      <c r="G785" s="33"/>
      <c r="H785" s="104"/>
    </row>
    <row r="786" spans="1:8" s="81" customFormat="1" ht="15" customHeight="1">
      <c r="A786" s="161"/>
      <c r="B786" s="151" t="s">
        <v>136</v>
      </c>
      <c r="C786" s="113"/>
      <c r="D786" s="159">
        <v>0.3</v>
      </c>
      <c r="E786" s="48">
        <f>E784*D786</f>
        <v>3.9299999999999997</v>
      </c>
      <c r="F786" s="109" t="s">
        <v>14</v>
      </c>
      <c r="G786" s="33"/>
      <c r="H786" s="104"/>
    </row>
    <row r="787" spans="1:8" s="82" customFormat="1" ht="15" customHeight="1">
      <c r="A787" s="166"/>
      <c r="B787" s="151" t="s">
        <v>137</v>
      </c>
      <c r="C787" s="113"/>
      <c r="D787" s="102">
        <v>1</v>
      </c>
      <c r="E787" s="48">
        <f>D787*E784</f>
        <v>13.1</v>
      </c>
      <c r="F787" s="109" t="s">
        <v>19</v>
      </c>
      <c r="G787" s="33"/>
      <c r="H787" s="104"/>
    </row>
    <row r="788" spans="1:8" s="82" customFormat="1" ht="15" customHeight="1">
      <c r="A788" s="155"/>
      <c r="B788" s="173" t="s">
        <v>230</v>
      </c>
      <c r="C788" s="169"/>
      <c r="D788" s="171"/>
      <c r="E788" s="170"/>
      <c r="F788" s="170"/>
      <c r="G788" s="33"/>
      <c r="H788" s="104"/>
    </row>
    <row r="789" spans="1:8" s="82" customFormat="1" ht="15" customHeight="1">
      <c r="A789" s="166">
        <f>A784+1</f>
        <v>39</v>
      </c>
      <c r="B789" s="99" t="s">
        <v>109</v>
      </c>
      <c r="C789" s="71" t="s">
        <v>38</v>
      </c>
      <c r="D789" s="159"/>
      <c r="E789" s="139">
        <v>12.66</v>
      </c>
      <c r="F789" s="71" t="s">
        <v>59</v>
      </c>
      <c r="G789" s="33">
        <v>535</v>
      </c>
      <c r="H789" s="104">
        <f>E789*G789</f>
        <v>6773.1</v>
      </c>
    </row>
    <row r="790" spans="1:8" s="82" customFormat="1" ht="15" customHeight="1">
      <c r="A790" s="161"/>
      <c r="B790" s="151" t="s">
        <v>40</v>
      </c>
      <c r="C790" s="113"/>
      <c r="D790" s="159">
        <v>1.1000000000000001</v>
      </c>
      <c r="E790" s="48">
        <f>E789*D790</f>
        <v>13.926000000000002</v>
      </c>
      <c r="F790" s="109" t="s">
        <v>70</v>
      </c>
      <c r="G790" s="33"/>
      <c r="H790" s="104"/>
    </row>
    <row r="791" spans="1:8" s="81" customFormat="1" ht="15" customHeight="1">
      <c r="A791" s="161"/>
      <c r="B791" s="151" t="s">
        <v>63</v>
      </c>
      <c r="C791" s="113"/>
      <c r="D791" s="159">
        <v>0.2</v>
      </c>
      <c r="E791" s="48">
        <f>E789*D791</f>
        <v>2.532</v>
      </c>
      <c r="F791" s="109" t="s">
        <v>19</v>
      </c>
      <c r="G791" s="33"/>
      <c r="H791" s="104"/>
    </row>
    <row r="792" spans="1:8" s="81" customFormat="1" ht="15" customHeight="1">
      <c r="A792" s="161"/>
      <c r="B792" s="151" t="s">
        <v>103</v>
      </c>
      <c r="C792" s="113"/>
      <c r="D792" s="159">
        <v>7.6</v>
      </c>
      <c r="E792" s="48">
        <f>E789*D792</f>
        <v>96.215999999999994</v>
      </c>
      <c r="F792" s="109" t="s">
        <v>14</v>
      </c>
      <c r="G792" s="33"/>
      <c r="H792" s="104"/>
    </row>
    <row r="793" spans="1:8" s="82" customFormat="1" ht="15" customHeight="1">
      <c r="A793" s="161"/>
      <c r="B793" s="151" t="s">
        <v>104</v>
      </c>
      <c r="C793" s="113"/>
      <c r="D793" s="159">
        <v>11</v>
      </c>
      <c r="E793" s="48">
        <f>E789*D793</f>
        <v>139.26</v>
      </c>
      <c r="F793" s="109" t="s">
        <v>88</v>
      </c>
      <c r="G793" s="33"/>
      <c r="H793" s="104"/>
    </row>
    <row r="794" spans="1:8" s="81" customFormat="1" ht="15" customHeight="1">
      <c r="A794" s="161"/>
      <c r="B794" s="151" t="s">
        <v>105</v>
      </c>
      <c r="C794" s="113"/>
      <c r="D794" s="159">
        <v>0.4</v>
      </c>
      <c r="E794" s="48">
        <f>E789*D794</f>
        <v>5.0640000000000001</v>
      </c>
      <c r="F794" s="109" t="s">
        <v>14</v>
      </c>
      <c r="G794" s="33"/>
      <c r="H794" s="104"/>
    </row>
    <row r="795" spans="1:8" s="82" customFormat="1" ht="15" customHeight="1">
      <c r="A795" s="166">
        <f>A789+1</f>
        <v>40</v>
      </c>
      <c r="B795" s="99" t="s">
        <v>121</v>
      </c>
      <c r="C795" s="71" t="s">
        <v>58</v>
      </c>
      <c r="D795" s="159"/>
      <c r="E795" s="139">
        <f>E789</f>
        <v>12.66</v>
      </c>
      <c r="F795" s="71" t="s">
        <v>59</v>
      </c>
      <c r="G795" s="33">
        <v>80</v>
      </c>
      <c r="H795" s="104">
        <f>E795*G795</f>
        <v>1012.8</v>
      </c>
    </row>
    <row r="796" spans="1:8" s="81" customFormat="1" ht="15" customHeight="1">
      <c r="A796" s="161"/>
      <c r="B796" s="151" t="s">
        <v>63</v>
      </c>
      <c r="C796" s="113"/>
      <c r="D796" s="159">
        <v>0.2</v>
      </c>
      <c r="E796" s="48">
        <f>E795*D796</f>
        <v>2.532</v>
      </c>
      <c r="F796" s="109" t="s">
        <v>19</v>
      </c>
      <c r="G796" s="33"/>
      <c r="H796" s="104"/>
    </row>
    <row r="797" spans="1:8" s="81" customFormat="1" ht="15" customHeight="1">
      <c r="A797" s="161"/>
      <c r="B797" s="151" t="s">
        <v>122</v>
      </c>
      <c r="C797" s="113"/>
      <c r="D797" s="159">
        <v>4.8</v>
      </c>
      <c r="E797" s="48">
        <f>E795*D797</f>
        <v>60.768000000000001</v>
      </c>
      <c r="F797" s="109" t="s">
        <v>14</v>
      </c>
      <c r="G797" s="33"/>
      <c r="H797" s="104"/>
    </row>
    <row r="798" spans="1:8" s="82" customFormat="1" ht="25.5" customHeight="1">
      <c r="A798" s="166">
        <f>A795+1</f>
        <v>41</v>
      </c>
      <c r="B798" s="99" t="s">
        <v>156</v>
      </c>
      <c r="C798" s="71" t="s">
        <v>58</v>
      </c>
      <c r="D798" s="159"/>
      <c r="E798" s="139">
        <f>E789</f>
        <v>12.66</v>
      </c>
      <c r="F798" s="71" t="s">
        <v>59</v>
      </c>
      <c r="G798" s="33">
        <v>300</v>
      </c>
      <c r="H798" s="104">
        <f>E798*G798</f>
        <v>3798</v>
      </c>
    </row>
    <row r="799" spans="1:8" s="81" customFormat="1" ht="15" customHeight="1">
      <c r="A799" s="161"/>
      <c r="B799" s="151" t="s">
        <v>112</v>
      </c>
      <c r="C799" s="113"/>
      <c r="D799" s="159">
        <f>(499*0.075*1.02)/1000</f>
        <v>3.8173499999999999E-2</v>
      </c>
      <c r="E799" s="48">
        <f>E798*D799</f>
        <v>0.48327650999999999</v>
      </c>
      <c r="F799" s="109" t="s">
        <v>113</v>
      </c>
      <c r="G799" s="33"/>
      <c r="H799" s="104"/>
    </row>
    <row r="800" spans="1:8" s="81" customFormat="1" ht="15" customHeight="1">
      <c r="A800" s="161"/>
      <c r="B800" s="151" t="s">
        <v>114</v>
      </c>
      <c r="C800" s="113"/>
      <c r="D800" s="159">
        <f>(1792*0.8*0.075*1.02)/1000</f>
        <v>0.10967040000000002</v>
      </c>
      <c r="E800" s="48">
        <f>E798*D800</f>
        <v>1.3884272640000002</v>
      </c>
      <c r="F800" s="109" t="s">
        <v>113</v>
      </c>
      <c r="G800" s="33"/>
      <c r="H800" s="104"/>
    </row>
    <row r="801" spans="1:8" s="82" customFormat="1" ht="15" customHeight="1">
      <c r="A801" s="161"/>
      <c r="B801" s="151" t="s">
        <v>115</v>
      </c>
      <c r="C801" s="113"/>
      <c r="D801" s="159">
        <f>(1792*0.2*0.075*1.02)/1000</f>
        <v>2.7417600000000004E-2</v>
      </c>
      <c r="E801" s="48">
        <f>E798*D801</f>
        <v>0.34710681600000004</v>
      </c>
      <c r="F801" s="109" t="s">
        <v>113</v>
      </c>
      <c r="G801" s="33"/>
      <c r="H801" s="104"/>
    </row>
    <row r="802" spans="1:8" s="82" customFormat="1" ht="15" customHeight="1">
      <c r="A802" s="161"/>
      <c r="B802" s="151" t="s">
        <v>116</v>
      </c>
      <c r="C802" s="113"/>
      <c r="D802" s="159">
        <v>1.1000000000000001</v>
      </c>
      <c r="E802" s="48">
        <f>E798*D802</f>
        <v>13.926000000000002</v>
      </c>
      <c r="F802" s="109" t="s">
        <v>70</v>
      </c>
      <c r="G802" s="33"/>
      <c r="H802" s="104"/>
    </row>
    <row r="803" spans="1:8" s="81" customFormat="1" ht="15" customHeight="1">
      <c r="A803" s="161"/>
      <c r="B803" s="151" t="s">
        <v>117</v>
      </c>
      <c r="C803" s="113"/>
      <c r="D803" s="159">
        <f>0.21/1000</f>
        <v>2.0999999999999998E-4</v>
      </c>
      <c r="E803" s="48">
        <f>E798*D803</f>
        <v>2.6585999999999997E-3</v>
      </c>
      <c r="F803" s="109" t="s">
        <v>113</v>
      </c>
      <c r="G803" s="33"/>
      <c r="H803" s="104"/>
    </row>
    <row r="804" spans="1:8" s="82" customFormat="1" ht="15" customHeight="1">
      <c r="A804" s="161"/>
      <c r="B804" s="151" t="s">
        <v>118</v>
      </c>
      <c r="C804" s="113"/>
      <c r="D804" s="159">
        <v>4</v>
      </c>
      <c r="E804" s="48">
        <f>E798*D804</f>
        <v>50.64</v>
      </c>
      <c r="F804" s="109" t="s">
        <v>88</v>
      </c>
      <c r="G804" s="33"/>
      <c r="H804" s="104"/>
    </row>
    <row r="805" spans="1:8" s="81" customFormat="1" ht="15" customHeight="1">
      <c r="A805" s="161"/>
      <c r="B805" s="151" t="s">
        <v>119</v>
      </c>
      <c r="C805" s="113"/>
      <c r="D805" s="159"/>
      <c r="E805" s="48">
        <f>E798</f>
        <v>12.66</v>
      </c>
      <c r="F805" s="109" t="s">
        <v>90</v>
      </c>
      <c r="G805" s="33"/>
      <c r="H805" s="104"/>
    </row>
    <row r="806" spans="1:8" s="82" customFormat="1" ht="15" customHeight="1">
      <c r="A806" s="166">
        <f>A798+1</f>
        <v>42</v>
      </c>
      <c r="B806" s="99" t="s">
        <v>123</v>
      </c>
      <c r="C806" s="71" t="s">
        <v>58</v>
      </c>
      <c r="D806" s="159"/>
      <c r="E806" s="139">
        <f>E789</f>
        <v>12.66</v>
      </c>
      <c r="F806" s="71" t="s">
        <v>59</v>
      </c>
      <c r="G806" s="33">
        <v>40</v>
      </c>
      <c r="H806" s="104">
        <f>E806*G806</f>
        <v>506.4</v>
      </c>
    </row>
    <row r="807" spans="1:8" s="82" customFormat="1" ht="15" customHeight="1">
      <c r="A807" s="161"/>
      <c r="B807" s="151" t="s">
        <v>124</v>
      </c>
      <c r="C807" s="113"/>
      <c r="D807" s="159">
        <v>1.1000000000000001</v>
      </c>
      <c r="E807" s="48">
        <f>E806*D807</f>
        <v>13.926000000000002</v>
      </c>
      <c r="F807" s="109" t="s">
        <v>70</v>
      </c>
      <c r="G807" s="33"/>
      <c r="H807" s="104"/>
    </row>
    <row r="808" spans="1:8" s="81" customFormat="1" ht="15" customHeight="1">
      <c r="A808" s="161"/>
      <c r="B808" s="151" t="s">
        <v>125</v>
      </c>
      <c r="C808" s="113"/>
      <c r="D808" s="159"/>
      <c r="E808" s="48">
        <f>E806</f>
        <v>12.66</v>
      </c>
      <c r="F808" s="109" t="s">
        <v>90</v>
      </c>
      <c r="G808" s="33"/>
      <c r="H808" s="104"/>
    </row>
    <row r="809" spans="1:8" s="82" customFormat="1" ht="15" customHeight="1">
      <c r="A809" s="166">
        <f>A806+1</f>
        <v>43</v>
      </c>
      <c r="B809" s="99" t="s">
        <v>231</v>
      </c>
      <c r="C809" s="71" t="s">
        <v>58</v>
      </c>
      <c r="D809" s="159"/>
      <c r="E809" s="139">
        <f>E789</f>
        <v>12.66</v>
      </c>
      <c r="F809" s="71" t="s">
        <v>59</v>
      </c>
      <c r="G809" s="33">
        <v>280</v>
      </c>
      <c r="H809" s="104">
        <f>E809*G809</f>
        <v>3544.8</v>
      </c>
    </row>
    <row r="810" spans="1:8" s="82" customFormat="1" ht="15" customHeight="1">
      <c r="A810" s="161"/>
      <c r="B810" s="151" t="s">
        <v>232</v>
      </c>
      <c r="C810" s="113"/>
      <c r="D810" s="159">
        <f>0.155*1.02</f>
        <v>0.15809999999999999</v>
      </c>
      <c r="E810" s="48">
        <f>E809*D810</f>
        <v>2.0015459999999998</v>
      </c>
      <c r="F810" s="109" t="s">
        <v>128</v>
      </c>
      <c r="G810" s="33"/>
      <c r="H810" s="104"/>
    </row>
    <row r="811" spans="1:8" s="82" customFormat="1" ht="15" customHeight="1">
      <c r="A811" s="161"/>
      <c r="B811" s="151"/>
      <c r="C811" s="113"/>
      <c r="D811" s="102"/>
      <c r="E811" s="48"/>
      <c r="F811" s="109"/>
      <c r="G811" s="33"/>
      <c r="H811" s="104"/>
    </row>
    <row r="812" spans="1:8" s="82" customFormat="1" ht="15" customHeight="1">
      <c r="A812" s="155"/>
      <c r="B812" s="173" t="s">
        <v>233</v>
      </c>
      <c r="C812" s="169"/>
      <c r="D812" s="171"/>
      <c r="E812" s="170"/>
      <c r="F812" s="170"/>
      <c r="G812" s="33"/>
      <c r="H812" s="104"/>
    </row>
    <row r="813" spans="1:8" s="82" customFormat="1" ht="15" customHeight="1">
      <c r="A813" s="166">
        <f>A809+1</f>
        <v>44</v>
      </c>
      <c r="B813" s="99" t="s">
        <v>234</v>
      </c>
      <c r="C813" s="71"/>
      <c r="D813" s="159"/>
      <c r="E813" s="139">
        <v>42.2</v>
      </c>
      <c r="F813" s="71" t="s">
        <v>59</v>
      </c>
      <c r="G813" s="33">
        <v>170</v>
      </c>
      <c r="H813" s="104">
        <f>E813*G813</f>
        <v>7174.0000000000009</v>
      </c>
    </row>
    <row r="814" spans="1:8" s="207" customFormat="1" ht="15" customHeight="1">
      <c r="A814" s="161"/>
      <c r="B814" s="141" t="s">
        <v>168</v>
      </c>
      <c r="C814" s="12"/>
      <c r="D814" s="14">
        <v>0.15</v>
      </c>
      <c r="E814" s="106">
        <f>D814*((1.23*2+0.87*2)*0.15+1.23*0.87)</f>
        <v>0.25501499999999999</v>
      </c>
      <c r="F814" s="80" t="s">
        <v>14</v>
      </c>
      <c r="G814" s="33"/>
      <c r="H814" s="104"/>
    </row>
    <row r="815" spans="1:8" s="207" customFormat="1" ht="15" customHeight="1">
      <c r="A815" s="161"/>
      <c r="B815" s="151" t="s">
        <v>169</v>
      </c>
      <c r="C815" s="113"/>
      <c r="D815" s="102">
        <v>0.3</v>
      </c>
      <c r="E815" s="106">
        <f>D815*((1.23*2+0.87*2)*0.15+1.23*0.87)</f>
        <v>0.51002999999999998</v>
      </c>
      <c r="F815" s="109" t="s">
        <v>14</v>
      </c>
      <c r="G815" s="33"/>
      <c r="H815" s="104"/>
    </row>
    <row r="816" spans="1:8" s="82" customFormat="1" ht="25.5" customHeight="1">
      <c r="A816" s="166">
        <f>A813+1</f>
        <v>45</v>
      </c>
      <c r="B816" s="99" t="s">
        <v>235</v>
      </c>
      <c r="C816" s="71" t="s">
        <v>58</v>
      </c>
      <c r="D816" s="159"/>
      <c r="E816" s="139">
        <f>E813</f>
        <v>42.2</v>
      </c>
      <c r="F816" s="71" t="s">
        <v>59</v>
      </c>
      <c r="G816" s="33">
        <v>300</v>
      </c>
      <c r="H816" s="104">
        <f>E816*G816</f>
        <v>12660</v>
      </c>
    </row>
    <row r="817" spans="1:8" s="82" customFormat="1" ht="15" customHeight="1">
      <c r="A817" s="161"/>
      <c r="B817" s="151" t="s">
        <v>236</v>
      </c>
      <c r="C817" s="113"/>
      <c r="D817" s="159">
        <f>(0.1*1.02)</f>
        <v>0.10200000000000001</v>
      </c>
      <c r="E817" s="48">
        <f>E816*D817</f>
        <v>4.3044000000000002</v>
      </c>
      <c r="F817" s="109" t="s">
        <v>128</v>
      </c>
      <c r="G817" s="33"/>
      <c r="H817" s="104"/>
    </row>
    <row r="818" spans="1:8" s="82" customFormat="1" ht="15" customHeight="1">
      <c r="A818" s="161"/>
      <c r="B818" s="151" t="s">
        <v>237</v>
      </c>
      <c r="C818" s="113"/>
      <c r="D818" s="159">
        <v>1.1000000000000001</v>
      </c>
      <c r="E818" s="48">
        <f>E816*D818</f>
        <v>46.420000000000009</v>
      </c>
      <c r="F818" s="109" t="s">
        <v>70</v>
      </c>
      <c r="G818" s="33"/>
      <c r="H818" s="104"/>
    </row>
    <row r="819" spans="1:8" s="81" customFormat="1" ht="15" customHeight="1">
      <c r="A819" s="161"/>
      <c r="B819" s="151" t="s">
        <v>117</v>
      </c>
      <c r="C819" s="113"/>
      <c r="D819" s="159">
        <f>0.21/1000</f>
        <v>2.0999999999999998E-4</v>
      </c>
      <c r="E819" s="48">
        <f>E816*D819</f>
        <v>8.8620000000000001E-3</v>
      </c>
      <c r="F819" s="109" t="s">
        <v>113</v>
      </c>
      <c r="G819" s="33"/>
      <c r="H819" s="104"/>
    </row>
    <row r="820" spans="1:8" s="82" customFormat="1" ht="15" customHeight="1">
      <c r="A820" s="161"/>
      <c r="B820" s="151" t="s">
        <v>118</v>
      </c>
      <c r="C820" s="113"/>
      <c r="D820" s="159">
        <v>4</v>
      </c>
      <c r="E820" s="48">
        <f>E816*D820</f>
        <v>168.8</v>
      </c>
      <c r="F820" s="109" t="s">
        <v>88</v>
      </c>
      <c r="G820" s="33"/>
      <c r="H820" s="104"/>
    </row>
    <row r="821" spans="1:8" s="81" customFormat="1" ht="15" customHeight="1">
      <c r="A821" s="161"/>
      <c r="B821" s="151" t="s">
        <v>119</v>
      </c>
      <c r="C821" s="113"/>
      <c r="D821" s="159"/>
      <c r="E821" s="48">
        <f>E816</f>
        <v>42.2</v>
      </c>
      <c r="F821" s="109" t="s">
        <v>90</v>
      </c>
      <c r="G821" s="33"/>
      <c r="H821" s="104"/>
    </row>
    <row r="822" spans="1:8" s="82" customFormat="1" ht="15" customHeight="1">
      <c r="A822" s="166">
        <f>A816+1</f>
        <v>46</v>
      </c>
      <c r="B822" s="99" t="s">
        <v>238</v>
      </c>
      <c r="C822" s="71" t="s">
        <v>58</v>
      </c>
      <c r="D822" s="159"/>
      <c r="E822" s="139">
        <f>E813</f>
        <v>42.2</v>
      </c>
      <c r="F822" s="71" t="s">
        <v>59</v>
      </c>
      <c r="G822" s="33">
        <v>40</v>
      </c>
      <c r="H822" s="104">
        <f>E822*G822</f>
        <v>1688</v>
      </c>
    </row>
    <row r="823" spans="1:8" s="82" customFormat="1" ht="15" customHeight="1">
      <c r="A823" s="161"/>
      <c r="B823" s="151" t="s">
        <v>124</v>
      </c>
      <c r="C823" s="113"/>
      <c r="D823" s="159">
        <v>1.3</v>
      </c>
      <c r="E823" s="48">
        <f>E822*D823</f>
        <v>54.860000000000007</v>
      </c>
      <c r="F823" s="109" t="s">
        <v>70</v>
      </c>
      <c r="G823" s="33"/>
      <c r="H823" s="104"/>
    </row>
    <row r="824" spans="1:8" s="81" customFormat="1" ht="15" customHeight="1">
      <c r="A824" s="161"/>
      <c r="B824" s="151" t="s">
        <v>125</v>
      </c>
      <c r="C824" s="113"/>
      <c r="D824" s="159"/>
      <c r="E824" s="48">
        <f>E822</f>
        <v>42.2</v>
      </c>
      <c r="F824" s="109" t="s">
        <v>90</v>
      </c>
      <c r="G824" s="33"/>
      <c r="H824" s="104"/>
    </row>
    <row r="825" spans="1:8" s="82" customFormat="1" ht="15" customHeight="1">
      <c r="A825" s="166">
        <f>A822+1</f>
        <v>47</v>
      </c>
      <c r="B825" s="99" t="s">
        <v>239</v>
      </c>
      <c r="C825" s="71" t="s">
        <v>58</v>
      </c>
      <c r="D825" s="159"/>
      <c r="E825" s="139">
        <f>E813</f>
        <v>42.2</v>
      </c>
      <c r="F825" s="71" t="s">
        <v>59</v>
      </c>
      <c r="G825" s="33">
        <v>160</v>
      </c>
      <c r="H825" s="104">
        <f>E825*G825</f>
        <v>6752</v>
      </c>
    </row>
    <row r="826" spans="1:8" s="81" customFormat="1" ht="15" customHeight="1">
      <c r="A826" s="161"/>
      <c r="B826" s="151" t="s">
        <v>240</v>
      </c>
      <c r="C826" s="113"/>
      <c r="D826" s="159">
        <f>1.02</f>
        <v>1.02</v>
      </c>
      <c r="E826" s="48">
        <f>E825*D826</f>
        <v>43.044000000000004</v>
      </c>
      <c r="F826" s="109" t="s">
        <v>70</v>
      </c>
      <c r="G826" s="33"/>
      <c r="H826" s="104"/>
    </row>
    <row r="827" spans="1:8" s="82" customFormat="1" ht="15" customHeight="1">
      <c r="A827" s="166">
        <f>A825+1</f>
        <v>48</v>
      </c>
      <c r="B827" s="99" t="s">
        <v>241</v>
      </c>
      <c r="C827" s="71" t="s">
        <v>58</v>
      </c>
      <c r="D827" s="159"/>
      <c r="E827" s="139">
        <f>E813</f>
        <v>42.2</v>
      </c>
      <c r="F827" s="71" t="s">
        <v>59</v>
      </c>
      <c r="G827" s="33">
        <v>280</v>
      </c>
      <c r="H827" s="104">
        <f>E827*G827</f>
        <v>11816</v>
      </c>
    </row>
    <row r="828" spans="1:8" s="82" customFormat="1" ht="15" customHeight="1">
      <c r="A828" s="161"/>
      <c r="B828" s="151" t="s">
        <v>232</v>
      </c>
      <c r="C828" s="113"/>
      <c r="D828" s="159">
        <f>0.125*1.02</f>
        <v>0.1275</v>
      </c>
      <c r="E828" s="48">
        <f>E827*D828</f>
        <v>5.3805000000000005</v>
      </c>
      <c r="F828" s="109" t="s">
        <v>128</v>
      </c>
      <c r="G828" s="33"/>
      <c r="H828" s="104"/>
    </row>
    <row r="829" spans="1:8" s="82" customFormat="1" ht="15" customHeight="1">
      <c r="A829" s="166">
        <f>A827+1</f>
        <v>49</v>
      </c>
      <c r="B829" s="99" t="s">
        <v>242</v>
      </c>
      <c r="C829" s="71" t="s">
        <v>58</v>
      </c>
      <c r="D829" s="159"/>
      <c r="E829" s="139">
        <v>67</v>
      </c>
      <c r="F829" s="71" t="s">
        <v>243</v>
      </c>
      <c r="G829" s="33">
        <v>96</v>
      </c>
      <c r="H829" s="104">
        <f>E829*G829</f>
        <v>6432</v>
      </c>
    </row>
    <row r="830" spans="1:8" s="82" customFormat="1" ht="15" customHeight="1">
      <c r="A830" s="161"/>
      <c r="B830" s="151" t="s">
        <v>244</v>
      </c>
      <c r="C830" s="113"/>
      <c r="D830" s="159">
        <v>1.05</v>
      </c>
      <c r="E830" s="48">
        <f>E829*D830</f>
        <v>70.350000000000009</v>
      </c>
      <c r="F830" s="109" t="s">
        <v>243</v>
      </c>
      <c r="G830" s="33"/>
      <c r="H830" s="104"/>
    </row>
    <row r="831" spans="1:8" s="82" customFormat="1" ht="15" customHeight="1">
      <c r="A831" s="161"/>
      <c r="B831" s="151"/>
      <c r="C831" s="113"/>
      <c r="D831" s="159"/>
      <c r="E831" s="48"/>
      <c r="F831" s="109"/>
      <c r="G831" s="33"/>
      <c r="H831" s="104"/>
    </row>
    <row r="832" spans="1:8" s="82" customFormat="1" ht="38.25" customHeight="1">
      <c r="A832" s="166">
        <f>A829+1</f>
        <v>50</v>
      </c>
      <c r="B832" s="174" t="s">
        <v>245</v>
      </c>
      <c r="C832" s="113"/>
      <c r="D832" s="102"/>
      <c r="E832" s="131">
        <f>1.4*1.9*0.2</f>
        <v>0.53199999999999992</v>
      </c>
      <c r="F832" s="71" t="s">
        <v>246</v>
      </c>
      <c r="G832" s="33">
        <v>9600</v>
      </c>
      <c r="H832" s="104">
        <f>E832*G832</f>
        <v>5107.1999999999989</v>
      </c>
    </row>
    <row r="833" spans="1:8" s="82" customFormat="1" ht="15" customHeight="1">
      <c r="A833" s="161"/>
      <c r="B833" s="175" t="s">
        <v>163</v>
      </c>
      <c r="C833" s="113"/>
      <c r="D833" s="102"/>
      <c r="E833" s="48">
        <v>20</v>
      </c>
      <c r="F833" s="109" t="s">
        <v>42</v>
      </c>
      <c r="G833" s="33"/>
      <c r="H833" s="104"/>
    </row>
    <row r="834" spans="1:8" s="82" customFormat="1" ht="25.5" customHeight="1">
      <c r="A834" s="161"/>
      <c r="B834" s="175" t="s">
        <v>164</v>
      </c>
      <c r="C834" s="113"/>
      <c r="D834" s="102"/>
      <c r="E834" s="48">
        <f>0.65*0.13*20</f>
        <v>1.6900000000000002</v>
      </c>
      <c r="F834" s="109" t="s">
        <v>14</v>
      </c>
      <c r="G834" s="33"/>
      <c r="H834" s="104"/>
    </row>
    <row r="835" spans="1:8" s="82" customFormat="1" ht="15" customHeight="1">
      <c r="A835" s="161"/>
      <c r="B835" s="175" t="s">
        <v>165</v>
      </c>
      <c r="C835" s="176"/>
      <c r="D835" s="177">
        <v>1.0149999999999999</v>
      </c>
      <c r="E835" s="178">
        <f>E832*D835</f>
        <v>0.5399799999999999</v>
      </c>
      <c r="F835" s="109" t="s">
        <v>128</v>
      </c>
      <c r="G835" s="33"/>
      <c r="H835" s="104"/>
    </row>
    <row r="836" spans="1:8" s="81" customFormat="1" ht="15" customHeight="1">
      <c r="A836" s="161"/>
      <c r="B836" s="208" t="s">
        <v>166</v>
      </c>
      <c r="C836" s="113"/>
      <c r="D836" s="177">
        <v>1.05</v>
      </c>
      <c r="E836" s="178">
        <f>1.4*1.9*D836</f>
        <v>2.7929999999999997</v>
      </c>
      <c r="F836" s="209" t="s">
        <v>12</v>
      </c>
      <c r="G836" s="33"/>
      <c r="H836" s="104"/>
    </row>
    <row r="837" spans="1:8" s="81" customFormat="1" ht="15" customHeight="1">
      <c r="A837" s="161"/>
      <c r="B837" s="208" t="s">
        <v>167</v>
      </c>
      <c r="C837" s="113"/>
      <c r="D837" s="177">
        <v>1.1000000000000001</v>
      </c>
      <c r="E837" s="178">
        <f>1.4*1.9*D837</f>
        <v>2.9259999999999997</v>
      </c>
      <c r="F837" s="209" t="s">
        <v>12</v>
      </c>
      <c r="G837" s="33"/>
      <c r="H837" s="104"/>
    </row>
    <row r="838" spans="1:8" s="81" customFormat="1" ht="15" customHeight="1">
      <c r="A838" s="161"/>
      <c r="B838" s="210" t="s">
        <v>168</v>
      </c>
      <c r="C838" s="113"/>
      <c r="D838" s="14">
        <v>0.15</v>
      </c>
      <c r="E838" s="106">
        <f>D838*((1.4*2+1.9*2)*0.15+1.4*1.9)</f>
        <v>0.54749999999999988</v>
      </c>
      <c r="F838" s="211" t="s">
        <v>14</v>
      </c>
      <c r="G838" s="33"/>
      <c r="H838" s="104"/>
    </row>
    <row r="839" spans="1:8" s="81" customFormat="1" ht="15" customHeight="1">
      <c r="A839" s="161"/>
      <c r="B839" s="212" t="s">
        <v>169</v>
      </c>
      <c r="C839" s="113"/>
      <c r="D839" s="102">
        <v>0.3</v>
      </c>
      <c r="E839" s="106">
        <f>D839*((1.4*2+1.9*2)*0.15+1.4*1.9)</f>
        <v>1.0949999999999998</v>
      </c>
      <c r="F839" s="213" t="s">
        <v>14</v>
      </c>
      <c r="G839" s="33"/>
      <c r="H839" s="104"/>
    </row>
    <row r="840" spans="1:8" s="82" customFormat="1" ht="15" customHeight="1">
      <c r="A840" s="161"/>
      <c r="B840" s="214"/>
      <c r="C840" s="113"/>
      <c r="D840" s="177"/>
      <c r="E840" s="178"/>
      <c r="F840" s="209"/>
      <c r="G840" s="33"/>
      <c r="H840" s="104"/>
    </row>
    <row r="841" spans="1:8" s="82" customFormat="1" ht="38.25" customHeight="1">
      <c r="A841" s="166">
        <f>A832+1</f>
        <v>51</v>
      </c>
      <c r="B841" s="215" t="s">
        <v>247</v>
      </c>
      <c r="C841" s="113"/>
      <c r="D841" s="102"/>
      <c r="E841" s="131">
        <f>1.7*2.2*0.2</f>
        <v>0.74800000000000011</v>
      </c>
      <c r="F841" s="71" t="s">
        <v>246</v>
      </c>
      <c r="G841" s="33">
        <v>9600</v>
      </c>
      <c r="H841" s="104">
        <f>E841*G841</f>
        <v>7180.8000000000011</v>
      </c>
    </row>
    <row r="842" spans="1:8" s="82" customFormat="1" ht="15" customHeight="1">
      <c r="A842" s="161"/>
      <c r="B842" s="208" t="s">
        <v>163</v>
      </c>
      <c r="C842" s="113"/>
      <c r="D842" s="102"/>
      <c r="E842" s="48">
        <v>20</v>
      </c>
      <c r="F842" s="213" t="s">
        <v>42</v>
      </c>
      <c r="G842" s="33"/>
      <c r="H842" s="104"/>
    </row>
    <row r="843" spans="1:8" s="82" customFormat="1" ht="25.5" customHeight="1">
      <c r="A843" s="161"/>
      <c r="B843" s="208" t="s">
        <v>164</v>
      </c>
      <c r="C843" s="113"/>
      <c r="D843" s="102"/>
      <c r="E843" s="48">
        <f>0.165*0.13*20</f>
        <v>0.42899999999999999</v>
      </c>
      <c r="F843" s="213" t="s">
        <v>14</v>
      </c>
      <c r="G843" s="33"/>
      <c r="H843" s="104"/>
    </row>
    <row r="844" spans="1:8" s="82" customFormat="1" ht="15" customHeight="1">
      <c r="A844" s="161"/>
      <c r="B844" s="208" t="s">
        <v>165</v>
      </c>
      <c r="C844" s="113"/>
      <c r="D844" s="177">
        <v>1.0149999999999999</v>
      </c>
      <c r="E844" s="178">
        <f>E841*D844</f>
        <v>0.75922000000000001</v>
      </c>
      <c r="F844" s="109" t="s">
        <v>128</v>
      </c>
      <c r="G844" s="33"/>
      <c r="H844" s="104"/>
    </row>
    <row r="845" spans="1:8" s="81" customFormat="1" ht="15" customHeight="1">
      <c r="A845" s="161"/>
      <c r="B845" s="208" t="s">
        <v>166</v>
      </c>
      <c r="C845" s="113"/>
      <c r="D845" s="177">
        <v>1.05</v>
      </c>
      <c r="E845" s="178">
        <f>2.2*1.7*D845</f>
        <v>3.9270000000000005</v>
      </c>
      <c r="F845" s="209" t="s">
        <v>12</v>
      </c>
      <c r="G845" s="33"/>
      <c r="H845" s="104"/>
    </row>
    <row r="846" spans="1:8" s="81" customFormat="1" ht="15" customHeight="1">
      <c r="A846" s="161"/>
      <c r="B846" s="208" t="s">
        <v>167</v>
      </c>
      <c r="C846" s="113"/>
      <c r="D846" s="177">
        <v>1.1000000000000001</v>
      </c>
      <c r="E846" s="178">
        <f>2.2*1.7*D846</f>
        <v>4.1140000000000008</v>
      </c>
      <c r="F846" s="209" t="s">
        <v>12</v>
      </c>
      <c r="G846" s="33"/>
      <c r="H846" s="104"/>
    </row>
    <row r="847" spans="1:8" s="81" customFormat="1" ht="15" customHeight="1">
      <c r="A847" s="161"/>
      <c r="B847" s="210" t="s">
        <v>168</v>
      </c>
      <c r="C847" s="113"/>
      <c r="D847" s="14">
        <v>0.15</v>
      </c>
      <c r="E847" s="106">
        <f>D847*((1.7*2+2.2*2)*0.15+1.7*2.2)</f>
        <v>0.73650000000000004</v>
      </c>
      <c r="F847" s="211" t="s">
        <v>14</v>
      </c>
      <c r="G847" s="33"/>
      <c r="H847" s="104"/>
    </row>
    <row r="848" spans="1:8" s="81" customFormat="1" ht="15" customHeight="1">
      <c r="A848" s="161"/>
      <c r="B848" s="212" t="s">
        <v>169</v>
      </c>
      <c r="C848" s="113"/>
      <c r="D848" s="102">
        <v>0.3</v>
      </c>
      <c r="E848" s="106">
        <f>D848*((1.7*2+2.2*2)*0.15+1.7*2.2)</f>
        <v>1.4730000000000001</v>
      </c>
      <c r="F848" s="213" t="s">
        <v>14</v>
      </c>
      <c r="G848" s="33"/>
      <c r="H848" s="104"/>
    </row>
    <row r="849" spans="1:8" ht="15" customHeight="1">
      <c r="A849" s="161"/>
      <c r="B849" s="216"/>
      <c r="C849" s="113"/>
      <c r="D849" s="177"/>
      <c r="E849" s="178"/>
      <c r="F849" s="209"/>
      <c r="G849" s="33"/>
      <c r="H849" s="104"/>
    </row>
    <row r="850" spans="1:8" ht="15" customHeight="1">
      <c r="A850" s="155"/>
      <c r="B850" s="167" t="s">
        <v>138</v>
      </c>
      <c r="C850" s="169"/>
      <c r="D850" s="171"/>
      <c r="E850" s="170"/>
      <c r="F850" s="170"/>
      <c r="G850" s="33"/>
      <c r="H850" s="104"/>
    </row>
    <row r="851" spans="1:8" ht="25.5" customHeight="1">
      <c r="A851" s="166">
        <f>A841+1</f>
        <v>52</v>
      </c>
      <c r="B851" s="99" t="s">
        <v>139</v>
      </c>
      <c r="C851" s="71" t="s">
        <v>38</v>
      </c>
      <c r="D851" s="102"/>
      <c r="E851" s="139">
        <f>21.4+32.7+19.8</f>
        <v>73.900000000000006</v>
      </c>
      <c r="F851" s="71" t="s">
        <v>90</v>
      </c>
      <c r="G851" s="33">
        <v>160</v>
      </c>
      <c r="H851" s="104">
        <f>E851*G851</f>
        <v>11824</v>
      </c>
    </row>
    <row r="852" spans="1:8" ht="15" customHeight="1">
      <c r="A852" s="161"/>
      <c r="B852" s="151" t="s">
        <v>40</v>
      </c>
      <c r="C852" s="113"/>
      <c r="D852" s="102">
        <f>1.1*0.1</f>
        <v>0.11000000000000001</v>
      </c>
      <c r="E852" s="48">
        <f>E851*D852</f>
        <v>8.1290000000000013</v>
      </c>
      <c r="F852" s="109" t="s">
        <v>70</v>
      </c>
      <c r="G852" s="33"/>
      <c r="H852" s="160"/>
    </row>
    <row r="853" spans="1:8" s="39" customFormat="1" ht="15" customHeight="1">
      <c r="A853" s="161"/>
      <c r="B853" s="151" t="s">
        <v>63</v>
      </c>
      <c r="C853" s="113"/>
      <c r="D853" s="102">
        <f>0.15*0.1</f>
        <v>1.4999999999999999E-2</v>
      </c>
      <c r="E853" s="48">
        <f>E851*D853</f>
        <v>1.1085</v>
      </c>
      <c r="F853" s="109" t="s">
        <v>19</v>
      </c>
      <c r="G853" s="33"/>
      <c r="H853" s="157"/>
    </row>
    <row r="854" spans="1:8" s="39" customFormat="1" ht="15" customHeight="1">
      <c r="A854" s="161"/>
      <c r="B854" s="151" t="s">
        <v>103</v>
      </c>
      <c r="C854" s="113"/>
      <c r="D854" s="102">
        <f>7.6*0.1</f>
        <v>0.76</v>
      </c>
      <c r="E854" s="48">
        <f>E851*D854</f>
        <v>56.164000000000001</v>
      </c>
      <c r="F854" s="109" t="s">
        <v>14</v>
      </c>
      <c r="G854" s="33"/>
      <c r="H854" s="157"/>
    </row>
    <row r="855" spans="1:8" s="39" customFormat="1" ht="15" customHeight="1">
      <c r="A855" s="161"/>
      <c r="B855" s="151" t="s">
        <v>105</v>
      </c>
      <c r="C855" s="113"/>
      <c r="D855" s="102">
        <f>0.4*0.1</f>
        <v>4.0000000000000008E-2</v>
      </c>
      <c r="E855" s="48">
        <f>E851*D855</f>
        <v>2.9560000000000008</v>
      </c>
      <c r="F855" s="109" t="s">
        <v>14</v>
      </c>
      <c r="G855" s="33"/>
      <c r="H855" s="157"/>
    </row>
    <row r="856" spans="1:8" ht="15.75" customHeight="1">
      <c r="A856" s="161"/>
      <c r="B856" s="151"/>
      <c r="C856" s="113"/>
      <c r="D856" s="102"/>
      <c r="E856" s="206"/>
      <c r="F856" s="109"/>
      <c r="G856" s="33"/>
      <c r="H856" s="160"/>
    </row>
    <row r="857" spans="1:8" ht="15" customHeight="1">
      <c r="A857" s="161"/>
      <c r="B857" s="151"/>
      <c r="C857" s="113"/>
      <c r="D857" s="102"/>
      <c r="E857" s="48"/>
      <c r="F857" s="109"/>
      <c r="G857" s="33"/>
      <c r="H857" s="160"/>
    </row>
    <row r="858" spans="1:8" ht="15" customHeight="1">
      <c r="A858" s="42"/>
      <c r="B858" s="217" t="s">
        <v>248</v>
      </c>
      <c r="C858" s="9"/>
      <c r="D858" s="218"/>
      <c r="E858" s="12"/>
      <c r="F858" s="12" t="s">
        <v>249</v>
      </c>
      <c r="G858" s="33"/>
      <c r="H858" s="219">
        <f>SUM(H4:H856)</f>
        <v>5645596.9419999989</v>
      </c>
    </row>
  </sheetData>
  <autoFilter ref="A3:H858" xr:uid="{00000000-0009-0000-0000-000000000000}"/>
  <mergeCells count="7">
    <mergeCell ref="A1:A2"/>
    <mergeCell ref="B1:B2"/>
    <mergeCell ref="C1:C2"/>
    <mergeCell ref="F1:F2"/>
    <mergeCell ref="D1:D2"/>
    <mergeCell ref="E1:E2"/>
    <mergeCell ref="G1:H1"/>
  </mergeCells>
  <conditionalFormatting sqref="E13:F13">
    <cfRule type="cellIs" dxfId="23" priority="18" operator="equal">
      <formula>0</formula>
    </cfRule>
  </conditionalFormatting>
  <conditionalFormatting sqref="E22:F22">
    <cfRule type="cellIs" dxfId="22" priority="17" operator="equal">
      <formula>0</formula>
    </cfRule>
  </conditionalFormatting>
  <conditionalFormatting sqref="E26:F26">
    <cfRule type="cellIs" dxfId="21" priority="16" operator="equal">
      <formula>0</formula>
    </cfRule>
  </conditionalFormatting>
  <conditionalFormatting sqref="E30:F30">
    <cfRule type="cellIs" dxfId="20" priority="15" operator="equal">
      <formula>0</formula>
    </cfRule>
  </conditionalFormatting>
  <conditionalFormatting sqref="E39:F39">
    <cfRule type="cellIs" dxfId="19" priority="14" operator="equal">
      <formula>0</formula>
    </cfRule>
  </conditionalFormatting>
  <conditionalFormatting sqref="E41:F41">
    <cfRule type="cellIs" dxfId="18" priority="13" operator="equal">
      <formula>0</formula>
    </cfRule>
  </conditionalFormatting>
  <conditionalFormatting sqref="E54:F54">
    <cfRule type="cellIs" dxfId="17" priority="4" operator="equal">
      <formula>0</formula>
    </cfRule>
  </conditionalFormatting>
  <conditionalFormatting sqref="E68:F68">
    <cfRule type="cellIs" dxfId="16" priority="24" operator="equal">
      <formula>0</formula>
    </cfRule>
  </conditionalFormatting>
  <conditionalFormatting sqref="E77:F77">
    <cfRule type="cellIs" dxfId="15" priority="23" operator="equal">
      <formula>0</formula>
    </cfRule>
  </conditionalFormatting>
  <conditionalFormatting sqref="E81:F81">
    <cfRule type="cellIs" dxfId="14" priority="22" operator="equal">
      <formula>0</formula>
    </cfRule>
  </conditionalFormatting>
  <conditionalFormatting sqref="E85:F85">
    <cfRule type="cellIs" dxfId="13" priority="21" operator="equal">
      <formula>0</formula>
    </cfRule>
  </conditionalFormatting>
  <conditionalFormatting sqref="E94:F94">
    <cfRule type="cellIs" dxfId="12" priority="20" operator="equal">
      <formula>0</formula>
    </cfRule>
  </conditionalFormatting>
  <conditionalFormatting sqref="E96:F96">
    <cfRule type="cellIs" dxfId="11" priority="19" operator="equal">
      <formula>0</formula>
    </cfRule>
  </conditionalFormatting>
  <conditionalFormatting sqref="E109:F109">
    <cfRule type="cellIs" dxfId="10" priority="5" operator="equal">
      <formula>0</formula>
    </cfRule>
  </conditionalFormatting>
  <conditionalFormatting sqref="E123:F123">
    <cfRule type="cellIs" dxfId="9" priority="12" operator="equal">
      <formula>0</formula>
    </cfRule>
  </conditionalFormatting>
  <conditionalFormatting sqref="E132:F132">
    <cfRule type="cellIs" dxfId="8" priority="11" operator="equal">
      <formula>0</formula>
    </cfRule>
  </conditionalFormatting>
  <conditionalFormatting sqref="E136:F136">
    <cfRule type="cellIs" dxfId="7" priority="10" operator="equal">
      <formula>0</formula>
    </cfRule>
  </conditionalFormatting>
  <conditionalFormatting sqref="E140:F140">
    <cfRule type="cellIs" dxfId="6" priority="9" operator="equal">
      <formula>0</formula>
    </cfRule>
  </conditionalFormatting>
  <conditionalFormatting sqref="E149:F149">
    <cfRule type="cellIs" dxfId="5" priority="8" operator="equal">
      <formula>0</formula>
    </cfRule>
  </conditionalFormatting>
  <conditionalFormatting sqref="E151:F151">
    <cfRule type="cellIs" dxfId="4" priority="7" operator="equal">
      <formula>0</formula>
    </cfRule>
  </conditionalFormatting>
  <conditionalFormatting sqref="E164:F164">
    <cfRule type="cellIs" dxfId="3" priority="6" operator="equal">
      <formula>0</formula>
    </cfRule>
  </conditionalFormatting>
  <conditionalFormatting sqref="E595:F595">
    <cfRule type="cellIs" dxfId="2" priority="3" operator="equal">
      <formula>0</formula>
    </cfRule>
  </conditionalFormatting>
  <conditionalFormatting sqref="E698:F698">
    <cfRule type="cellIs" dxfId="1" priority="2" operator="equal">
      <formula>0</formula>
    </cfRule>
  </conditionalFormatting>
  <conditionalFormatting sqref="E714:F714">
    <cfRule type="cellIs" dxfId="0" priority="1" operator="equal">
      <formula>0</formula>
    </cfRule>
  </conditionalFormatting>
  <pageMargins left="0.19685039370078741" right="0.19685039370078741" top="0.59055118110236227" bottom="0.19685039370078741" header="0" footer="0"/>
  <pageSetup paperSize="9" scale="98" orientation="landscape" r:id="rId1"/>
  <rowBreaks count="2" manualBreakCount="2">
    <brk id="88" max="8" man="1"/>
    <brk id="11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ДЦ1 Паркінг Тех.прим. 201125</vt:lpstr>
      <vt:lpstr>'ДЦ1 Паркінг Тех.прим. 201125'!Область_печати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Драгунов</dc:creator>
  <cp:lastModifiedBy>User</cp:lastModifiedBy>
  <cp:lastPrinted>2025-11-18T11:19:41Z</cp:lastPrinted>
  <dcterms:created xsi:type="dcterms:W3CDTF">2015-06-05T18:19:34Z</dcterms:created>
  <dcterms:modified xsi:type="dcterms:W3CDTF">2025-11-20T16:02:37Z</dcterms:modified>
</cp:coreProperties>
</file>