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8_{72C03F0E-EAE0-439A-A34F-E34551F4DD95}" xr6:coauthVersionLast="47" xr6:coauthVersionMax="47" xr10:uidLastSave="{00000000-0000-0000-0000-000000000000}"/>
  <bookViews>
    <workbookView xWindow="-108" yWindow="-108" windowWidth="23256" windowHeight="12456" tabRatio="785" xr2:uid="{00000000-000D-0000-FFFF-FFFF00000000}"/>
  </bookViews>
  <sheets>
    <sheet name="ТЗ м.к." sheetId="41" r:id="rId1"/>
  </sheets>
  <definedNames>
    <definedName name="_xlnm._FilterDatabase" localSheetId="0" hidden="1">'ТЗ м.к.'!$A$14:$K$239</definedName>
    <definedName name="_xlnm.Print_Area" localSheetId="0">'ТЗ м.к.'!$A$1:$K$254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8" i="41" l="1"/>
  <c r="I238" i="41"/>
  <c r="F237" i="41"/>
  <c r="F236" i="41"/>
  <c r="H236" i="41" s="1"/>
  <c r="K236" i="41" s="1"/>
  <c r="F234" i="41"/>
  <c r="H234" i="41" s="1"/>
  <c r="K234" i="41" s="1"/>
  <c r="F235" i="41"/>
  <c r="E220" i="41"/>
  <c r="E215" i="41"/>
  <c r="F215" i="41" s="1"/>
  <c r="F137" i="41"/>
  <c r="F140" i="41" s="1"/>
  <c r="F135" i="41"/>
  <c r="H135" i="41" s="1"/>
  <c r="K135" i="41" s="1"/>
  <c r="F134" i="41"/>
  <c r="F133" i="41"/>
  <c r="H133" i="41" s="1"/>
  <c r="K133" i="41" s="1"/>
  <c r="F132" i="41"/>
  <c r="F131" i="41"/>
  <c r="H131" i="41" s="1"/>
  <c r="K131" i="41" s="1"/>
  <c r="F130" i="41"/>
  <c r="F136" i="41" s="1"/>
  <c r="H136" i="41" s="1"/>
  <c r="K136" i="41" s="1"/>
  <c r="F112" i="41"/>
  <c r="F111" i="41"/>
  <c r="H111" i="41" s="1"/>
  <c r="K111" i="41" s="1"/>
  <c r="F107" i="41"/>
  <c r="H107" i="41" s="1"/>
  <c r="K107" i="41" s="1"/>
  <c r="F105" i="41"/>
  <c r="H105" i="41" s="1"/>
  <c r="K105" i="41" s="1"/>
  <c r="F104" i="41"/>
  <c r="F86" i="41"/>
  <c r="H86" i="41" s="1"/>
  <c r="K86" i="41" s="1"/>
  <c r="F91" i="41"/>
  <c r="H91" i="41" s="1"/>
  <c r="K91" i="41" s="1"/>
  <c r="F92" i="41"/>
  <c r="H92" i="41" s="1"/>
  <c r="K92" i="41" s="1"/>
  <c r="F94" i="41"/>
  <c r="H94" i="41" s="1"/>
  <c r="K94" i="41" s="1"/>
  <c r="F84" i="41"/>
  <c r="H84" i="41" s="1"/>
  <c r="K84" i="41" s="1"/>
  <c r="F80" i="41"/>
  <c r="H80" i="41" s="1"/>
  <c r="K80" i="41" s="1"/>
  <c r="F79" i="41"/>
  <c r="H79" i="41" s="1"/>
  <c r="K79" i="41" s="1"/>
  <c r="F64" i="41"/>
  <c r="H64" i="41" s="1"/>
  <c r="F55" i="41"/>
  <c r="H55" i="41" s="1"/>
  <c r="K55" i="41" s="1"/>
  <c r="F52" i="41"/>
  <c r="H52" i="41" s="1"/>
  <c r="K52" i="41" s="1"/>
  <c r="F50" i="41"/>
  <c r="H50" i="41" s="1"/>
  <c r="K50" i="41" s="1"/>
  <c r="F49" i="41"/>
  <c r="H49" i="41" s="1"/>
  <c r="K49" i="41" s="1"/>
  <c r="F44" i="41"/>
  <c r="H44" i="41" s="1"/>
  <c r="K44" i="41" s="1"/>
  <c r="F43" i="41"/>
  <c r="H43" i="41" s="1"/>
  <c r="K43" i="41" s="1"/>
  <c r="J31" i="41"/>
  <c r="K31" i="41" s="1"/>
  <c r="J30" i="41"/>
  <c r="K30" i="41" s="1"/>
  <c r="F19" i="41"/>
  <c r="H19" i="41" s="1"/>
  <c r="K19" i="41" s="1"/>
  <c r="F20" i="41"/>
  <c r="H20" i="41" s="1"/>
  <c r="K20" i="41" s="1"/>
  <c r="F229" i="41"/>
  <c r="H229" i="41" s="1"/>
  <c r="K229" i="41" s="1"/>
  <c r="F228" i="41"/>
  <c r="H228" i="41" s="1"/>
  <c r="K228" i="41" s="1"/>
  <c r="J227" i="41"/>
  <c r="H227" i="41"/>
  <c r="F226" i="41"/>
  <c r="H226" i="41" s="1"/>
  <c r="K226" i="41" s="1"/>
  <c r="F225" i="41"/>
  <c r="H225" i="41" s="1"/>
  <c r="K225" i="41" s="1"/>
  <c r="J224" i="41"/>
  <c r="K224" i="41" s="1"/>
  <c r="H223" i="41"/>
  <c r="K223" i="41" s="1"/>
  <c r="H222" i="41"/>
  <c r="K222" i="41" s="1"/>
  <c r="H221" i="41"/>
  <c r="K221" i="41" s="1"/>
  <c r="E219" i="41"/>
  <c r="E218" i="41"/>
  <c r="F218" i="41" s="1"/>
  <c r="H218" i="41" s="1"/>
  <c r="K218" i="41" s="1"/>
  <c r="E217" i="41"/>
  <c r="F217" i="41" s="1"/>
  <c r="H217" i="41" s="1"/>
  <c r="K217" i="41" s="1"/>
  <c r="H237" i="41"/>
  <c r="K237" i="41" s="1"/>
  <c r="H235" i="41"/>
  <c r="K235" i="41" s="1"/>
  <c r="F233" i="41"/>
  <c r="J233" i="41" s="1"/>
  <c r="K233" i="41" s="1"/>
  <c r="H232" i="41"/>
  <c r="K232" i="41" s="1"/>
  <c r="F231" i="41"/>
  <c r="H231" i="41" s="1"/>
  <c r="K231" i="41" s="1"/>
  <c r="E216" i="41"/>
  <c r="F216" i="41" s="1"/>
  <c r="H216" i="41" s="1"/>
  <c r="K216" i="41" s="1"/>
  <c r="E214" i="41"/>
  <c r="F214" i="41" s="1"/>
  <c r="F209" i="41"/>
  <c r="F210" i="41" s="1"/>
  <c r="H210" i="41" s="1"/>
  <c r="K210" i="41" s="1"/>
  <c r="F208" i="41"/>
  <c r="H208" i="41" s="1"/>
  <c r="K208" i="41" s="1"/>
  <c r="F207" i="41"/>
  <c r="H207" i="41" s="1"/>
  <c r="K207" i="41" s="1"/>
  <c r="F206" i="41"/>
  <c r="H206" i="41" s="1"/>
  <c r="K206" i="41" s="1"/>
  <c r="J205" i="41"/>
  <c r="K205" i="41" s="1"/>
  <c r="F204" i="41"/>
  <c r="H204" i="41" s="1"/>
  <c r="K204" i="41" s="1"/>
  <c r="F203" i="41"/>
  <c r="H203" i="41" s="1"/>
  <c r="K203" i="41" s="1"/>
  <c r="H202" i="41"/>
  <c r="K202" i="41" s="1"/>
  <c r="E200" i="41"/>
  <c r="F200" i="41" s="1"/>
  <c r="H200" i="41" s="1"/>
  <c r="K200" i="41" s="1"/>
  <c r="E199" i="41"/>
  <c r="F199" i="41" s="1"/>
  <c r="H199" i="41" s="1"/>
  <c r="K199" i="41" s="1"/>
  <c r="E198" i="41"/>
  <c r="F198" i="41" s="1"/>
  <c r="H198" i="41" s="1"/>
  <c r="K198" i="41" s="1"/>
  <c r="E197" i="41"/>
  <c r="E196" i="41"/>
  <c r="E195" i="41"/>
  <c r="F195" i="41" s="1"/>
  <c r="H195" i="41" s="1"/>
  <c r="K195" i="41" s="1"/>
  <c r="E194" i="41"/>
  <c r="F192" i="41"/>
  <c r="H192" i="41" s="1"/>
  <c r="K192" i="41" s="1"/>
  <c r="F191" i="41"/>
  <c r="H191" i="41" s="1"/>
  <c r="K191" i="41" s="1"/>
  <c r="H190" i="41"/>
  <c r="K190" i="41" s="1"/>
  <c r="E188" i="41"/>
  <c r="F197" i="41" s="1"/>
  <c r="H197" i="41" s="1"/>
  <c r="K197" i="41" s="1"/>
  <c r="E187" i="41"/>
  <c r="F196" i="41" s="1"/>
  <c r="H196" i="41" s="1"/>
  <c r="K196" i="41" s="1"/>
  <c r="E186" i="41"/>
  <c r="F186" i="41" s="1"/>
  <c r="H186" i="41" s="1"/>
  <c r="K186" i="41" s="1"/>
  <c r="E185" i="41"/>
  <c r="F185" i="41" s="1"/>
  <c r="H185" i="41" s="1"/>
  <c r="K185" i="41" s="1"/>
  <c r="F184" i="41"/>
  <c r="H184" i="41" s="1"/>
  <c r="K184" i="41" s="1"/>
  <c r="E184" i="41"/>
  <c r="F183" i="41"/>
  <c r="H183" i="41" s="1"/>
  <c r="K183" i="41" s="1"/>
  <c r="E183" i="41"/>
  <c r="E182" i="41"/>
  <c r="F182" i="41" s="1"/>
  <c r="F176" i="41"/>
  <c r="H176" i="41" s="1"/>
  <c r="K176" i="41" s="1"/>
  <c r="F175" i="41"/>
  <c r="H175" i="41" s="1"/>
  <c r="K175" i="41" s="1"/>
  <c r="E174" i="41"/>
  <c r="F174" i="41" s="1"/>
  <c r="H174" i="41" s="1"/>
  <c r="K174" i="41" s="1"/>
  <c r="H172" i="41"/>
  <c r="K172" i="41" s="1"/>
  <c r="H171" i="41"/>
  <c r="K171" i="41" s="1"/>
  <c r="H170" i="41"/>
  <c r="K170" i="41" s="1"/>
  <c r="F168" i="41"/>
  <c r="H168" i="41" s="1"/>
  <c r="K168" i="41" s="1"/>
  <c r="F167" i="41"/>
  <c r="H167" i="41" s="1"/>
  <c r="K167" i="41" s="1"/>
  <c r="F166" i="41"/>
  <c r="H164" i="41"/>
  <c r="K164" i="41" s="1"/>
  <c r="H163" i="41"/>
  <c r="K163" i="41" s="1"/>
  <c r="H162" i="41"/>
  <c r="K162" i="41" s="1"/>
  <c r="F160" i="41"/>
  <c r="H160" i="41" s="1"/>
  <c r="K160" i="41" s="1"/>
  <c r="F159" i="41"/>
  <c r="H159" i="41" s="1"/>
  <c r="K159" i="41" s="1"/>
  <c r="F158" i="41"/>
  <c r="H158" i="41" s="1"/>
  <c r="K158" i="41" s="1"/>
  <c r="F157" i="41"/>
  <c r="F156" i="41"/>
  <c r="H156" i="41" s="1"/>
  <c r="K156" i="41" s="1"/>
  <c r="H154" i="41"/>
  <c r="K154" i="41" s="1"/>
  <c r="H153" i="41"/>
  <c r="K153" i="41" s="1"/>
  <c r="H152" i="41"/>
  <c r="K152" i="41" s="1"/>
  <c r="F150" i="41"/>
  <c r="H150" i="41" s="1"/>
  <c r="K150" i="41" s="1"/>
  <c r="F149" i="41"/>
  <c r="H149" i="41" s="1"/>
  <c r="K149" i="41" s="1"/>
  <c r="L148" i="41"/>
  <c r="F148" i="41"/>
  <c r="H148" i="41" s="1"/>
  <c r="K148" i="41" s="1"/>
  <c r="L147" i="41"/>
  <c r="F147" i="41"/>
  <c r="H147" i="41" s="1"/>
  <c r="K147" i="41" s="1"/>
  <c r="F146" i="41"/>
  <c r="F145" i="41"/>
  <c r="H145" i="41" s="1"/>
  <c r="K145" i="41" s="1"/>
  <c r="H134" i="41"/>
  <c r="K134" i="41" s="1"/>
  <c r="J127" i="41"/>
  <c r="K127" i="41" s="1"/>
  <c r="J126" i="41"/>
  <c r="K126" i="41" s="1"/>
  <c r="F120" i="41"/>
  <c r="F122" i="41" s="1"/>
  <c r="H122" i="41" s="1"/>
  <c r="K122" i="41" s="1"/>
  <c r="F117" i="41"/>
  <c r="F118" i="41" s="1"/>
  <c r="H118" i="41" s="1"/>
  <c r="K118" i="41" s="1"/>
  <c r="K116" i="41"/>
  <c r="K115" i="41"/>
  <c r="H114" i="41"/>
  <c r="K114" i="41" s="1"/>
  <c r="K125" i="41"/>
  <c r="K124" i="41"/>
  <c r="F124" i="41"/>
  <c r="F123" i="41" s="1"/>
  <c r="J123" i="41" s="1"/>
  <c r="K123" i="41" s="1"/>
  <c r="F110" i="41"/>
  <c r="H110" i="41" s="1"/>
  <c r="K110" i="41" s="1"/>
  <c r="F109" i="41"/>
  <c r="H109" i="41" s="1"/>
  <c r="K109" i="41" s="1"/>
  <c r="F108" i="41"/>
  <c r="H108" i="41" s="1"/>
  <c r="K108" i="41" s="1"/>
  <c r="F106" i="41"/>
  <c r="M105" i="41"/>
  <c r="O105" i="41" s="1"/>
  <c r="N104" i="41"/>
  <c r="M104" i="41"/>
  <c r="J101" i="41"/>
  <c r="K101" i="41" s="1"/>
  <c r="F95" i="41"/>
  <c r="F97" i="41" s="1"/>
  <c r="H97" i="41" s="1"/>
  <c r="K97" i="41" s="1"/>
  <c r="K93" i="41"/>
  <c r="F93" i="41"/>
  <c r="N91" i="41"/>
  <c r="M91" i="41"/>
  <c r="F89" i="41"/>
  <c r="H89" i="41" s="1"/>
  <c r="K89" i="41" s="1"/>
  <c r="F88" i="41"/>
  <c r="H88" i="41" s="1"/>
  <c r="K88" i="41" s="1"/>
  <c r="M86" i="41"/>
  <c r="O86" i="41" s="1"/>
  <c r="M85" i="41"/>
  <c r="O85" i="41" s="1"/>
  <c r="F85" i="41"/>
  <c r="H85" i="41" s="1"/>
  <c r="N84" i="41"/>
  <c r="M84" i="41"/>
  <c r="H81" i="41"/>
  <c r="K81" i="41" s="1"/>
  <c r="F78" i="41"/>
  <c r="J78" i="41" s="1"/>
  <c r="K78" i="41" s="1"/>
  <c r="F77" i="41"/>
  <c r="H77" i="41" s="1"/>
  <c r="K77" i="41" s="1"/>
  <c r="K76" i="41"/>
  <c r="F75" i="41"/>
  <c r="H75" i="41" s="1"/>
  <c r="K75" i="41" s="1"/>
  <c r="F73" i="41"/>
  <c r="H73" i="41" s="1"/>
  <c r="K73" i="41" s="1"/>
  <c r="F71" i="41"/>
  <c r="J71" i="41" s="1"/>
  <c r="K71" i="41" s="1"/>
  <c r="F70" i="41"/>
  <c r="H70" i="41" s="1"/>
  <c r="K70" i="41" s="1"/>
  <c r="F69" i="41"/>
  <c r="H69" i="41" s="1"/>
  <c r="K69" i="41" s="1"/>
  <c r="J68" i="41"/>
  <c r="K68" i="41" s="1"/>
  <c r="H67" i="41"/>
  <c r="K67" i="41" s="1"/>
  <c r="F66" i="41"/>
  <c r="H66" i="41" s="1"/>
  <c r="K66" i="41" s="1"/>
  <c r="F65" i="41"/>
  <c r="H65" i="41" s="1"/>
  <c r="K65" i="41" s="1"/>
  <c r="F56" i="41"/>
  <c r="F60" i="41" s="1"/>
  <c r="H60" i="41" s="1"/>
  <c r="K60" i="41" s="1"/>
  <c r="F53" i="41"/>
  <c r="H53" i="41" s="1"/>
  <c r="K53" i="41" s="1"/>
  <c r="F51" i="41"/>
  <c r="H51" i="41" s="1"/>
  <c r="K51" i="41" s="1"/>
  <c r="F47" i="41"/>
  <c r="H47" i="41" s="1"/>
  <c r="K47" i="41" s="1"/>
  <c r="F46" i="41"/>
  <c r="H46" i="41" s="1"/>
  <c r="K46" i="41" s="1"/>
  <c r="F45" i="41"/>
  <c r="H45" i="41" s="1"/>
  <c r="K45" i="41" s="1"/>
  <c r="F40" i="41"/>
  <c r="H40" i="41" s="1"/>
  <c r="K40" i="41" s="1"/>
  <c r="J39" i="41"/>
  <c r="H39" i="41"/>
  <c r="F38" i="41"/>
  <c r="H38" i="41" s="1"/>
  <c r="K38" i="41" s="1"/>
  <c r="F37" i="41"/>
  <c r="H37" i="41" s="1"/>
  <c r="K37" i="41" s="1"/>
  <c r="F36" i="41"/>
  <c r="H36" i="41" s="1"/>
  <c r="F35" i="41"/>
  <c r="H35" i="41" s="1"/>
  <c r="K35" i="41" s="1"/>
  <c r="F34" i="41"/>
  <c r="H34" i="41" s="1"/>
  <c r="K34" i="41" s="1"/>
  <c r="J33" i="41"/>
  <c r="K33" i="41" s="1"/>
  <c r="H32" i="41"/>
  <c r="K32" i="41" s="1"/>
  <c r="H29" i="41"/>
  <c r="K29" i="41" s="1"/>
  <c r="H28" i="41"/>
  <c r="K28" i="41" s="1"/>
  <c r="H27" i="41"/>
  <c r="K27" i="41" s="1"/>
  <c r="H26" i="41"/>
  <c r="K26" i="41" s="1"/>
  <c r="H25" i="41"/>
  <c r="K25" i="41" s="1"/>
  <c r="H24" i="41"/>
  <c r="K24" i="41" s="1"/>
  <c r="F22" i="41"/>
  <c r="H22" i="41" s="1"/>
  <c r="K22" i="41" s="1"/>
  <c r="R21" i="41"/>
  <c r="F21" i="41"/>
  <c r="H21" i="41" s="1"/>
  <c r="K21" i="41" s="1"/>
  <c r="R20" i="41"/>
  <c r="R19" i="41"/>
  <c r="R18" i="41"/>
  <c r="F18" i="41"/>
  <c r="H18" i="41" s="1"/>
  <c r="K18" i="41" s="1"/>
  <c r="R17" i="41"/>
  <c r="F230" i="41" l="1"/>
  <c r="F220" i="41"/>
  <c r="H220" i="41" s="1"/>
  <c r="K220" i="41" s="1"/>
  <c r="J137" i="41"/>
  <c r="K137" i="41" s="1"/>
  <c r="F219" i="41"/>
  <c r="H219" i="41" s="1"/>
  <c r="K219" i="41" s="1"/>
  <c r="H215" i="41"/>
  <c r="K215" i="41" s="1"/>
  <c r="F138" i="41"/>
  <c r="H138" i="41" s="1"/>
  <c r="K138" i="41" s="1"/>
  <c r="F139" i="41"/>
  <c r="H139" i="41" s="1"/>
  <c r="K139" i="41" s="1"/>
  <c r="F129" i="41"/>
  <c r="F128" i="41" s="1"/>
  <c r="F103" i="41"/>
  <c r="J103" i="41" s="1"/>
  <c r="K103" i="41" s="1"/>
  <c r="F63" i="41"/>
  <c r="J63" i="41" s="1"/>
  <c r="J95" i="41"/>
  <c r="K95" i="41" s="1"/>
  <c r="O104" i="41"/>
  <c r="J230" i="41"/>
  <c r="K230" i="41" s="1"/>
  <c r="J36" i="41"/>
  <c r="K36" i="41" s="1"/>
  <c r="F90" i="41"/>
  <c r="J90" i="41" s="1"/>
  <c r="O84" i="41"/>
  <c r="K39" i="41"/>
  <c r="J56" i="41"/>
  <c r="K56" i="41" s="1"/>
  <c r="F72" i="41"/>
  <c r="H72" i="41" s="1"/>
  <c r="K72" i="41" s="1"/>
  <c r="J120" i="41"/>
  <c r="K120" i="41" s="1"/>
  <c r="F188" i="41"/>
  <c r="H188" i="41" s="1"/>
  <c r="K188" i="41" s="1"/>
  <c r="F58" i="41"/>
  <c r="H58" i="41" s="1"/>
  <c r="K58" i="41" s="1"/>
  <c r="F121" i="41"/>
  <c r="H121" i="41" s="1"/>
  <c r="K121" i="41" s="1"/>
  <c r="F59" i="41"/>
  <c r="J59" i="41" s="1"/>
  <c r="K59" i="41" s="1"/>
  <c r="F74" i="41"/>
  <c r="J74" i="41" s="1"/>
  <c r="K74" i="41" s="1"/>
  <c r="F98" i="41"/>
  <c r="F100" i="41" s="1"/>
  <c r="H100" i="41" s="1"/>
  <c r="K100" i="41" s="1"/>
  <c r="F87" i="41"/>
  <c r="H104" i="41"/>
  <c r="H106" i="41"/>
  <c r="K106" i="41" s="1"/>
  <c r="H130" i="41"/>
  <c r="H132" i="41"/>
  <c r="K132" i="41" s="1"/>
  <c r="F187" i="41"/>
  <c r="H187" i="41" s="1"/>
  <c r="K187" i="41" s="1"/>
  <c r="H182" i="41"/>
  <c r="K182" i="41" s="1"/>
  <c r="F211" i="41"/>
  <c r="H211" i="41" s="1"/>
  <c r="K211" i="41" s="1"/>
  <c r="J209" i="41"/>
  <c r="K209" i="41" s="1"/>
  <c r="K85" i="41"/>
  <c r="F17" i="41"/>
  <c r="K64" i="41"/>
  <c r="F83" i="41"/>
  <c r="F141" i="41"/>
  <c r="H141" i="41" s="1"/>
  <c r="K141" i="41" s="1"/>
  <c r="F142" i="41"/>
  <c r="H142" i="41" s="1"/>
  <c r="K142" i="41" s="1"/>
  <c r="F155" i="41"/>
  <c r="H157" i="41"/>
  <c r="K157" i="41" s="1"/>
  <c r="F42" i="41"/>
  <c r="F48" i="41"/>
  <c r="J48" i="41" s="1"/>
  <c r="K48" i="41" s="1"/>
  <c r="H214" i="41"/>
  <c r="K214" i="41" s="1"/>
  <c r="F119" i="41"/>
  <c r="H119" i="41" s="1"/>
  <c r="K119" i="41" s="1"/>
  <c r="J117" i="41"/>
  <c r="K117" i="41" s="1"/>
  <c r="J140" i="41"/>
  <c r="K140" i="41" s="1"/>
  <c r="O91" i="41"/>
  <c r="F57" i="41"/>
  <c r="H57" i="41" s="1"/>
  <c r="K57" i="41" s="1"/>
  <c r="F61" i="41"/>
  <c r="H61" i="41" s="1"/>
  <c r="K61" i="41" s="1"/>
  <c r="F96" i="41"/>
  <c r="H96" i="41" s="1"/>
  <c r="K96" i="41" s="1"/>
  <c r="H166" i="41"/>
  <c r="K166" i="41" s="1"/>
  <c r="F165" i="41"/>
  <c r="F194" i="41"/>
  <c r="H194" i="41" s="1"/>
  <c r="K194" i="41" s="1"/>
  <c r="F144" i="41"/>
  <c r="H146" i="41"/>
  <c r="K227" i="41"/>
  <c r="F173" i="41"/>
  <c r="F213" i="41" l="1"/>
  <c r="F212" i="41" s="1"/>
  <c r="J129" i="41"/>
  <c r="K129" i="41" s="1"/>
  <c r="F102" i="41"/>
  <c r="F113" i="41"/>
  <c r="J113" i="41" s="1"/>
  <c r="K113" i="41" s="1"/>
  <c r="F99" i="41"/>
  <c r="H99" i="41" s="1"/>
  <c r="K99" i="41" s="1"/>
  <c r="J98" i="41"/>
  <c r="K98" i="41" s="1"/>
  <c r="J112" i="41"/>
  <c r="K112" i="41" s="1"/>
  <c r="O108" i="41"/>
  <c r="F62" i="41"/>
  <c r="H90" i="41"/>
  <c r="K90" i="41" s="1"/>
  <c r="K130" i="41"/>
  <c r="H128" i="41"/>
  <c r="J62" i="41"/>
  <c r="J128" i="41"/>
  <c r="O96" i="41"/>
  <c r="K104" i="41"/>
  <c r="H102" i="41"/>
  <c r="H16" i="41"/>
  <c r="H62" i="41"/>
  <c r="F181" i="41"/>
  <c r="J87" i="41"/>
  <c r="H87" i="41"/>
  <c r="K146" i="41"/>
  <c r="J144" i="41"/>
  <c r="F151" i="41"/>
  <c r="J151" i="41" s="1"/>
  <c r="K151" i="41" s="1"/>
  <c r="F82" i="41"/>
  <c r="J83" i="41"/>
  <c r="F16" i="41"/>
  <c r="F23" i="41"/>
  <c r="J23" i="41" s="1"/>
  <c r="K23" i="41" s="1"/>
  <c r="J17" i="41"/>
  <c r="K63" i="41"/>
  <c r="J165" i="41"/>
  <c r="K165" i="41" s="1"/>
  <c r="F169" i="41"/>
  <c r="J169" i="41" s="1"/>
  <c r="K169" i="41" s="1"/>
  <c r="J155" i="41"/>
  <c r="K155" i="41" s="1"/>
  <c r="F161" i="41"/>
  <c r="J161" i="41" s="1"/>
  <c r="K161" i="41" s="1"/>
  <c r="F177" i="41"/>
  <c r="J173" i="41"/>
  <c r="K173" i="41" s="1"/>
  <c r="F193" i="41"/>
  <c r="F54" i="41"/>
  <c r="J54" i="41" s="1"/>
  <c r="K54" i="41" s="1"/>
  <c r="H42" i="41"/>
  <c r="H41" i="41" s="1"/>
  <c r="F41" i="41"/>
  <c r="J42" i="41"/>
  <c r="H213" i="41" l="1"/>
  <c r="J213" i="41"/>
  <c r="H82" i="41"/>
  <c r="J82" i="41"/>
  <c r="J16" i="41"/>
  <c r="J102" i="41"/>
  <c r="K102" i="41" s="1"/>
  <c r="J41" i="41"/>
  <c r="J212" i="41"/>
  <c r="F189" i="41"/>
  <c r="J189" i="41" s="1"/>
  <c r="K189" i="41" s="1"/>
  <c r="J181" i="41"/>
  <c r="K181" i="41" s="1"/>
  <c r="K87" i="41"/>
  <c r="J193" i="41"/>
  <c r="K193" i="41" s="1"/>
  <c r="F201" i="41"/>
  <c r="J201" i="41" s="1"/>
  <c r="K201" i="41" s="1"/>
  <c r="K17" i="41"/>
  <c r="K83" i="41"/>
  <c r="F143" i="41"/>
  <c r="F238" i="41" s="1"/>
  <c r="H212" i="41"/>
  <c r="K42" i="41"/>
  <c r="F178" i="41"/>
  <c r="J177" i="41"/>
  <c r="K177" i="41" s="1"/>
  <c r="K144" i="41"/>
  <c r="K213" i="41" l="1"/>
  <c r="K82" i="41"/>
  <c r="J143" i="41"/>
  <c r="J238" i="41" s="1"/>
  <c r="H178" i="41"/>
  <c r="F179" i="41"/>
  <c r="K178" i="41" l="1"/>
  <c r="H179" i="41"/>
  <c r="K179" i="41" s="1"/>
  <c r="F180" i="41"/>
  <c r="H180" i="41" s="1"/>
  <c r="K180" i="41" s="1"/>
  <c r="H143" i="41" l="1"/>
  <c r="H238" i="41" s="1"/>
  <c r="K143" i="41" l="1"/>
  <c r="H240" i="41" l="1"/>
  <c r="H239" i="41" s="1"/>
  <c r="J240" i="41" l="1"/>
  <c r="J239" i="41" s="1"/>
  <c r="K238" i="41" l="1"/>
  <c r="K212" i="41"/>
  <c r="K239" i="41" l="1"/>
  <c r="K240" i="41" s="1"/>
  <c r="K128" i="41" l="1"/>
  <c r="K62" i="41" l="1"/>
  <c r="K41" i="41" l="1"/>
  <c r="K16" i="41"/>
</calcChain>
</file>

<file path=xl/sharedStrings.xml><?xml version="1.0" encoding="utf-8"?>
<sst xmlns="http://schemas.openxmlformats.org/spreadsheetml/2006/main" count="714" uniqueCount="396">
  <si>
    <t>Додаток 3.1</t>
  </si>
  <si>
    <t>Генеральному підряднику: ТОВ "ЗАЛІЗОБУД"</t>
  </si>
  <si>
    <t>КОМЕРЦІЙНА ПРОПОЗИЦІЯ</t>
  </si>
  <si>
    <t>на виконання комплексу робіт по</t>
  </si>
  <si>
    <r>
      <t xml:space="preserve">виготовленню та монтажу металевих конструкцій </t>
    </r>
    <r>
      <rPr>
        <b/>
        <sz val="11"/>
        <color rgb="FF0070C0"/>
        <rFont val="Calibri"/>
        <family val="2"/>
        <charset val="204"/>
        <scheme val="minor"/>
      </rPr>
      <t>с.104</t>
    </r>
  </si>
  <si>
    <t>на об'єкті: «Будівництво торгово-розважального і спортивно-оздоровчого комплексу з підземним паркінгом, кінотеатром та житловими будинками з вбудовано-прибудованими приміщеннями за адресою: вул. Васильківська,1 у Голосіївському районі м. Києва»</t>
  </si>
  <si>
    <t>(дата подачі пропозиції)</t>
  </si>
  <si>
    <t xml:space="preserve">1. Ми, </t>
  </si>
  <si>
    <t>(найменування організації)</t>
  </si>
  <si>
    <t xml:space="preserve">№ </t>
  </si>
  <si>
    <t>Найменування робіт, матеріалів та механізмів</t>
  </si>
  <si>
    <t>Код за ДК 016:2010</t>
  </si>
  <si>
    <t>Од. вим.</t>
  </si>
  <si>
    <t>Норма витрат</t>
  </si>
  <si>
    <t>Кіл-ть</t>
  </si>
  <si>
    <t>Вартість матеріалів та механізмів,
грн. (без ПДВ)</t>
  </si>
  <si>
    <r>
      <t>Вартість</t>
    </r>
    <r>
      <rPr>
        <b/>
        <i/>
        <sz val="11"/>
        <rFont val="Calibri"/>
        <family val="2"/>
        <charset val="204"/>
        <scheme val="minor"/>
      </rPr>
      <t xml:space="preserve"> робіт</t>
    </r>
    <r>
      <rPr>
        <i/>
        <sz val="11"/>
        <rFont val="Calibri"/>
        <family val="2"/>
        <charset val="204"/>
        <scheme val="minor"/>
      </rPr>
      <t>,
грн. (без ПДВ)</t>
    </r>
  </si>
  <si>
    <t>Всього,
грн. (без ПДВ)</t>
  </si>
  <si>
    <t>Ціна, за одиницю</t>
  </si>
  <si>
    <t>Вартість,
всього</t>
  </si>
  <si>
    <t>1</t>
  </si>
  <si>
    <t>Комплекс робіт по влаштуванню металевих сходів в осях (H'-G')*(3'-4') (зона фітнесу)</t>
  </si>
  <si>
    <t>т</t>
  </si>
  <si>
    <t>переріз</t>
  </si>
  <si>
    <t>пм/м2</t>
  </si>
  <si>
    <t>площа фарбування</t>
  </si>
  <si>
    <t>1.1</t>
  </si>
  <si>
    <t>Влаштування металевого каркасу сходів з відм. +12,300 до +17,000 з відм. +17,000 до +21,700</t>
  </si>
  <si>
    <t>1.2</t>
  </si>
  <si>
    <t>Швелер сталевий гарячекатаний за ДСТУ  3436-96
С245 №20</t>
  </si>
  <si>
    <t>1.3</t>
  </si>
  <si>
    <t>Прокат листовий за ДСТУ 8540:2015
С245,  t=5</t>
  </si>
  <si>
    <t>1.4</t>
  </si>
  <si>
    <t>Прокат листовий за ДСТУ 8540:2015
С245,  t=10</t>
  </si>
  <si>
    <t>1.5</t>
  </si>
  <si>
    <r>
      <t>Прокат листовий за ДСТУ 8540:2015
С245,  t=</t>
    </r>
    <r>
      <rPr>
        <sz val="11"/>
        <color rgb="FF0070C0"/>
        <rFont val="Calibri"/>
        <family val="2"/>
        <charset val="204"/>
        <scheme val="minor"/>
      </rPr>
      <t>16</t>
    </r>
  </si>
  <si>
    <t>1.6</t>
  </si>
  <si>
    <t>Арматура Ø8 A500C</t>
  </si>
  <si>
    <t>1.7</t>
  </si>
  <si>
    <t>Монтаж металоконструкцій</t>
  </si>
  <si>
    <t>1.8</t>
  </si>
  <si>
    <t>Анкерна шпилька М12х180</t>
  </si>
  <si>
    <t>шт</t>
  </si>
  <si>
    <t>1.9</t>
  </si>
  <si>
    <t>Шайба М12</t>
  </si>
  <si>
    <t>1.10</t>
  </si>
  <si>
    <t>Гайка М12</t>
  </si>
  <si>
    <t>1.11</t>
  </si>
  <si>
    <t>Анкерна шпилька М16х300</t>
  </si>
  <si>
    <t>1.12</t>
  </si>
  <si>
    <t>Шайба М16</t>
  </si>
  <si>
    <t>1.13</t>
  </si>
  <si>
    <t>Гайка М16</t>
  </si>
  <si>
    <t>1.14</t>
  </si>
  <si>
    <t>Свердління отворів в з/б конструкціях глибиною  300 мм діам. 18 мм (для анкерних шпильок )</t>
  </si>
  <si>
    <t>1.15</t>
  </si>
  <si>
    <t>Свердління отворів в з/б конструкціях глибиною  180 мм діам. 14 мм (для анкерних шпильок )</t>
  </si>
  <si>
    <t>1.16</t>
  </si>
  <si>
    <t xml:space="preserve"> Хімічний анкер EJOT Multifix SE1000 Seismc</t>
  </si>
  <si>
    <t>л</t>
  </si>
  <si>
    <t>1.17</t>
  </si>
  <si>
    <t>Ґрунтування металоконструкцій у 2 рази</t>
  </si>
  <si>
    <t>м2</t>
  </si>
  <si>
    <t>1.18</t>
  </si>
  <si>
    <t>Ґрунт ГФ-021</t>
  </si>
  <si>
    <t>1.19</t>
  </si>
  <si>
    <t>Розчинник</t>
  </si>
  <si>
    <t>1.20</t>
  </si>
  <si>
    <t>Фарбування металоконструкцій у 2 шари</t>
  </si>
  <si>
    <t>1.21</t>
  </si>
  <si>
    <t>1.22</t>
  </si>
  <si>
    <r>
      <t xml:space="preserve">Емаль </t>
    </r>
    <r>
      <rPr>
        <sz val="11"/>
        <color rgb="FF0070C0"/>
        <rFont val="Calibri"/>
        <family val="2"/>
        <charset val="204"/>
        <scheme val="minor"/>
      </rPr>
      <t>(тип фарби та колір узгодити з Замовником)</t>
    </r>
  </si>
  <si>
    <t>1.23</t>
  </si>
  <si>
    <t xml:space="preserve">Бетонування сходинок </t>
  </si>
  <si>
    <t>м3</t>
  </si>
  <si>
    <t>1.24</t>
  </si>
  <si>
    <t>Бетон С20/25</t>
  </si>
  <si>
    <t>2</t>
  </si>
  <si>
    <t xml:space="preserve">Комплекс робіт по влаштуванню фундаментів під обладнання на відм. +12,200 в осях (К'-L')*(1'-3') </t>
  </si>
  <si>
    <t>2.1</t>
  </si>
  <si>
    <t>Виготовлення металевих конструкцій рами РмК-1</t>
  </si>
  <si>
    <t>2.2</t>
  </si>
  <si>
    <r>
      <t xml:space="preserve">Труба сталева зварна за ДСТУ </t>
    </r>
    <r>
      <rPr>
        <sz val="11"/>
        <color rgb="FF0070C0"/>
        <rFont val="Calibri"/>
        <family val="2"/>
        <charset val="204"/>
        <scheme val="minor"/>
      </rPr>
      <t>8940</t>
    </r>
    <r>
      <rPr>
        <sz val="11"/>
        <rFont val="Calibri"/>
        <family val="2"/>
        <charset val="204"/>
        <scheme val="minor"/>
      </rPr>
      <t xml:space="preserve">:2019
</t>
    </r>
    <r>
      <rPr>
        <sz val="11"/>
        <color rgb="FF0070C0"/>
        <rFont val="Calibri"/>
        <family val="2"/>
        <charset val="204"/>
        <scheme val="minor"/>
      </rPr>
      <t>С245 100*100*5</t>
    </r>
  </si>
  <si>
    <t>2.3</t>
  </si>
  <si>
    <r>
      <t xml:space="preserve">Труба сталева зварна за ДСТУ </t>
    </r>
    <r>
      <rPr>
        <sz val="11"/>
        <color rgb="FF0070C0"/>
        <rFont val="Calibri"/>
        <family val="2"/>
        <charset val="204"/>
        <scheme val="minor"/>
      </rPr>
      <t>8940</t>
    </r>
    <r>
      <rPr>
        <sz val="11"/>
        <rFont val="Calibri"/>
        <family val="2"/>
        <charset val="204"/>
        <scheme val="minor"/>
      </rPr>
      <t xml:space="preserve">:2019
С245 </t>
    </r>
    <r>
      <rPr>
        <sz val="11"/>
        <color rgb="FF0070C0"/>
        <rFont val="Calibri"/>
        <family val="2"/>
        <charset val="204"/>
        <scheme val="minor"/>
      </rPr>
      <t>80*80*5</t>
    </r>
  </si>
  <si>
    <t>2.4</t>
  </si>
  <si>
    <r>
      <t xml:space="preserve">Прокат листовий за ДСТУ 8540:2015
С245,  </t>
    </r>
    <r>
      <rPr>
        <sz val="11"/>
        <color rgb="FF0070C0"/>
        <rFont val="Calibri"/>
        <family val="2"/>
        <charset val="204"/>
        <scheme val="minor"/>
      </rPr>
      <t>t=8</t>
    </r>
  </si>
  <si>
    <t>2.5</t>
  </si>
  <si>
    <r>
      <t xml:space="preserve">Прокат листовий за ДСТУ 8540:2015
С245,  </t>
    </r>
    <r>
      <rPr>
        <sz val="11"/>
        <color rgb="FF0070C0"/>
        <rFont val="Calibri"/>
        <family val="2"/>
        <charset val="204"/>
        <scheme val="minor"/>
      </rPr>
      <t>t=6</t>
    </r>
  </si>
  <si>
    <t>2.6</t>
  </si>
  <si>
    <r>
      <t xml:space="preserve">Швелер сталевий гарячекатаний за ДСТУ  3436-96
С245 </t>
    </r>
    <r>
      <rPr>
        <sz val="11"/>
        <color rgb="FF0070C0"/>
        <rFont val="Calibri"/>
        <family val="2"/>
        <charset val="204"/>
        <scheme val="minor"/>
      </rPr>
      <t>№14У</t>
    </r>
  </si>
  <si>
    <t>2.7</t>
  </si>
  <si>
    <t>Виготовлення металевих конструкцій рами РмК-2</t>
  </si>
  <si>
    <t>2.8</t>
  </si>
  <si>
    <t>2.9</t>
  </si>
  <si>
    <t>2.10</t>
  </si>
  <si>
    <t>2.11</t>
  </si>
  <si>
    <t>2.12</t>
  </si>
  <si>
    <t>2.13</t>
  </si>
  <si>
    <r>
      <t>Монтаж металоконструкцій</t>
    </r>
    <r>
      <rPr>
        <b/>
        <sz val="11"/>
        <color rgb="FF0070C0"/>
        <rFont val="Calibri"/>
        <family val="2"/>
        <charset val="204"/>
        <scheme val="minor"/>
      </rPr>
      <t xml:space="preserve"> рам РмК-1 та РмК-2</t>
    </r>
  </si>
  <si>
    <t>2.14</t>
  </si>
  <si>
    <t>Розпірний анкер М12, L=160</t>
  </si>
  <si>
    <t>2.15</t>
  </si>
  <si>
    <t>2.16</t>
  </si>
  <si>
    <t>2.17</t>
  </si>
  <si>
    <t>2.18</t>
  </si>
  <si>
    <t>2.19</t>
  </si>
  <si>
    <t>2.20</t>
  </si>
  <si>
    <t xml:space="preserve">Емаль ПФ-115 </t>
  </si>
  <si>
    <t>3</t>
  </si>
  <si>
    <t>Комплекс робіт по влаштуванню  фальш підлоги на відм. +0,060 в осях 23-24 та E-G (c/в)</t>
  </si>
  <si>
    <t>3.1</t>
  </si>
  <si>
    <t>Влаштування металевих конструкцій фальш підлоги на відм. +0,060 в осях 23-24 та E-G</t>
  </si>
  <si>
    <t>3.2</t>
  </si>
  <si>
    <r>
      <t xml:space="preserve">Труба сталева квадратна за ДСТУ Б В.2.6-8-95
С235 </t>
    </r>
    <r>
      <rPr>
        <sz val="11"/>
        <color rgb="FF0070C0"/>
        <rFont val="Calibri"/>
        <family val="2"/>
        <charset val="204"/>
        <scheme val="minor"/>
      </rPr>
      <t>50*50*3</t>
    </r>
  </si>
  <si>
    <t>3.3</t>
  </si>
  <si>
    <r>
      <t xml:space="preserve">Прокат листовий за ДСТУ </t>
    </r>
    <r>
      <rPr>
        <sz val="11"/>
        <color rgb="FF0070C0"/>
        <rFont val="Calibri"/>
        <family val="2"/>
        <charset val="204"/>
        <scheme val="minor"/>
      </rPr>
      <t>4747:2007</t>
    </r>
    <r>
      <rPr>
        <sz val="11"/>
        <rFont val="Calibri"/>
        <family val="2"/>
        <charset val="204"/>
        <scheme val="minor"/>
      </rPr>
      <t xml:space="preserve">
С235, </t>
    </r>
    <r>
      <rPr>
        <sz val="11"/>
        <color rgb="FF0070C0"/>
        <rFont val="Calibri"/>
        <family val="2"/>
        <charset val="204"/>
        <scheme val="minor"/>
      </rPr>
      <t xml:space="preserve"> t=6</t>
    </r>
  </si>
  <si>
    <t>3.4</t>
  </si>
  <si>
    <r>
      <t xml:space="preserve">Кутик сталевий гарячекатаний за ДСТУ  2251-93
С235 </t>
    </r>
    <r>
      <rPr>
        <sz val="11"/>
        <color rgb="FF0070C0"/>
        <rFont val="Calibri"/>
        <family val="2"/>
        <charset val="204"/>
        <scheme val="minor"/>
      </rPr>
      <t>75х75х5</t>
    </r>
  </si>
  <si>
    <t>3.5</t>
  </si>
  <si>
    <t>ETKD Анкер розпірний М8х100/45</t>
  </si>
  <si>
    <t>3.6</t>
  </si>
  <si>
    <t>Ґрунтування металоконструкцій за 2 рази</t>
  </si>
  <si>
    <t>3.7</t>
  </si>
  <si>
    <t>3.8</t>
  </si>
  <si>
    <t>3.9</t>
  </si>
  <si>
    <t>3.10</t>
  </si>
  <si>
    <t>кг</t>
  </si>
  <si>
    <t>3.11</t>
  </si>
  <si>
    <t xml:space="preserve">Розчинник </t>
  </si>
  <si>
    <t>3.12</t>
  </si>
  <si>
    <t>Монтаж профнастилу</t>
  </si>
  <si>
    <t>3.13</t>
  </si>
  <si>
    <r>
      <t>Профільований лист Н44-10</t>
    </r>
    <r>
      <rPr>
        <sz val="11"/>
        <color rgb="FF0070C0"/>
        <rFont val="Calibri"/>
        <family val="2"/>
        <charset val="204"/>
        <scheme val="minor"/>
      </rPr>
      <t>0-0,5</t>
    </r>
  </si>
  <si>
    <t>3.14</t>
  </si>
  <si>
    <t xml:space="preserve">Саморіз покрівельний </t>
  </si>
  <si>
    <t>3.15</t>
  </si>
  <si>
    <t>Арматура Ø8 A500C, 400шт.</t>
  </si>
  <si>
    <t>3.16</t>
  </si>
  <si>
    <t>Влаштування з/б плити по профнастилу, в т.ч. армування Кр-1, бетонування, догляд за бетоном</t>
  </si>
  <si>
    <t>3.17</t>
  </si>
  <si>
    <t>Арматура Ø10 A500C</t>
  </si>
  <si>
    <t>3.18</t>
  </si>
  <si>
    <t>3.19</t>
  </si>
  <si>
    <t>4</t>
  </si>
  <si>
    <t>Комплекс робіт по влаштуванню металоконструкцій ходових трапів обслуговування зливної каналізації (зона фітнесу)</t>
  </si>
  <si>
    <t>4.1</t>
  </si>
  <si>
    <t>Виготовлення конструкції ходових трапів</t>
  </si>
  <si>
    <t>4.2</t>
  </si>
  <si>
    <r>
      <t xml:space="preserve">Кутик сталевий гарячекатаний за ДСТУ </t>
    </r>
    <r>
      <rPr>
        <sz val="11"/>
        <color rgb="FF0070C0"/>
        <rFont val="Calibri"/>
        <family val="2"/>
        <charset val="204"/>
        <scheme val="minor"/>
      </rPr>
      <t>2251-93</t>
    </r>
    <r>
      <rPr>
        <sz val="11"/>
        <rFont val="Calibri"/>
        <family val="2"/>
        <charset val="204"/>
        <scheme val="minor"/>
      </rPr>
      <t xml:space="preserve">
С235 50х50х4</t>
    </r>
  </si>
  <si>
    <t>4.3</t>
  </si>
  <si>
    <r>
      <t xml:space="preserve">Швелер сталевий гарячекатаний за ДСТУ </t>
    </r>
    <r>
      <rPr>
        <sz val="11"/>
        <color rgb="FF0070C0"/>
        <rFont val="Calibri"/>
        <family val="2"/>
        <charset val="204"/>
        <scheme val="minor"/>
      </rPr>
      <t>3436-96</t>
    </r>
    <r>
      <rPr>
        <sz val="11"/>
        <rFont val="Calibri"/>
        <family val="2"/>
        <charset val="204"/>
        <scheme val="minor"/>
      </rPr>
      <t xml:space="preserve">
С235 №10</t>
    </r>
  </si>
  <si>
    <t>4.4</t>
  </si>
  <si>
    <r>
      <t>Лист сталевий просічно листовий
по ТУ У 27.1-0019319-1301-20</t>
    </r>
    <r>
      <rPr>
        <sz val="11"/>
        <color rgb="FF0070C0"/>
        <rFont val="Calibri"/>
        <family val="2"/>
        <charset val="204"/>
        <scheme val="minor"/>
      </rPr>
      <t>03
 ПВЛ 306</t>
    </r>
  </si>
  <si>
    <t>4.5</t>
  </si>
  <si>
    <t>Виготовлення конструкцій огородження</t>
  </si>
  <si>
    <t xml:space="preserve"> </t>
  </si>
  <si>
    <t>4.6</t>
  </si>
  <si>
    <t>4.7</t>
  </si>
  <si>
    <r>
      <t xml:space="preserve">Прокат листовий за ДСТУ </t>
    </r>
    <r>
      <rPr>
        <sz val="11"/>
        <color rgb="FF0070C0"/>
        <rFont val="Calibri"/>
        <family val="2"/>
        <charset val="204"/>
        <scheme val="minor"/>
      </rPr>
      <t>8539:2015</t>
    </r>
    <r>
      <rPr>
        <sz val="11"/>
        <rFont val="Calibri"/>
        <family val="2"/>
        <charset val="204"/>
        <scheme val="minor"/>
      </rPr>
      <t xml:space="preserve">
С235,  t=4</t>
    </r>
  </si>
  <si>
    <t>4.8</t>
  </si>
  <si>
    <t>Виготовлення драбини</t>
  </si>
  <si>
    <t>4.9</t>
  </si>
  <si>
    <r>
      <t xml:space="preserve">Кутик сталевий гарячекатаний за ДСТУ </t>
    </r>
    <r>
      <rPr>
        <sz val="11"/>
        <color rgb="FF0070C0"/>
        <rFont val="Calibri"/>
        <family val="2"/>
        <charset val="204"/>
        <scheme val="minor"/>
      </rPr>
      <t>2251-93</t>
    </r>
    <r>
      <rPr>
        <sz val="11"/>
        <rFont val="Calibri"/>
        <family val="2"/>
        <charset val="204"/>
        <scheme val="minor"/>
      </rPr>
      <t xml:space="preserve">
С235 75х75х6</t>
    </r>
  </si>
  <si>
    <t>4.10</t>
  </si>
  <si>
    <r>
      <t>Прокат листовий за ДСТУ 85</t>
    </r>
    <r>
      <rPr>
        <sz val="11"/>
        <color rgb="FF0070C0"/>
        <rFont val="Calibri"/>
        <family val="2"/>
        <charset val="204"/>
        <scheme val="minor"/>
      </rPr>
      <t>40</t>
    </r>
    <r>
      <rPr>
        <sz val="11"/>
        <rFont val="Calibri"/>
        <family val="2"/>
        <charset val="204"/>
        <scheme val="minor"/>
      </rPr>
      <t>:2015
С235,  t=4</t>
    </r>
  </si>
  <si>
    <t>4.11</t>
  </si>
  <si>
    <r>
      <t>Прокат листовий за ДСТУ 85</t>
    </r>
    <r>
      <rPr>
        <sz val="11"/>
        <color rgb="FF0070C0"/>
        <rFont val="Calibri"/>
        <family val="2"/>
        <charset val="204"/>
        <scheme val="minor"/>
      </rPr>
      <t>40</t>
    </r>
    <r>
      <rPr>
        <sz val="11"/>
        <rFont val="Calibri"/>
        <family val="2"/>
        <charset val="204"/>
        <scheme val="minor"/>
      </rPr>
      <t>:2015
С235,  t=6</t>
    </r>
  </si>
  <si>
    <t>4.12</t>
  </si>
  <si>
    <r>
      <t xml:space="preserve">Прокат сталевий круглий за ДСТУ </t>
    </r>
    <r>
      <rPr>
        <sz val="11"/>
        <color rgb="FF0070C0"/>
        <rFont val="Calibri"/>
        <family val="2"/>
        <charset val="204"/>
        <scheme val="minor"/>
      </rPr>
      <t>2591-88</t>
    </r>
    <r>
      <rPr>
        <sz val="11"/>
        <rFont val="Calibri"/>
        <family val="2"/>
        <charset val="204"/>
        <scheme val="minor"/>
      </rPr>
      <t xml:space="preserve">
С235, Ø18 </t>
    </r>
  </si>
  <si>
    <t>4.13</t>
  </si>
  <si>
    <t>4.14</t>
  </si>
  <si>
    <t>4.15</t>
  </si>
  <si>
    <t>4.16</t>
  </si>
  <si>
    <t>4.17</t>
  </si>
  <si>
    <t>4.18</t>
  </si>
  <si>
    <t>4.19</t>
  </si>
  <si>
    <r>
      <t xml:space="preserve">Збирання, розбирання, експлуатація риштувань
</t>
    </r>
    <r>
      <rPr>
        <sz val="11"/>
        <color rgb="FF0070C0"/>
        <rFont val="Calibri"/>
        <family val="2"/>
        <charset val="204"/>
        <scheme val="minor"/>
      </rPr>
      <t>(обсяг прописує Підрядник згідно прийнятої ним технології)</t>
    </r>
  </si>
  <si>
    <t>5</t>
  </si>
  <si>
    <r>
      <t>Комплекс робіт по влаштуванню металоконструкцій навісу</t>
    </r>
    <r>
      <rPr>
        <b/>
        <sz val="12"/>
        <color rgb="FF0070C0"/>
        <rFont val="Calibri"/>
        <family val="2"/>
        <charset val="204"/>
        <scheme val="minor"/>
      </rPr>
      <t xml:space="preserve"> у вісях К*(6'-9')</t>
    </r>
  </si>
  <si>
    <t>5.1</t>
  </si>
  <si>
    <t>Виготовлення металоконструкцій</t>
  </si>
  <si>
    <t>5.2</t>
  </si>
  <si>
    <t>Швелер сталевий гарячекатаний за ДСТУ  3436-96
 №20</t>
  </si>
  <si>
    <t>5.3</t>
  </si>
  <si>
    <t>Швелер сталевий гарячекатаний за ДСТУ  3436-96
 №12</t>
  </si>
  <si>
    <t>5.4</t>
  </si>
  <si>
    <t>Швелер сталевий гарячекатаний за ДСТУ  3436-96
 №30</t>
  </si>
  <si>
    <t>5.5</t>
  </si>
  <si>
    <t>Труба сталева квадратна за ДСТУ 8940:2019
 80*80*4</t>
  </si>
  <si>
    <t>5.6</t>
  </si>
  <si>
    <t>Кутик сталевий гарячекатаний за ДСТУ 2251:2018 160х160х10</t>
  </si>
  <si>
    <t>5.7</t>
  </si>
  <si>
    <t>Кутик сталевий гарячекатаний за ДСТУ 2251:2018 100х100х7</t>
  </si>
  <si>
    <t>5.8</t>
  </si>
  <si>
    <t>Кутик сталевий гарячекатаний за ДСТУ 2251:2018  
75х75х5</t>
  </si>
  <si>
    <t>5.9</t>
  </si>
  <si>
    <r>
      <t>Прокат листовий за ДСТУ 8540:2015
 t=1</t>
    </r>
    <r>
      <rPr>
        <sz val="11"/>
        <color rgb="FF0070C0"/>
        <rFont val="Calibri"/>
        <family val="2"/>
        <charset val="204"/>
        <scheme val="minor"/>
      </rPr>
      <t>0</t>
    </r>
  </si>
  <si>
    <t>5.10</t>
  </si>
  <si>
    <t xml:space="preserve">Влаштування прорізів для проходження металевих конструкцій в стінових сендвіч панелях </t>
  </si>
  <si>
    <t>5.11</t>
  </si>
  <si>
    <t>5.12</t>
  </si>
  <si>
    <t xml:space="preserve">Шпилька М20 </t>
  </si>
  <si>
    <t>5.13</t>
  </si>
  <si>
    <t>Гайка М20</t>
  </si>
  <si>
    <t>5.14</t>
  </si>
  <si>
    <t>Шайба М20</t>
  </si>
  <si>
    <t>5.15</t>
  </si>
  <si>
    <t>5.16</t>
  </si>
  <si>
    <t>5.17</t>
  </si>
  <si>
    <t>5.18</t>
  </si>
  <si>
    <t>5.19</t>
  </si>
  <si>
    <t>5.20</t>
  </si>
  <si>
    <t>5.21</t>
  </si>
  <si>
    <t>5.22</t>
  </si>
  <si>
    <t>Профнастил Н60</t>
  </si>
  <si>
    <t>5.23</t>
  </si>
  <si>
    <t>5.24</t>
  </si>
  <si>
    <t>5.25</t>
  </si>
  <si>
    <r>
      <t xml:space="preserve">Вантажопідіймальні пристрої / механізми
</t>
    </r>
    <r>
      <rPr>
        <sz val="11"/>
        <color rgb="FF0070C0"/>
        <rFont val="Calibri"/>
        <family val="2"/>
        <charset val="204"/>
        <scheme val="minor"/>
      </rPr>
      <t>(обсяг прописує Підрядник згідно прийнятої ним технології)</t>
    </r>
  </si>
  <si>
    <t>змін</t>
  </si>
  <si>
    <t>6</t>
  </si>
  <si>
    <t>Комплекс робіт по влаштуванню конструкцій глядацьких рядів в Кінозалах</t>
  </si>
  <si>
    <t>6.1</t>
  </si>
  <si>
    <t>Виготовлення та монтаж металоконструкцій</t>
  </si>
  <si>
    <t>6.2</t>
  </si>
  <si>
    <r>
      <t xml:space="preserve">Швелер сталевий гарячекатаний за ДСТУ  3436-96
</t>
    </r>
    <r>
      <rPr>
        <sz val="11"/>
        <color rgb="FF0070C0"/>
        <rFont val="Calibri"/>
        <family val="2"/>
        <charset val="204"/>
        <scheme val="minor"/>
      </rPr>
      <t xml:space="preserve"> №12</t>
    </r>
  </si>
  <si>
    <t>6.3</t>
  </si>
  <si>
    <r>
      <t xml:space="preserve">Швелер сталевий гарячекатаний за ДСТУ  3436-96
</t>
    </r>
    <r>
      <rPr>
        <sz val="11"/>
        <color rgb="FF0070C0"/>
        <rFont val="Calibri"/>
        <family val="2"/>
        <charset val="204"/>
        <scheme val="minor"/>
      </rPr>
      <t xml:space="preserve"> №10</t>
    </r>
  </si>
  <si>
    <t>6.4</t>
  </si>
  <si>
    <r>
      <t xml:space="preserve">Кутик сталевий гарячекатаний за ДСТУ 2251:2018
</t>
    </r>
    <r>
      <rPr>
        <sz val="11"/>
        <color rgb="FF0070C0"/>
        <rFont val="Calibri"/>
        <family val="2"/>
        <charset val="204"/>
        <scheme val="minor"/>
      </rPr>
      <t>63х63х5</t>
    </r>
  </si>
  <si>
    <t>6.5</t>
  </si>
  <si>
    <r>
      <t xml:space="preserve">Кутик сталевий гарячекатаний за ДСТУ 2251:2018
</t>
    </r>
    <r>
      <rPr>
        <sz val="11"/>
        <color rgb="FF0070C0"/>
        <rFont val="Calibri"/>
        <family val="2"/>
        <charset val="204"/>
        <scheme val="minor"/>
      </rPr>
      <t>32х32х3</t>
    </r>
  </si>
  <si>
    <t>6.6</t>
  </si>
  <si>
    <r>
      <t xml:space="preserve">Прокат листовий за ДСТУ 2651:2005
</t>
    </r>
    <r>
      <rPr>
        <sz val="11"/>
        <color rgb="FF0070C0"/>
        <rFont val="Calibri"/>
        <family val="2"/>
        <charset val="204"/>
        <scheme val="minor"/>
      </rPr>
      <t>t=4</t>
    </r>
  </si>
  <si>
    <t>6.7</t>
  </si>
  <si>
    <t>Труба сталева квадратна за ДСТУ 8940:2019
 60*60*3</t>
  </si>
  <si>
    <t>6.8</t>
  </si>
  <si>
    <t>Isophon Filz100</t>
  </si>
  <si>
    <t>6.9</t>
  </si>
  <si>
    <t>6.10</t>
  </si>
  <si>
    <t>6.11</t>
  </si>
  <si>
    <t>6.12</t>
  </si>
  <si>
    <t>6.13</t>
  </si>
  <si>
    <t>6.14</t>
  </si>
  <si>
    <t>9</t>
  </si>
  <si>
    <t>Комплекс робіт по влаштуванню вітражних систем на відм. -3,000</t>
  </si>
  <si>
    <t>9.1</t>
  </si>
  <si>
    <t>Виготовлення металокаркасу ВТ-1 та Д-27Л                                по вісям 4'-D`/E`</t>
  </si>
  <si>
    <t>9.1.1</t>
  </si>
  <si>
    <t>Труба сталева квадратна за ДСТУ 8940:2019
 100*100*5, L=2730</t>
  </si>
  <si>
    <t>`</t>
  </si>
  <si>
    <t>9.1.2</t>
  </si>
  <si>
    <t>Труба сталева квадратна за ДСТУ 8940:2019
 100*100*5, L=5148</t>
  </si>
  <si>
    <t>9.1.3</t>
  </si>
  <si>
    <t>Прокат листовий за ДСТУ 2651:2005                                           t=10, 200х200</t>
  </si>
  <si>
    <t>9.1.4</t>
  </si>
  <si>
    <t>Прокат листовий за ДСТУ 2651:2005                                           t=10, 120х120</t>
  </si>
  <si>
    <t>9.1.5</t>
  </si>
  <si>
    <t>Кутик сталевий гарячекатаний за ДСТУ 2251:2018 100х100х7, L=2730</t>
  </si>
  <si>
    <t>9.1.6</t>
  </si>
  <si>
    <t>Труба сталева квадратна за ДСТУ 8940:2019
 100*100*5, L=383</t>
  </si>
  <si>
    <t>9.2</t>
  </si>
  <si>
    <t>9.2.1</t>
  </si>
  <si>
    <t>Анкерна шпилька М12х150</t>
  </si>
  <si>
    <t>9.2.2</t>
  </si>
  <si>
    <t>9.2.3</t>
  </si>
  <si>
    <t>9.3</t>
  </si>
  <si>
    <t>Виготовлення металокаркасу ВТ-2 по вісям 9'-F`/G`</t>
  </si>
  <si>
    <t>9.3.1</t>
  </si>
  <si>
    <t>Труба сталева квадратна за ДСТУ 8940:2019
 100*100*5, L=3325</t>
  </si>
  <si>
    <t>9.3.2</t>
  </si>
  <si>
    <t>Кутик сталевий гарячекатаний за ДСТУ 2251:2018 100х100х7, L=3325</t>
  </si>
  <si>
    <t>9.3.3</t>
  </si>
  <si>
    <t>Кутик сталевий гарячекатаний за ДСТУ 2251:2018 100х100х7, L=200</t>
  </si>
  <si>
    <t>9.3.4</t>
  </si>
  <si>
    <t>9.3.5</t>
  </si>
  <si>
    <t>9.4</t>
  </si>
  <si>
    <t>9.4.1</t>
  </si>
  <si>
    <t>9.4.2</t>
  </si>
  <si>
    <t>9.4.3</t>
  </si>
  <si>
    <t>9.5</t>
  </si>
  <si>
    <t>Виготовлення металокаркасу ВТ-3 по вісям F`/G`</t>
  </si>
  <si>
    <t>9.5.1</t>
  </si>
  <si>
    <t>Труба сталева квадратна за ДСТУ 8940:2019
 100*100*5, L=4005</t>
  </si>
  <si>
    <t>9.5.2</t>
  </si>
  <si>
    <t>9.5.3</t>
  </si>
  <si>
    <t>9.6</t>
  </si>
  <si>
    <t>9.6.1</t>
  </si>
  <si>
    <t>9.6.2</t>
  </si>
  <si>
    <t>9.6.3</t>
  </si>
  <si>
    <t>9.7</t>
  </si>
  <si>
    <t>Виготовлення металокаркасу ВТ-4 по вісям F`/G`</t>
  </si>
  <si>
    <t>9.7.1</t>
  </si>
  <si>
    <t>Труба сталева квадратна за ДСТУ 8940:2019
 100*100*5, L=3805</t>
  </si>
  <si>
    <t>9.7.2</t>
  </si>
  <si>
    <t>9.7.3</t>
  </si>
  <si>
    <t>9.8</t>
  </si>
  <si>
    <t>9.8.1</t>
  </si>
  <si>
    <t>9.8.2</t>
  </si>
  <si>
    <t>9.8.3</t>
  </si>
  <si>
    <t>9.9</t>
  </si>
  <si>
    <t>Виготовлення металокаркасу ВТ-5 по вісям 8'-F`/G`</t>
  </si>
  <si>
    <t>9.9.1</t>
  </si>
  <si>
    <t>9.9.2</t>
  </si>
  <si>
    <t>Кутик сталевий гарячекатаний за ДСТУ 2251:2018 100х100х7, L=2925</t>
  </si>
  <si>
    <t>9.9.3</t>
  </si>
  <si>
    <t>9.9.4</t>
  </si>
  <si>
    <t>9.9.5</t>
  </si>
  <si>
    <t>9.9.6</t>
  </si>
  <si>
    <t>9.9.7</t>
  </si>
  <si>
    <t>9.10</t>
  </si>
  <si>
    <t>9.10.1</t>
  </si>
  <si>
    <t>9.10.2</t>
  </si>
  <si>
    <t>9.10.3</t>
  </si>
  <si>
    <t>9.11</t>
  </si>
  <si>
    <t>Виготовлення металокаркасу ВТ-6 по осі F`</t>
  </si>
  <si>
    <t>9.11.1</t>
  </si>
  <si>
    <t>Труба сталева квадратна за ДСТУ 8940:2019
 100*100*5, L=5110</t>
  </si>
  <si>
    <t>9.11.2</t>
  </si>
  <si>
    <t>9.11.3</t>
  </si>
  <si>
    <t>Кутик сталевий гарячекатаний за ДСТУ 2251:2018 100х100х7, L=3550</t>
  </si>
  <si>
    <t>9.11.4</t>
  </si>
  <si>
    <t>9.11.6</t>
  </si>
  <si>
    <t>9.11.7</t>
  </si>
  <si>
    <t>9.12</t>
  </si>
  <si>
    <t>9.12.1</t>
  </si>
  <si>
    <t>9.12.2</t>
  </si>
  <si>
    <t>9.12.3</t>
  </si>
  <si>
    <t>9.13</t>
  </si>
  <si>
    <t>9.13.1</t>
  </si>
  <si>
    <t>Зачистка металу</t>
  </si>
  <si>
    <t>9.13.2</t>
  </si>
  <si>
    <t>9.13.3</t>
  </si>
  <si>
    <t>9.14</t>
  </si>
  <si>
    <t>9.14.1</t>
  </si>
  <si>
    <t>9.14.2</t>
  </si>
  <si>
    <t>10</t>
  </si>
  <si>
    <t>Комплекс робіт по влаштуванню конструкцій підлоги приміщення охорони LB2 на відм. -8,550 та в осях 16'-17' та в осях J`-K`</t>
  </si>
  <si>
    <t>10.1</t>
  </si>
  <si>
    <t>Влаштування (виготовлення та монтаж) металоконструкцій підлоги</t>
  </si>
  <si>
    <t>10.2</t>
  </si>
  <si>
    <r>
      <t xml:space="preserve">Швелер сталевий гарячекатаний за ДСТУ </t>
    </r>
    <r>
      <rPr>
        <sz val="11"/>
        <color rgb="FF0070C0"/>
        <rFont val="Calibri"/>
        <family val="2"/>
        <charset val="204"/>
        <scheme val="minor"/>
      </rPr>
      <t>4484-2005 С235
 №16</t>
    </r>
  </si>
  <si>
    <t>10.3</t>
  </si>
  <si>
    <t>Кутик сталевий гарячекатаний за ДСТУ 2251-93
С235 100х100х5</t>
  </si>
  <si>
    <t>10.4</t>
  </si>
  <si>
    <t>Кутик сталевий гарячекатаний за ДСТУ 2251-93
С235 75х75х5</t>
  </si>
  <si>
    <t>10.5</t>
  </si>
  <si>
    <r>
      <t xml:space="preserve">Труба сталева квадратна за ДСТУ </t>
    </r>
    <r>
      <rPr>
        <sz val="11"/>
        <color rgb="FF0070C0"/>
        <rFont val="Calibri"/>
        <family val="2"/>
        <charset val="204"/>
        <scheme val="minor"/>
      </rPr>
      <t>Б В.2.6-8-95</t>
    </r>
    <r>
      <rPr>
        <sz val="11"/>
        <rFont val="Calibri"/>
        <family val="2"/>
        <charset val="204"/>
        <scheme val="minor"/>
      </rPr>
      <t xml:space="preserve">
 100*100*</t>
    </r>
    <r>
      <rPr>
        <sz val="11"/>
        <color rgb="FF0070C0"/>
        <rFont val="Calibri"/>
        <family val="2"/>
        <charset val="204"/>
        <scheme val="minor"/>
      </rPr>
      <t>3</t>
    </r>
  </si>
  <si>
    <t>10.6</t>
  </si>
  <si>
    <r>
      <t xml:space="preserve">Труба сталева квадратна за ДСТУ </t>
    </r>
    <r>
      <rPr>
        <sz val="11"/>
        <color rgb="FF0070C0"/>
        <rFont val="Calibri"/>
        <family val="2"/>
        <charset val="204"/>
        <scheme val="minor"/>
      </rPr>
      <t>Б В.2.6-8-95</t>
    </r>
    <r>
      <rPr>
        <sz val="11"/>
        <rFont val="Calibri"/>
        <family val="2"/>
        <charset val="204"/>
        <scheme val="minor"/>
      </rPr>
      <t xml:space="preserve">
 40*40*</t>
    </r>
    <r>
      <rPr>
        <sz val="11"/>
        <color rgb="FF0070C0"/>
        <rFont val="Calibri"/>
        <family val="2"/>
        <charset val="204"/>
        <scheme val="minor"/>
      </rPr>
      <t>3</t>
    </r>
  </si>
  <si>
    <t>10.7</t>
  </si>
  <si>
    <r>
      <t xml:space="preserve">Прокат листовий за </t>
    </r>
    <r>
      <rPr>
        <sz val="11"/>
        <color rgb="FF0070C0"/>
        <rFont val="Calibri"/>
        <family val="2"/>
        <charset val="204"/>
        <scheme val="minor"/>
      </rPr>
      <t>ДСТУ 4747:2007  С235
t=8</t>
    </r>
  </si>
  <si>
    <t>10.8</t>
  </si>
  <si>
    <r>
      <t xml:space="preserve">Прокат листовий за </t>
    </r>
    <r>
      <rPr>
        <sz val="11"/>
        <color rgb="FF0070C0"/>
        <rFont val="Calibri"/>
        <family val="2"/>
        <charset val="204"/>
        <scheme val="minor"/>
      </rPr>
      <t>ДСТУ 4747:2007  С235
t=10</t>
    </r>
  </si>
  <si>
    <t>10.9</t>
  </si>
  <si>
    <t xml:space="preserve">NSA Анкер-клин М10Х83 </t>
  </si>
  <si>
    <t>10.10</t>
  </si>
  <si>
    <t>REDIBOLT-B Анкер 8х75/М6/40</t>
  </si>
  <si>
    <t>10.11</t>
  </si>
  <si>
    <t>NSA Анкер-клин М10Х50</t>
  </si>
  <si>
    <t>10.12</t>
  </si>
  <si>
    <t>10.13</t>
  </si>
  <si>
    <t>10.14</t>
  </si>
  <si>
    <t>10.15</t>
  </si>
  <si>
    <r>
      <t xml:space="preserve">Фарбування металоконструкцій </t>
    </r>
    <r>
      <rPr>
        <b/>
        <sz val="11"/>
        <color rgb="FF0070C0"/>
        <rFont val="Calibri"/>
        <family val="2"/>
        <charset val="204"/>
        <scheme val="minor"/>
      </rPr>
      <t>у 1 шар</t>
    </r>
  </si>
  <si>
    <t>10.16</t>
  </si>
  <si>
    <t>10.17</t>
  </si>
  <si>
    <t>10.18</t>
  </si>
  <si>
    <t>10.19</t>
  </si>
  <si>
    <r>
      <t>Профільований лист Н44-100</t>
    </r>
    <r>
      <rPr>
        <sz val="11"/>
        <color rgb="FF0070C0"/>
        <rFont val="Calibri"/>
        <family val="2"/>
        <charset val="204"/>
        <scheme val="minor"/>
      </rPr>
      <t>х0,5</t>
    </r>
  </si>
  <si>
    <t>10.20</t>
  </si>
  <si>
    <t>10.21</t>
  </si>
  <si>
    <t>Влаштування з/б плити по профнастилу та сходів, в т.ч. армування Кр-1, монтаж/демонтаж опалубки, бетонування, догляд за бетоном тощо</t>
  </si>
  <si>
    <t>10.22</t>
  </si>
  <si>
    <t>Арматура Ø12 A500C</t>
  </si>
  <si>
    <t>10.23</t>
  </si>
  <si>
    <t>10.24</t>
  </si>
  <si>
    <t>Арматура Ø16 A500C</t>
  </si>
  <si>
    <t>10.25</t>
  </si>
  <si>
    <t>Бетон С25/30</t>
  </si>
  <si>
    <t>Всього грн., без ПДВ</t>
  </si>
  <si>
    <t>ПДВ 20%</t>
  </si>
  <si>
    <t>Всього, з ПДВ</t>
  </si>
  <si>
    <r>
      <rPr>
        <b/>
        <sz val="11"/>
        <rFont val="Calibri"/>
        <family val="2"/>
        <charset val="204"/>
        <scheme val="minor"/>
      </rPr>
      <t>Примітки:</t>
    </r>
    <r>
      <rPr>
        <sz val="11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>1. Вартість робіт в договірній ціні включає:</t>
    </r>
    <r>
      <rPr>
        <sz val="11"/>
        <rFont val="Calibri"/>
        <family val="2"/>
        <charset val="204"/>
        <scheme val="minor"/>
      </rPr>
      <t xml:space="preserve">
- Всі витрати Підрядника на заробітну плату, загальновиробничі та адміністративні витрати, прибуток, вартість експлуатації і перебазування машин, механізмів та засобів малої механізації, інструмент, заготівельно-складські витрати на матеріали, обладнання і оснастки, вартість витратних, паливно-мастильних матеріалів, геодезичний супровід процесу виконання робіт та лабораторні випробування; дрібні, допоміжні та супутні операції необхідні для виконання робіт;
- Вартість тимчасових мереж електро та водопостачання (від точки підключення), освітлення місць проведення робіт;
- Засоби колективного захисту, заходи з охорони праці та з пожежної безпеки.
- Вартість та експлуатацію захисних огороджувальних конструкцій та систем;
- Розробка ПВР, КМД;
- Вартість монтажу, амортизації та/або оренди засобів підмощування (підмощування, риштування, драбини, тури тощо);
- Вартість автомобільних кранів, ліктьових та ножичних підйомників, інших механізмів необхідних для виконання комплексу робіт;
- Доставка (перенесення) матеріалів від місця складування до місця укладки та їх подача на засоби підмощування, риштування, драбини, тури тощо.
</t>
    </r>
    <r>
      <rPr>
        <b/>
        <sz val="11"/>
        <rFont val="Calibri"/>
        <family val="2"/>
        <charset val="204"/>
        <scheme val="minor"/>
      </rPr>
      <t>2. Вартість робіт в договірній ціні не включає:</t>
    </r>
    <r>
      <rPr>
        <sz val="11"/>
        <rFont val="Calibri"/>
        <family val="2"/>
        <charset val="204"/>
        <scheme val="minor"/>
      </rPr>
      <t xml:space="preserve">
- Тимчасове використання електроенергії та водопостачання.
</t>
    </r>
    <r>
      <rPr>
        <b/>
        <sz val="11"/>
        <rFont val="Calibri"/>
        <family val="2"/>
        <charset val="204"/>
        <scheme val="minor"/>
      </rPr>
      <t>3. Вартість матеріалів врахована з доставкою на об'єкт та буде погоджуватись сторонами додатково на момент закупівлі.</t>
    </r>
  </si>
  <si>
    <t xml:space="preserve">  2. Строк виконання комплексу робіт ________ календарних днів, з моменту укладення договору та перерахування авансу.</t>
  </si>
  <si>
    <t xml:space="preserve">  3. Умови оплати –  аванс у розмірі 100% від вартості матеріалів та 20% від вартості робіт по угоді, згідног погодженого Сторонами графіку виконання та фінансування.</t>
  </si>
  <si>
    <r>
      <t xml:space="preserve">  4. Вид договірної ціни – ___</t>
    </r>
    <r>
      <rPr>
        <b/>
        <sz val="11"/>
        <color theme="1"/>
        <rFont val="Calibri"/>
        <family val="2"/>
        <charset val="204"/>
        <scheme val="minor"/>
      </rPr>
      <t>тверда</t>
    </r>
    <r>
      <rPr>
        <sz val="11"/>
        <color theme="1"/>
        <rFont val="Calibri"/>
        <family val="2"/>
        <scheme val="minor"/>
      </rPr>
      <t>___ (тверда, динамічна)</t>
    </r>
  </si>
  <si>
    <t xml:space="preserve">  5. Термін дії пропозиції, до _____________.</t>
  </si>
  <si>
    <t xml:space="preserve">  6. Якщо наша пропозиція буде акцептована, ми візьмемо на себе зобов'язання виконати всі умови, передбачені умовами договору (Додаток 4 до тендерної документації).</t>
  </si>
  <si>
    <t xml:space="preserve">  7. Контактна особа __________________________________________________________________ (ПІБ, мобільний, е-mail). </t>
  </si>
  <si>
    <t>Додатки:
1. Копії ліцензії та дозволу на виконання робіт, довідка зі статистики (код ДК 016:2010 повинен відповідити видам діяльності по ліцензії), якщо такі вимагаються діючими нормативними документами України.</t>
  </si>
  <si>
    <t>Директор</t>
  </si>
  <si>
    <t>(підпис, печатка)</t>
  </si>
  <si>
    <t>(Прізвище та ініціали)</t>
  </si>
  <si>
    <t>(повна назва організації)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</si>
</sst>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C22]d\ mmmm\ yyyy&quot; р.&quot;;@"/>
    <numFmt numFmtId="167" formatCode="#,##0.0000"/>
    <numFmt numFmtId="168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4" fillId="0" borderId="0" applyFont="0" applyFill="0" applyBorder="0" applyAlignment="0" applyProtection="0"/>
    <xf numFmtId="0" fontId="22" fillId="0" borderId="0">
      <alignment horizontal="left"/>
    </xf>
    <xf numFmtId="0" fontId="3" fillId="0" borderId="0"/>
    <xf numFmtId="0" fontId="23" fillId="0" borderId="0"/>
    <xf numFmtId="0" fontId="24" fillId="0" borderId="0"/>
  </cellStyleXfs>
  <cellXfs count="117">
    <xf numFmtId="0" fontId="0" fillId="0" borderId="0" xfId="0"/>
    <xf numFmtId="0" fontId="7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" fontId="12" fillId="4" borderId="11" xfId="0" applyNumberFormat="1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4" fontId="7" fillId="4" borderId="10" xfId="0" applyNumberFormat="1" applyFont="1" applyFill="1" applyBorder="1" applyAlignment="1">
      <alignment horizontal="center" vertical="center" wrapText="1"/>
    </xf>
    <xf numFmtId="4" fontId="10" fillId="4" borderId="10" xfId="0" applyNumberFormat="1" applyFont="1" applyFill="1" applyBorder="1" applyAlignment="1">
      <alignment horizontal="center" vertical="center" wrapText="1"/>
    </xf>
    <xf numFmtId="4" fontId="10" fillId="4" borderId="6" xfId="2" applyNumberFormat="1" applyFont="1" applyFill="1" applyBorder="1" applyAlignment="1">
      <alignment horizontal="center" vertical="center" wrapText="1"/>
    </xf>
    <xf numFmtId="4" fontId="12" fillId="4" borderId="12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4" xfId="0" applyNumberFormat="1" applyFont="1" applyFill="1" applyBorder="1" applyAlignment="1">
      <alignment horizontal="center" vertical="center" wrapText="1"/>
    </xf>
    <xf numFmtId="4" fontId="13" fillId="4" borderId="4" xfId="0" applyNumberFormat="1" applyFont="1" applyFill="1" applyBorder="1" applyAlignment="1">
      <alignment horizontal="center" vertical="center" wrapText="1"/>
    </xf>
    <xf numFmtId="4" fontId="13" fillId="4" borderId="3" xfId="2" applyNumberFormat="1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 applyProtection="1">
      <alignment horizontal="center" vertical="center" wrapText="1"/>
      <protection locked="0"/>
    </xf>
    <xf numFmtId="4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1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>
      <alignment horizontal="left" vertical="center" wrapText="1"/>
    </xf>
    <xf numFmtId="49" fontId="11" fillId="5" borderId="7" xfId="0" applyNumberFormat="1" applyFont="1" applyFill="1" applyBorder="1" applyAlignment="1">
      <alignment horizontal="center" vertical="center" wrapText="1"/>
    </xf>
    <xf numFmtId="4" fontId="11" fillId="5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49" fontId="7" fillId="4" borderId="16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" fontId="11" fillId="5" borderId="17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49" fontId="11" fillId="5" borderId="23" xfId="0" applyNumberFormat="1" applyFont="1" applyFill="1" applyBorder="1" applyAlignment="1">
      <alignment horizontal="center" vertical="center" wrapText="1"/>
    </xf>
    <xf numFmtId="4" fontId="8" fillId="0" borderId="29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4" fontId="26" fillId="4" borderId="1" xfId="0" applyNumberFormat="1" applyFont="1" applyFill="1" applyBorder="1" applyAlignment="1">
      <alignment horizontal="center" vertical="center" wrapText="1"/>
    </xf>
    <xf numFmtId="4" fontId="27" fillId="4" borderId="2" xfId="0" applyNumberFormat="1" applyFont="1" applyFill="1" applyBorder="1" applyAlignment="1">
      <alignment horizontal="center" vertical="center" wrapText="1"/>
    </xf>
    <xf numFmtId="4" fontId="27" fillId="4" borderId="1" xfId="0" applyNumberFormat="1" applyFont="1" applyFill="1" applyBorder="1" applyAlignment="1">
      <alignment horizontal="center" vertical="center" wrapText="1"/>
    </xf>
    <xf numFmtId="4" fontId="28" fillId="5" borderId="8" xfId="0" applyNumberFormat="1" applyFont="1" applyFill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right" vertical="center" wrapText="1"/>
    </xf>
    <xf numFmtId="49" fontId="25" fillId="2" borderId="14" xfId="0" applyNumberFormat="1" applyFont="1" applyFill="1" applyBorder="1" applyAlignment="1">
      <alignment horizontal="center" vertical="center" wrapText="1"/>
    </xf>
    <xf numFmtId="49" fontId="26" fillId="2" borderId="14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" fontId="7" fillId="0" borderId="29" xfId="0" applyNumberFormat="1" applyFont="1" applyBorder="1" applyAlignment="1">
      <alignment horizontal="center" vertical="center" wrapText="1"/>
    </xf>
    <xf numFmtId="4" fontId="26" fillId="0" borderId="2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center" wrapText="1"/>
    </xf>
    <xf numFmtId="4" fontId="26" fillId="0" borderId="29" xfId="0" applyNumberFormat="1" applyFont="1" applyBorder="1" applyAlignment="1">
      <alignment horizontal="center" vertical="center" wrapText="1"/>
    </xf>
    <xf numFmtId="167" fontId="7" fillId="0" borderId="28" xfId="0" applyNumberFormat="1" applyFont="1" applyBorder="1" applyAlignment="1">
      <alignment horizontal="center" vertical="center" wrapText="1"/>
    </xf>
    <xf numFmtId="4" fontId="25" fillId="0" borderId="29" xfId="0" applyNumberFormat="1" applyFont="1" applyBorder="1" applyAlignment="1">
      <alignment horizontal="center" vertical="center" wrapText="1"/>
    </xf>
    <xf numFmtId="168" fontId="26" fillId="0" borderId="29" xfId="0" applyNumberFormat="1" applyFont="1" applyBorder="1" applyAlignment="1">
      <alignment horizontal="center" vertical="center" wrapText="1"/>
    </xf>
    <xf numFmtId="168" fontId="7" fillId="0" borderId="29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right" vertical="center" wrapText="1"/>
    </xf>
    <xf numFmtId="49" fontId="11" fillId="5" borderId="13" xfId="0" applyNumberFormat="1" applyFont="1" applyFill="1" applyBorder="1" applyAlignment="1">
      <alignment horizontal="right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49" fontId="2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7" fillId="4" borderId="19" xfId="0" applyNumberFormat="1" applyFont="1" applyFill="1" applyBorder="1" applyAlignment="1">
      <alignment horizontal="center" vertical="center" wrapText="1"/>
    </xf>
    <xf numFmtId="49" fontId="7" fillId="4" borderId="20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</cellXfs>
  <cellStyles count="8">
    <cellStyle name="Звичайний" xfId="0" builtinId="0"/>
    <cellStyle name="Обычный 2" xfId="1" xr:uid="{00000000-0005-0000-0000-000001000000}"/>
    <cellStyle name="Обычный 2 2" xfId="4" xr:uid="{00000000-0005-0000-0000-000002000000}"/>
    <cellStyle name="Обычный 2 2 2" xfId="7" xr:uid="{00000000-0005-0000-0000-000003000000}"/>
    <cellStyle name="Обычный 3" xfId="6" xr:uid="{00000000-0005-0000-0000-000004000000}"/>
    <cellStyle name="Обычный 3 2" xfId="5" xr:uid="{00000000-0005-0000-0000-000005000000}"/>
    <cellStyle name="Обычный_Бланк смета" xfId="2" xr:uid="{00000000-0005-0000-0000-000006000000}"/>
    <cellStyle name="Финансовый 2" xfId="3" xr:uid="{00000000-0005-0000-0000-000007000000}"/>
  </cellStyles>
  <dxfs count="111"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254"/>
  <sheetViews>
    <sheetView tabSelected="1" view="pageBreakPreview" zoomScale="75" zoomScaleNormal="115" zoomScaleSheetLayoutView="75" workbookViewId="0">
      <pane xSplit="2" ySplit="15" topLeftCell="D16" activePane="bottomRight" state="frozen"/>
      <selection pane="topRight" activeCell="C1" sqref="C1"/>
      <selection pane="bottomLeft" activeCell="A16" sqref="A16"/>
      <selection pane="bottomRight" activeCell="A252" sqref="A252:B252"/>
    </sheetView>
  </sheetViews>
  <sheetFormatPr defaultColWidth="9.109375" defaultRowHeight="14.4" outlineLevelRow="2" outlineLevelCol="1" x14ac:dyDescent="0.3"/>
  <cols>
    <col min="1" max="1" width="8.6640625" style="44" customWidth="1"/>
    <col min="2" max="2" width="55.6640625" style="44" customWidth="1"/>
    <col min="3" max="3" width="10.6640625" style="44" hidden="1" customWidth="1" outlineLevel="1"/>
    <col min="4" max="4" width="9.6640625" style="44" customWidth="1" collapsed="1"/>
    <col min="5" max="5" width="9.6640625" style="44" customWidth="1" outlineLevel="1"/>
    <col min="6" max="6" width="10" style="44" customWidth="1"/>
    <col min="7" max="7" width="13.33203125" style="44" customWidth="1" outlineLevel="1"/>
    <col min="8" max="8" width="13.6640625" style="44" customWidth="1" outlineLevel="1"/>
    <col min="9" max="9" width="11.6640625" style="44" customWidth="1" outlineLevel="1"/>
    <col min="10" max="10" width="13.6640625" style="44" customWidth="1" outlineLevel="1"/>
    <col min="11" max="11" width="18.6640625" style="44" customWidth="1"/>
    <col min="12" max="16384" width="9.109375" style="44"/>
  </cols>
  <sheetData>
    <row r="1" spans="1:15" ht="15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37" customFormat="1" ht="15" customHeight="1" collapsed="1" x14ac:dyDescent="0.3">
      <c r="A2" s="89" t="s">
        <v>0</v>
      </c>
      <c r="B2" s="89"/>
      <c r="C2" s="47"/>
      <c r="D2" s="47"/>
      <c r="E2" s="47"/>
      <c r="F2" s="47"/>
      <c r="G2" s="47"/>
      <c r="H2" s="47"/>
      <c r="I2" s="47"/>
      <c r="J2" s="47"/>
      <c r="K2" s="47"/>
    </row>
    <row r="3" spans="1:15" s="37" customFormat="1" ht="15" hidden="1" customHeight="1" outlineLevel="1" x14ac:dyDescent="0.3">
      <c r="A3" s="88" t="s">
        <v>1</v>
      </c>
      <c r="B3" s="88"/>
      <c r="C3" s="56"/>
      <c r="D3" s="88"/>
      <c r="E3" s="88"/>
      <c r="F3" s="88"/>
      <c r="G3" s="88"/>
      <c r="H3" s="88"/>
      <c r="I3" s="88"/>
      <c r="J3" s="36"/>
      <c r="K3" s="36"/>
    </row>
    <row r="4" spans="1:15" s="37" customFormat="1" hidden="1" outlineLevel="1" x14ac:dyDescent="0.3"/>
    <row r="5" spans="1:15" s="37" customFormat="1" hidden="1" outlineLevel="1" x14ac:dyDescent="0.3">
      <c r="A5" s="87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s="37" customFormat="1" ht="15" hidden="1" customHeight="1" outlineLevel="1" x14ac:dyDescent="0.3">
      <c r="A6" s="89" t="s">
        <v>3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5" ht="15" hidden="1" customHeight="1" outlineLevel="1" x14ac:dyDescent="0.3">
      <c r="A7" s="87" t="s">
        <v>4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76"/>
      <c r="M7" s="76"/>
      <c r="N7" s="76"/>
      <c r="O7" s="76"/>
    </row>
    <row r="8" spans="1:15" s="37" customFormat="1" ht="33" hidden="1" customHeight="1" outlineLevel="1" x14ac:dyDescent="0.3">
      <c r="A8" s="89" t="s">
        <v>5</v>
      </c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5" ht="20.100000000000001" hidden="1" customHeight="1" outlineLevel="1" x14ac:dyDescent="0.3">
      <c r="A9" s="55"/>
      <c r="B9" s="55"/>
      <c r="C9" s="55"/>
      <c r="D9" s="55"/>
      <c r="E9" s="55"/>
      <c r="F9" s="55"/>
      <c r="G9" s="55"/>
      <c r="H9" s="55"/>
      <c r="I9" s="55"/>
      <c r="J9" s="90"/>
      <c r="K9" s="90"/>
      <c r="L9" s="76"/>
      <c r="M9" s="76"/>
      <c r="N9" s="76"/>
      <c r="O9" s="76"/>
    </row>
    <row r="10" spans="1:15" ht="15" hidden="1" customHeight="1" outlineLevel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91" t="s">
        <v>6</v>
      </c>
      <c r="K10" s="91"/>
      <c r="L10" s="76"/>
      <c r="M10" s="76"/>
      <c r="N10" s="76"/>
      <c r="O10" s="76"/>
    </row>
    <row r="11" spans="1:15" ht="20.100000000000001" hidden="1" customHeight="1" outlineLevel="1" x14ac:dyDescent="0.3">
      <c r="A11" s="38" t="s">
        <v>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76"/>
      <c r="M11" s="76"/>
      <c r="N11" s="76"/>
      <c r="O11" s="76"/>
    </row>
    <row r="12" spans="1:15" ht="15" hidden="1" customHeight="1" outlineLevel="1" x14ac:dyDescent="0.3">
      <c r="A12" s="55"/>
      <c r="B12" s="49" t="s">
        <v>8</v>
      </c>
      <c r="C12" s="49"/>
      <c r="D12" s="55"/>
      <c r="E12" s="55"/>
      <c r="F12" s="55"/>
      <c r="G12" s="55"/>
      <c r="H12" s="55"/>
      <c r="I12" s="55"/>
      <c r="J12" s="55"/>
      <c r="K12" s="55"/>
      <c r="L12" s="76"/>
      <c r="M12" s="76"/>
      <c r="N12" s="76"/>
      <c r="O12" s="76"/>
    </row>
    <row r="13" spans="1:15" ht="15" customHeight="1" thickBot="1" x14ac:dyDescent="0.35">
      <c r="A13" s="37"/>
      <c r="B13" s="37"/>
      <c r="C13" s="37"/>
      <c r="D13" s="37"/>
      <c r="E13" s="37"/>
      <c r="F13" s="37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51.75" customHeight="1" x14ac:dyDescent="0.3">
      <c r="A14" s="93" t="s">
        <v>9</v>
      </c>
      <c r="B14" s="93" t="s">
        <v>10</v>
      </c>
      <c r="C14" s="104" t="s">
        <v>11</v>
      </c>
      <c r="D14" s="95" t="s">
        <v>12</v>
      </c>
      <c r="E14" s="102" t="s">
        <v>13</v>
      </c>
      <c r="F14" s="97" t="s">
        <v>14</v>
      </c>
      <c r="G14" s="99" t="s">
        <v>15</v>
      </c>
      <c r="H14" s="97"/>
      <c r="I14" s="100" t="s">
        <v>16</v>
      </c>
      <c r="J14" s="101"/>
      <c r="K14" s="108" t="s">
        <v>17</v>
      </c>
      <c r="L14" s="76"/>
      <c r="M14" s="76"/>
      <c r="N14" s="76"/>
      <c r="O14" s="76"/>
    </row>
    <row r="15" spans="1:15" ht="30" customHeight="1" thickBot="1" x14ac:dyDescent="0.35">
      <c r="A15" s="94"/>
      <c r="B15" s="94"/>
      <c r="C15" s="105"/>
      <c r="D15" s="96"/>
      <c r="E15" s="103"/>
      <c r="F15" s="98"/>
      <c r="G15" s="1" t="s">
        <v>18</v>
      </c>
      <c r="H15" s="54" t="s">
        <v>19</v>
      </c>
      <c r="I15" s="2" t="s">
        <v>18</v>
      </c>
      <c r="J15" s="3" t="s">
        <v>19</v>
      </c>
      <c r="K15" s="109"/>
      <c r="L15" s="76"/>
      <c r="M15" s="76"/>
      <c r="N15" s="76"/>
      <c r="O15" s="76"/>
    </row>
    <row r="16" spans="1:15" s="26" customFormat="1" ht="46.8" x14ac:dyDescent="0.3">
      <c r="A16" s="31" t="s">
        <v>20</v>
      </c>
      <c r="B16" s="84" t="s">
        <v>21</v>
      </c>
      <c r="C16" s="62"/>
      <c r="D16" s="33" t="s">
        <v>22</v>
      </c>
      <c r="E16" s="41"/>
      <c r="F16" s="34">
        <f>F17</f>
        <v>2.32958</v>
      </c>
      <c r="G16" s="24"/>
      <c r="H16" s="69">
        <f>SUM(H17:H40)</f>
        <v>0</v>
      </c>
      <c r="I16" s="24"/>
      <c r="J16" s="69">
        <f>SUM(J17:J40)</f>
        <v>0</v>
      </c>
      <c r="K16" s="25">
        <f>H16+J16</f>
        <v>0</v>
      </c>
      <c r="M16" s="26" t="s">
        <v>23</v>
      </c>
      <c r="N16" s="26" t="s">
        <v>24</v>
      </c>
      <c r="O16" s="26" t="s">
        <v>25</v>
      </c>
    </row>
    <row r="17" spans="1:18" s="43" customFormat="1" ht="28.8" outlineLevel="1" x14ac:dyDescent="0.3">
      <c r="A17" s="71" t="s">
        <v>26</v>
      </c>
      <c r="B17" s="83" t="s">
        <v>27</v>
      </c>
      <c r="C17" s="64"/>
      <c r="D17" s="29" t="s">
        <v>22</v>
      </c>
      <c r="E17" s="65"/>
      <c r="F17" s="63">
        <f>SUM(F18:F22)/1.04</f>
        <v>2.32958</v>
      </c>
      <c r="G17" s="30"/>
      <c r="H17" s="63"/>
      <c r="I17" s="30"/>
      <c r="J17" s="63">
        <f>$F17*I17</f>
        <v>0</v>
      </c>
      <c r="K17" s="7">
        <f t="shared" ref="K17:K65" si="0">H17+J17</f>
        <v>0</v>
      </c>
      <c r="P17" s="43">
        <v>3</v>
      </c>
      <c r="Q17" s="43">
        <v>1.72E-2</v>
      </c>
      <c r="R17" s="43">
        <f>Q17*56</f>
        <v>0.96320000000000006</v>
      </c>
    </row>
    <row r="18" spans="1:18" s="43" customFormat="1" ht="28.8" outlineLevel="2" x14ac:dyDescent="0.3">
      <c r="A18" s="72" t="s">
        <v>28</v>
      </c>
      <c r="B18" s="5" t="s">
        <v>29</v>
      </c>
      <c r="C18" s="73"/>
      <c r="D18" s="6" t="s">
        <v>22</v>
      </c>
      <c r="E18" s="77">
        <v>1.04</v>
      </c>
      <c r="F18" s="74">
        <f>943.5*E18/1000</f>
        <v>0.98124</v>
      </c>
      <c r="G18" s="23"/>
      <c r="H18" s="74">
        <f t="shared" ref="H18:H55" si="1">F18*G18</f>
        <v>0</v>
      </c>
      <c r="I18" s="23"/>
      <c r="J18" s="63"/>
      <c r="K18" s="7">
        <f t="shared" si="0"/>
        <v>0</v>
      </c>
      <c r="P18" s="43">
        <v>4</v>
      </c>
      <c r="Q18" s="43">
        <v>1.7899999999999999E-2</v>
      </c>
      <c r="R18" s="43">
        <f>Q18*29</f>
        <v>0.51910000000000001</v>
      </c>
    </row>
    <row r="19" spans="1:18" s="43" customFormat="1" ht="28.8" outlineLevel="2" x14ac:dyDescent="0.3">
      <c r="A19" s="72" t="s">
        <v>30</v>
      </c>
      <c r="B19" s="70" t="s">
        <v>31</v>
      </c>
      <c r="C19" s="73"/>
      <c r="D19" s="6" t="s">
        <v>22</v>
      </c>
      <c r="E19" s="77">
        <v>1.04</v>
      </c>
      <c r="F19" s="78">
        <f>(773.19+355.51)*E19/1000</f>
        <v>1.1738480000000002</v>
      </c>
      <c r="G19" s="23"/>
      <c r="H19" s="74">
        <f t="shared" si="1"/>
        <v>0</v>
      </c>
      <c r="I19" s="23"/>
      <c r="J19" s="63"/>
      <c r="K19" s="7">
        <f t="shared" si="0"/>
        <v>0</v>
      </c>
      <c r="P19" s="43">
        <v>5</v>
      </c>
      <c r="Q19" s="43">
        <v>0.22</v>
      </c>
      <c r="R19" s="43">
        <f>Q19*4</f>
        <v>0.88</v>
      </c>
    </row>
    <row r="20" spans="1:18" s="43" customFormat="1" ht="28.8" outlineLevel="2" x14ac:dyDescent="0.3">
      <c r="A20" s="72" t="s">
        <v>32</v>
      </c>
      <c r="B20" s="70" t="s">
        <v>33</v>
      </c>
      <c r="C20" s="73"/>
      <c r="D20" s="6" t="s">
        <v>22</v>
      </c>
      <c r="E20" s="77">
        <v>1.04</v>
      </c>
      <c r="F20" s="78">
        <f>E20*(39.56+75.61+39.34+32.64+20.41+2.65+2.83)/1000</f>
        <v>0.2215616</v>
      </c>
      <c r="G20" s="23"/>
      <c r="H20" s="74">
        <f t="shared" si="1"/>
        <v>0</v>
      </c>
      <c r="I20" s="23"/>
      <c r="J20" s="63"/>
      <c r="K20" s="7">
        <f t="shared" si="0"/>
        <v>0</v>
      </c>
      <c r="P20" s="43">
        <v>6</v>
      </c>
      <c r="Q20" s="43">
        <v>0.23</v>
      </c>
      <c r="R20" s="43">
        <f>Q20*2</f>
        <v>0.46</v>
      </c>
    </row>
    <row r="21" spans="1:18" s="43" customFormat="1" ht="28.8" outlineLevel="2" x14ac:dyDescent="0.3">
      <c r="A21" s="72" t="s">
        <v>34</v>
      </c>
      <c r="B21" s="5" t="s">
        <v>35</v>
      </c>
      <c r="C21" s="73"/>
      <c r="D21" s="6" t="s">
        <v>22</v>
      </c>
      <c r="E21" s="77">
        <v>1.04</v>
      </c>
      <c r="F21" s="74">
        <f>26.11*E21/1000</f>
        <v>2.7154399999999999E-2</v>
      </c>
      <c r="G21" s="23"/>
      <c r="H21" s="74">
        <f t="shared" si="1"/>
        <v>0</v>
      </c>
      <c r="I21" s="23"/>
      <c r="J21" s="63"/>
      <c r="K21" s="7">
        <f t="shared" si="0"/>
        <v>0</v>
      </c>
      <c r="P21" s="43">
        <v>10</v>
      </c>
      <c r="Q21" s="43">
        <v>1.7999999999999999E-2</v>
      </c>
      <c r="R21" s="43">
        <f t="shared" ref="R21" si="2">Q21*2</f>
        <v>3.5999999999999997E-2</v>
      </c>
    </row>
    <row r="22" spans="1:18" s="43" customFormat="1" ht="15.6" outlineLevel="2" x14ac:dyDescent="0.3">
      <c r="A22" s="72" t="s">
        <v>36</v>
      </c>
      <c r="B22" s="70" t="s">
        <v>37</v>
      </c>
      <c r="C22" s="73"/>
      <c r="D22" s="6" t="s">
        <v>22</v>
      </c>
      <c r="E22" s="77">
        <v>1.04</v>
      </c>
      <c r="F22" s="74">
        <f>18.23*E22/1000</f>
        <v>1.8959200000000002E-2</v>
      </c>
      <c r="G22" s="23"/>
      <c r="H22" s="74">
        <f t="shared" si="1"/>
        <v>0</v>
      </c>
      <c r="I22" s="23"/>
      <c r="J22" s="63"/>
      <c r="K22" s="7">
        <f t="shared" si="0"/>
        <v>0</v>
      </c>
    </row>
    <row r="23" spans="1:18" s="43" customFormat="1" ht="15.6" outlineLevel="1" x14ac:dyDescent="0.3">
      <c r="A23" s="71" t="s">
        <v>38</v>
      </c>
      <c r="B23" s="46" t="s">
        <v>39</v>
      </c>
      <c r="C23" s="64"/>
      <c r="D23" s="29" t="s">
        <v>22</v>
      </c>
      <c r="E23" s="65"/>
      <c r="F23" s="63">
        <f>F17</f>
        <v>2.32958</v>
      </c>
      <c r="G23" s="30"/>
      <c r="H23" s="63"/>
      <c r="I23" s="30"/>
      <c r="J23" s="63">
        <f>$F23*I23</f>
        <v>0</v>
      </c>
      <c r="K23" s="7">
        <f t="shared" si="0"/>
        <v>0</v>
      </c>
    </row>
    <row r="24" spans="1:18" s="43" customFormat="1" ht="15.6" outlineLevel="2" x14ac:dyDescent="0.3">
      <c r="A24" s="72" t="s">
        <v>40</v>
      </c>
      <c r="B24" s="5" t="s">
        <v>41</v>
      </c>
      <c r="C24" s="73"/>
      <c r="D24" s="6" t="s">
        <v>42</v>
      </c>
      <c r="E24" s="77"/>
      <c r="F24" s="74">
        <v>32</v>
      </c>
      <c r="G24" s="23"/>
      <c r="H24" s="74">
        <f t="shared" si="1"/>
        <v>0</v>
      </c>
      <c r="I24" s="23"/>
      <c r="J24" s="63"/>
      <c r="K24" s="7">
        <f t="shared" si="0"/>
        <v>0</v>
      </c>
    </row>
    <row r="25" spans="1:18" s="43" customFormat="1" ht="15.6" outlineLevel="2" x14ac:dyDescent="0.3">
      <c r="A25" s="72" t="s">
        <v>43</v>
      </c>
      <c r="B25" s="5" t="s">
        <v>44</v>
      </c>
      <c r="C25" s="73"/>
      <c r="D25" s="6" t="s">
        <v>42</v>
      </c>
      <c r="E25" s="77"/>
      <c r="F25" s="74">
        <v>32</v>
      </c>
      <c r="G25" s="23"/>
      <c r="H25" s="74">
        <f t="shared" si="1"/>
        <v>0</v>
      </c>
      <c r="I25" s="23"/>
      <c r="J25" s="63"/>
      <c r="K25" s="7">
        <f t="shared" si="0"/>
        <v>0</v>
      </c>
    </row>
    <row r="26" spans="1:18" s="43" customFormat="1" ht="15.6" outlineLevel="2" x14ac:dyDescent="0.3">
      <c r="A26" s="72" t="s">
        <v>45</v>
      </c>
      <c r="B26" s="5" t="s">
        <v>46</v>
      </c>
      <c r="C26" s="73"/>
      <c r="D26" s="6" t="s">
        <v>42</v>
      </c>
      <c r="E26" s="77"/>
      <c r="F26" s="74">
        <v>32</v>
      </c>
      <c r="G26" s="23"/>
      <c r="H26" s="74">
        <f t="shared" si="1"/>
        <v>0</v>
      </c>
      <c r="I26" s="23"/>
      <c r="J26" s="63"/>
      <c r="K26" s="7">
        <f t="shared" si="0"/>
        <v>0</v>
      </c>
    </row>
    <row r="27" spans="1:18" s="43" customFormat="1" ht="15.6" outlineLevel="2" x14ac:dyDescent="0.3">
      <c r="A27" s="72" t="s">
        <v>47</v>
      </c>
      <c r="B27" s="5" t="s">
        <v>48</v>
      </c>
      <c r="C27" s="73"/>
      <c r="D27" s="6" t="s">
        <v>42</v>
      </c>
      <c r="E27" s="79"/>
      <c r="F27" s="74">
        <v>32</v>
      </c>
      <c r="G27" s="23"/>
      <c r="H27" s="74">
        <f t="shared" si="1"/>
        <v>0</v>
      </c>
      <c r="I27" s="23"/>
      <c r="J27" s="63"/>
      <c r="K27" s="7">
        <f t="shared" si="0"/>
        <v>0</v>
      </c>
    </row>
    <row r="28" spans="1:18" s="43" customFormat="1" ht="15.6" outlineLevel="2" x14ac:dyDescent="0.3">
      <c r="A28" s="72" t="s">
        <v>49</v>
      </c>
      <c r="B28" s="5" t="s">
        <v>50</v>
      </c>
      <c r="C28" s="73"/>
      <c r="D28" s="6" t="s">
        <v>42</v>
      </c>
      <c r="E28" s="79"/>
      <c r="F28" s="74">
        <v>32</v>
      </c>
      <c r="G28" s="23"/>
      <c r="H28" s="74">
        <f t="shared" si="1"/>
        <v>0</v>
      </c>
      <c r="I28" s="23"/>
      <c r="J28" s="63"/>
      <c r="K28" s="7">
        <f t="shared" si="0"/>
        <v>0</v>
      </c>
    </row>
    <row r="29" spans="1:18" s="43" customFormat="1" ht="15.6" outlineLevel="2" x14ac:dyDescent="0.3">
      <c r="A29" s="72" t="s">
        <v>51</v>
      </c>
      <c r="B29" s="5" t="s">
        <v>52</v>
      </c>
      <c r="C29" s="73"/>
      <c r="D29" s="6" t="s">
        <v>42</v>
      </c>
      <c r="E29" s="77"/>
      <c r="F29" s="74">
        <v>32</v>
      </c>
      <c r="G29" s="23"/>
      <c r="H29" s="74">
        <f t="shared" si="1"/>
        <v>0</v>
      </c>
      <c r="I29" s="23"/>
      <c r="J29" s="63"/>
      <c r="K29" s="7">
        <f t="shared" si="0"/>
        <v>0</v>
      </c>
    </row>
    <row r="30" spans="1:18" s="43" customFormat="1" ht="28.8" outlineLevel="1" x14ac:dyDescent="0.3">
      <c r="A30" s="71" t="s">
        <v>53</v>
      </c>
      <c r="B30" s="28" t="s">
        <v>54</v>
      </c>
      <c r="C30" s="64"/>
      <c r="D30" s="29" t="s">
        <v>42</v>
      </c>
      <c r="E30" s="65"/>
      <c r="F30" s="63">
        <v>32</v>
      </c>
      <c r="G30" s="30"/>
      <c r="H30" s="63"/>
      <c r="I30" s="30"/>
      <c r="J30" s="80">
        <f>$F30*I30</f>
        <v>0</v>
      </c>
      <c r="K30" s="7">
        <f t="shared" si="0"/>
        <v>0</v>
      </c>
    </row>
    <row r="31" spans="1:18" s="43" customFormat="1" ht="28.8" outlineLevel="1" x14ac:dyDescent="0.3">
      <c r="A31" s="71" t="s">
        <v>55</v>
      </c>
      <c r="B31" s="28" t="s">
        <v>56</v>
      </c>
      <c r="C31" s="64"/>
      <c r="D31" s="29" t="s">
        <v>42</v>
      </c>
      <c r="E31" s="65"/>
      <c r="F31" s="63">
        <v>32</v>
      </c>
      <c r="G31" s="30"/>
      <c r="H31" s="63"/>
      <c r="I31" s="30"/>
      <c r="J31" s="80">
        <f>$F31*I31</f>
        <v>0</v>
      </c>
      <c r="K31" s="7">
        <f t="shared" si="0"/>
        <v>0</v>
      </c>
    </row>
    <row r="32" spans="1:18" s="43" customFormat="1" ht="15.6" outlineLevel="2" x14ac:dyDescent="0.3">
      <c r="A32" s="72" t="s">
        <v>57</v>
      </c>
      <c r="B32" s="5" t="s">
        <v>58</v>
      </c>
      <c r="C32" s="73"/>
      <c r="D32" s="6" t="s">
        <v>59</v>
      </c>
      <c r="E32" s="79"/>
      <c r="F32" s="74">
        <v>1</v>
      </c>
      <c r="G32" s="23"/>
      <c r="H32" s="74">
        <f t="shared" si="1"/>
        <v>0</v>
      </c>
      <c r="I32" s="23"/>
      <c r="J32" s="63"/>
      <c r="K32" s="7">
        <f t="shared" si="0"/>
        <v>0</v>
      </c>
    </row>
    <row r="33" spans="1:11" s="43" customFormat="1" ht="15.6" outlineLevel="1" x14ac:dyDescent="0.3">
      <c r="A33" s="71" t="s">
        <v>60</v>
      </c>
      <c r="B33" s="85" t="s">
        <v>61</v>
      </c>
      <c r="C33" s="64"/>
      <c r="D33" s="29" t="s">
        <v>62</v>
      </c>
      <c r="E33" s="65"/>
      <c r="F33" s="63">
        <v>93.28</v>
      </c>
      <c r="G33" s="30"/>
      <c r="H33" s="63"/>
      <c r="I33" s="30"/>
      <c r="J33" s="63">
        <f>$F33*I33</f>
        <v>0</v>
      </c>
      <c r="K33" s="7">
        <f t="shared" si="0"/>
        <v>0</v>
      </c>
    </row>
    <row r="34" spans="1:11" s="43" customFormat="1" ht="15.6" outlineLevel="2" x14ac:dyDescent="0.3">
      <c r="A34" s="72" t="s">
        <v>63</v>
      </c>
      <c r="B34" s="5" t="s">
        <v>64</v>
      </c>
      <c r="C34" s="73"/>
      <c r="D34" s="6" t="s">
        <v>62</v>
      </c>
      <c r="E34" s="77">
        <v>0.18</v>
      </c>
      <c r="F34" s="74">
        <f>F33*E34</f>
        <v>16.790399999999998</v>
      </c>
      <c r="G34" s="23"/>
      <c r="H34" s="74">
        <f t="shared" si="1"/>
        <v>0</v>
      </c>
      <c r="I34" s="23"/>
      <c r="J34" s="63"/>
      <c r="K34" s="7">
        <f t="shared" si="0"/>
        <v>0</v>
      </c>
    </row>
    <row r="35" spans="1:11" s="43" customFormat="1" ht="15.6" outlineLevel="2" x14ac:dyDescent="0.3">
      <c r="A35" s="72" t="s">
        <v>65</v>
      </c>
      <c r="B35" s="5" t="s">
        <v>66</v>
      </c>
      <c r="C35" s="73"/>
      <c r="D35" s="6" t="s">
        <v>62</v>
      </c>
      <c r="E35" s="77">
        <v>0.05</v>
      </c>
      <c r="F35" s="74">
        <f>F33*E35</f>
        <v>4.6640000000000006</v>
      </c>
      <c r="G35" s="23"/>
      <c r="H35" s="74">
        <f t="shared" si="1"/>
        <v>0</v>
      </c>
      <c r="I35" s="23"/>
      <c r="J35" s="63"/>
      <c r="K35" s="7">
        <f t="shared" si="0"/>
        <v>0</v>
      </c>
    </row>
    <row r="36" spans="1:11" s="43" customFormat="1" ht="15.6" outlineLevel="2" x14ac:dyDescent="0.3">
      <c r="A36" s="71" t="s">
        <v>67</v>
      </c>
      <c r="B36" s="46" t="s">
        <v>68</v>
      </c>
      <c r="C36" s="64"/>
      <c r="D36" s="29" t="s">
        <v>62</v>
      </c>
      <c r="E36" s="65"/>
      <c r="F36" s="63">
        <f>F33</f>
        <v>93.28</v>
      </c>
      <c r="G36" s="30"/>
      <c r="H36" s="63">
        <f t="shared" si="1"/>
        <v>0</v>
      </c>
      <c r="I36" s="30"/>
      <c r="J36" s="63">
        <f>$F36*I36</f>
        <v>0</v>
      </c>
      <c r="K36" s="7">
        <f t="shared" si="0"/>
        <v>0</v>
      </c>
    </row>
    <row r="37" spans="1:11" s="43" customFormat="1" ht="15.6" outlineLevel="2" x14ac:dyDescent="0.3">
      <c r="A37" s="72" t="s">
        <v>69</v>
      </c>
      <c r="B37" s="5" t="s">
        <v>66</v>
      </c>
      <c r="C37" s="73"/>
      <c r="D37" s="6" t="s">
        <v>62</v>
      </c>
      <c r="E37" s="77">
        <v>0.05</v>
      </c>
      <c r="F37" s="74">
        <f>F33*E37</f>
        <v>4.6640000000000006</v>
      </c>
      <c r="G37" s="23"/>
      <c r="H37" s="74">
        <f t="shared" si="1"/>
        <v>0</v>
      </c>
      <c r="I37" s="23"/>
      <c r="J37" s="63"/>
      <c r="K37" s="7">
        <f t="shared" si="0"/>
        <v>0</v>
      </c>
    </row>
    <row r="38" spans="1:11" s="43" customFormat="1" ht="15.6" outlineLevel="2" x14ac:dyDescent="0.3">
      <c r="A38" s="72" t="s">
        <v>70</v>
      </c>
      <c r="B38" s="5" t="s">
        <v>71</v>
      </c>
      <c r="C38" s="73"/>
      <c r="D38" s="6" t="s">
        <v>62</v>
      </c>
      <c r="E38" s="77">
        <v>0.2</v>
      </c>
      <c r="F38" s="74">
        <f>F33*E38</f>
        <v>18.656000000000002</v>
      </c>
      <c r="G38" s="23"/>
      <c r="H38" s="74">
        <f t="shared" si="1"/>
        <v>0</v>
      </c>
      <c r="I38" s="23"/>
      <c r="J38" s="63"/>
      <c r="K38" s="7">
        <f t="shared" si="0"/>
        <v>0</v>
      </c>
    </row>
    <row r="39" spans="1:11" s="43" customFormat="1" ht="15.6" outlineLevel="1" x14ac:dyDescent="0.3">
      <c r="A39" s="71" t="s">
        <v>72</v>
      </c>
      <c r="B39" s="28" t="s">
        <v>73</v>
      </c>
      <c r="C39" s="64"/>
      <c r="D39" s="29" t="s">
        <v>74</v>
      </c>
      <c r="E39" s="65"/>
      <c r="F39" s="63">
        <v>0.91200000000000003</v>
      </c>
      <c r="G39" s="30"/>
      <c r="H39" s="63">
        <f t="shared" si="1"/>
        <v>0</v>
      </c>
      <c r="I39" s="30"/>
      <c r="J39" s="63">
        <f>$F39*I39</f>
        <v>0</v>
      </c>
      <c r="K39" s="7">
        <f t="shared" si="0"/>
        <v>0</v>
      </c>
    </row>
    <row r="40" spans="1:11" s="43" customFormat="1" ht="15.6" outlineLevel="2" x14ac:dyDescent="0.3">
      <c r="A40" s="72" t="s">
        <v>75</v>
      </c>
      <c r="B40" s="5" t="s">
        <v>76</v>
      </c>
      <c r="C40" s="73"/>
      <c r="D40" s="6" t="s">
        <v>74</v>
      </c>
      <c r="E40" s="77">
        <v>1.05</v>
      </c>
      <c r="F40" s="74">
        <f>F39*E40</f>
        <v>0.95760000000000012</v>
      </c>
      <c r="G40" s="23"/>
      <c r="H40" s="74">
        <f t="shared" si="1"/>
        <v>0</v>
      </c>
      <c r="I40" s="23"/>
      <c r="J40" s="63"/>
      <c r="K40" s="7">
        <f t="shared" si="0"/>
        <v>0</v>
      </c>
    </row>
    <row r="41" spans="1:11" s="26" customFormat="1" ht="31.2" x14ac:dyDescent="0.3">
      <c r="A41" s="31" t="s">
        <v>77</v>
      </c>
      <c r="B41" s="84" t="s">
        <v>78</v>
      </c>
      <c r="C41" s="62"/>
      <c r="D41" s="33" t="s">
        <v>22</v>
      </c>
      <c r="E41" s="41"/>
      <c r="F41" s="34">
        <f>F42+F48</f>
        <v>0.59000999999999992</v>
      </c>
      <c r="G41" s="24"/>
      <c r="H41" s="69">
        <f>SUM(H42:H61)</f>
        <v>0</v>
      </c>
      <c r="I41" s="24"/>
      <c r="J41" s="69">
        <f>SUM(J42:J61)</f>
        <v>0</v>
      </c>
      <c r="K41" s="25">
        <f>H41+J41</f>
        <v>0</v>
      </c>
    </row>
    <row r="42" spans="1:11" s="43" customFormat="1" ht="15.6" outlineLevel="1" x14ac:dyDescent="0.3">
      <c r="A42" s="71" t="s">
        <v>79</v>
      </c>
      <c r="B42" s="83" t="s">
        <v>80</v>
      </c>
      <c r="C42" s="64"/>
      <c r="D42" s="29" t="s">
        <v>22</v>
      </c>
      <c r="E42" s="65"/>
      <c r="F42" s="63">
        <f>SUM(F43:F47)/1.04</f>
        <v>0.30897999999999998</v>
      </c>
      <c r="G42" s="30"/>
      <c r="H42" s="63">
        <f t="shared" si="1"/>
        <v>0</v>
      </c>
      <c r="I42" s="30"/>
      <c r="J42" s="63">
        <f>$F42*I42</f>
        <v>0</v>
      </c>
      <c r="K42" s="7">
        <f t="shared" si="0"/>
        <v>0</v>
      </c>
    </row>
    <row r="43" spans="1:11" s="43" customFormat="1" ht="28.8" outlineLevel="2" x14ac:dyDescent="0.3">
      <c r="A43" s="72" t="s">
        <v>81</v>
      </c>
      <c r="B43" s="5" t="s">
        <v>82</v>
      </c>
      <c r="C43" s="73"/>
      <c r="D43" s="6" t="s">
        <v>22</v>
      </c>
      <c r="E43" s="77">
        <v>1.04</v>
      </c>
      <c r="F43" s="78">
        <f>195.21*E43/1000</f>
        <v>0.20301840000000002</v>
      </c>
      <c r="G43" s="23"/>
      <c r="H43" s="74">
        <f t="shared" si="1"/>
        <v>0</v>
      </c>
      <c r="I43" s="23"/>
      <c r="J43" s="63"/>
      <c r="K43" s="7">
        <f t="shared" si="0"/>
        <v>0</v>
      </c>
    </row>
    <row r="44" spans="1:11" s="43" customFormat="1" ht="28.8" outlineLevel="2" x14ac:dyDescent="0.3">
      <c r="A44" s="72" t="s">
        <v>83</v>
      </c>
      <c r="B44" s="5" t="s">
        <v>84</v>
      </c>
      <c r="C44" s="73"/>
      <c r="D44" s="6" t="s">
        <v>22</v>
      </c>
      <c r="E44" s="77">
        <v>1.04</v>
      </c>
      <c r="F44" s="78">
        <f>22.24*E44/1000</f>
        <v>2.31296E-2</v>
      </c>
      <c r="G44" s="23"/>
      <c r="H44" s="74">
        <f t="shared" si="1"/>
        <v>0</v>
      </c>
      <c r="I44" s="23"/>
      <c r="J44" s="63"/>
      <c r="K44" s="7">
        <f t="shared" si="0"/>
        <v>0</v>
      </c>
    </row>
    <row r="45" spans="1:11" s="43" customFormat="1" ht="28.8" outlineLevel="2" x14ac:dyDescent="0.3">
      <c r="A45" s="72" t="s">
        <v>85</v>
      </c>
      <c r="B45" s="5" t="s">
        <v>86</v>
      </c>
      <c r="C45" s="73"/>
      <c r="D45" s="6" t="s">
        <v>22</v>
      </c>
      <c r="E45" s="75">
        <v>1.04</v>
      </c>
      <c r="F45" s="74">
        <f>20.1*E45/1000</f>
        <v>2.0904000000000002E-2</v>
      </c>
      <c r="G45" s="23"/>
      <c r="H45" s="74">
        <f t="shared" si="1"/>
        <v>0</v>
      </c>
      <c r="I45" s="23"/>
      <c r="J45" s="63"/>
      <c r="K45" s="7">
        <f t="shared" si="0"/>
        <v>0</v>
      </c>
    </row>
    <row r="46" spans="1:11" s="43" customFormat="1" ht="28.8" outlineLevel="2" x14ac:dyDescent="0.3">
      <c r="A46" s="72" t="s">
        <v>87</v>
      </c>
      <c r="B46" s="5" t="s">
        <v>88</v>
      </c>
      <c r="C46" s="73"/>
      <c r="D46" s="6" t="s">
        <v>22</v>
      </c>
      <c r="E46" s="75">
        <v>1.04</v>
      </c>
      <c r="F46" s="81">
        <f>4.52*E46/1000</f>
        <v>4.7007999999999998E-3</v>
      </c>
      <c r="G46" s="23"/>
      <c r="H46" s="74">
        <f t="shared" si="1"/>
        <v>0</v>
      </c>
      <c r="I46" s="23"/>
      <c r="J46" s="63"/>
      <c r="K46" s="7">
        <f t="shared" si="0"/>
        <v>0</v>
      </c>
    </row>
    <row r="47" spans="1:11" s="43" customFormat="1" ht="28.8" outlineLevel="2" x14ac:dyDescent="0.3">
      <c r="A47" s="72" t="s">
        <v>89</v>
      </c>
      <c r="B47" s="5" t="s">
        <v>90</v>
      </c>
      <c r="C47" s="73"/>
      <c r="D47" s="6" t="s">
        <v>22</v>
      </c>
      <c r="E47" s="77">
        <v>1.04</v>
      </c>
      <c r="F47" s="74">
        <f>66.91*E47/1000</f>
        <v>6.9586399999999993E-2</v>
      </c>
      <c r="G47" s="23"/>
      <c r="H47" s="74">
        <f t="shared" si="1"/>
        <v>0</v>
      </c>
      <c r="I47" s="23"/>
      <c r="J47" s="63"/>
      <c r="K47" s="7">
        <f t="shared" si="0"/>
        <v>0</v>
      </c>
    </row>
    <row r="48" spans="1:11" s="43" customFormat="1" ht="15.6" outlineLevel="1" x14ac:dyDescent="0.3">
      <c r="A48" s="71" t="s">
        <v>91</v>
      </c>
      <c r="B48" s="83" t="s">
        <v>92</v>
      </c>
      <c r="C48" s="64"/>
      <c r="D48" s="29" t="s">
        <v>22</v>
      </c>
      <c r="E48" s="65"/>
      <c r="F48" s="63">
        <f>SUM(F49:F53)/1.04</f>
        <v>0.28103</v>
      </c>
      <c r="G48" s="30"/>
      <c r="H48" s="63"/>
      <c r="I48" s="30"/>
      <c r="J48" s="63">
        <f>$F48*I48</f>
        <v>0</v>
      </c>
      <c r="K48" s="7">
        <f t="shared" si="0"/>
        <v>0</v>
      </c>
    </row>
    <row r="49" spans="1:11" s="43" customFormat="1" ht="28.8" outlineLevel="2" x14ac:dyDescent="0.3">
      <c r="A49" s="72" t="s">
        <v>93</v>
      </c>
      <c r="B49" s="5" t="s">
        <v>82</v>
      </c>
      <c r="C49" s="73"/>
      <c r="D49" s="6" t="s">
        <v>22</v>
      </c>
      <c r="E49" s="77">
        <v>1.04</v>
      </c>
      <c r="F49" s="78">
        <f>175.38*E49/1000</f>
        <v>0.18239519999999998</v>
      </c>
      <c r="G49" s="23"/>
      <c r="H49" s="74">
        <f t="shared" si="1"/>
        <v>0</v>
      </c>
      <c r="I49" s="23"/>
      <c r="J49" s="63"/>
      <c r="K49" s="7">
        <f t="shared" si="0"/>
        <v>0</v>
      </c>
    </row>
    <row r="50" spans="1:11" s="43" customFormat="1" ht="28.8" outlineLevel="2" x14ac:dyDescent="0.3">
      <c r="A50" s="72" t="s">
        <v>94</v>
      </c>
      <c r="B50" s="5" t="s">
        <v>84</v>
      </c>
      <c r="C50" s="73"/>
      <c r="D50" s="6" t="s">
        <v>22</v>
      </c>
      <c r="E50" s="77">
        <v>1.04</v>
      </c>
      <c r="F50" s="78">
        <f>22.24*E50/1000</f>
        <v>2.31296E-2</v>
      </c>
      <c r="G50" s="23"/>
      <c r="H50" s="74">
        <f t="shared" si="1"/>
        <v>0</v>
      </c>
      <c r="I50" s="23"/>
      <c r="J50" s="63"/>
      <c r="K50" s="7">
        <f t="shared" si="0"/>
        <v>0</v>
      </c>
    </row>
    <row r="51" spans="1:11" s="43" customFormat="1" ht="28.8" outlineLevel="2" x14ac:dyDescent="0.3">
      <c r="A51" s="72" t="s">
        <v>95</v>
      </c>
      <c r="B51" s="5" t="s">
        <v>86</v>
      </c>
      <c r="C51" s="73"/>
      <c r="D51" s="6" t="s">
        <v>22</v>
      </c>
      <c r="E51" s="75">
        <v>1.04</v>
      </c>
      <c r="F51" s="74">
        <f>20.1*E51/1000</f>
        <v>2.0904000000000002E-2</v>
      </c>
      <c r="G51" s="23"/>
      <c r="H51" s="74">
        <f t="shared" si="1"/>
        <v>0</v>
      </c>
      <c r="I51" s="23"/>
      <c r="J51" s="63"/>
      <c r="K51" s="7">
        <f t="shared" si="0"/>
        <v>0</v>
      </c>
    </row>
    <row r="52" spans="1:11" s="43" customFormat="1" ht="28.8" outlineLevel="2" x14ac:dyDescent="0.3">
      <c r="A52" s="72" t="s">
        <v>96</v>
      </c>
      <c r="B52" s="5" t="s">
        <v>88</v>
      </c>
      <c r="C52" s="73"/>
      <c r="D52" s="6" t="s">
        <v>22</v>
      </c>
      <c r="E52" s="75">
        <v>1.04</v>
      </c>
      <c r="F52" s="81">
        <f>4.52*E52/1000</f>
        <v>4.7007999999999998E-3</v>
      </c>
      <c r="G52" s="23"/>
      <c r="H52" s="74">
        <f t="shared" si="1"/>
        <v>0</v>
      </c>
      <c r="I52" s="23"/>
      <c r="J52" s="63"/>
      <c r="K52" s="7">
        <f t="shared" si="0"/>
        <v>0</v>
      </c>
    </row>
    <row r="53" spans="1:11" s="43" customFormat="1" ht="28.8" outlineLevel="2" x14ac:dyDescent="0.3">
      <c r="A53" s="72" t="s">
        <v>97</v>
      </c>
      <c r="B53" s="5" t="s">
        <v>90</v>
      </c>
      <c r="C53" s="73"/>
      <c r="D53" s="6" t="s">
        <v>22</v>
      </c>
      <c r="E53" s="77">
        <v>1.04</v>
      </c>
      <c r="F53" s="74">
        <f>58.79*E53/1000</f>
        <v>6.1141600000000004E-2</v>
      </c>
      <c r="G53" s="23"/>
      <c r="H53" s="74">
        <f t="shared" si="1"/>
        <v>0</v>
      </c>
      <c r="I53" s="23"/>
      <c r="J53" s="63"/>
      <c r="K53" s="7">
        <f t="shared" si="0"/>
        <v>0</v>
      </c>
    </row>
    <row r="54" spans="1:11" s="43" customFormat="1" ht="15.6" outlineLevel="1" x14ac:dyDescent="0.3">
      <c r="A54" s="71" t="s">
        <v>98</v>
      </c>
      <c r="B54" s="28" t="s">
        <v>99</v>
      </c>
      <c r="C54" s="64"/>
      <c r="D54" s="29" t="s">
        <v>22</v>
      </c>
      <c r="E54" s="65"/>
      <c r="F54" s="63">
        <f>F42+F48</f>
        <v>0.59000999999999992</v>
      </c>
      <c r="G54" s="30"/>
      <c r="H54" s="63"/>
      <c r="I54" s="30"/>
      <c r="J54" s="63">
        <f>$F54*I54</f>
        <v>0</v>
      </c>
      <c r="K54" s="7">
        <f t="shared" si="0"/>
        <v>0</v>
      </c>
    </row>
    <row r="55" spans="1:11" s="43" customFormat="1" ht="15.6" outlineLevel="2" x14ac:dyDescent="0.3">
      <c r="A55" s="72" t="s">
        <v>100</v>
      </c>
      <c r="B55" s="5" t="s">
        <v>101</v>
      </c>
      <c r="C55" s="73"/>
      <c r="D55" s="6" t="s">
        <v>42</v>
      </c>
      <c r="E55" s="77"/>
      <c r="F55" s="74">
        <f>32*2</f>
        <v>64</v>
      </c>
      <c r="G55" s="23"/>
      <c r="H55" s="74">
        <f t="shared" si="1"/>
        <v>0</v>
      </c>
      <c r="I55" s="23"/>
      <c r="J55" s="63"/>
      <c r="K55" s="7">
        <f t="shared" si="0"/>
        <v>0</v>
      </c>
    </row>
    <row r="56" spans="1:11" s="43" customFormat="1" ht="15.6" outlineLevel="1" x14ac:dyDescent="0.3">
      <c r="A56" s="71" t="s">
        <v>102</v>
      </c>
      <c r="B56" s="28" t="s">
        <v>61</v>
      </c>
      <c r="C56" s="64"/>
      <c r="D56" s="29" t="s">
        <v>62</v>
      </c>
      <c r="E56" s="65"/>
      <c r="F56" s="63">
        <f>8.65+9.51</f>
        <v>18.16</v>
      </c>
      <c r="G56" s="30"/>
      <c r="H56" s="63"/>
      <c r="I56" s="30"/>
      <c r="J56" s="63">
        <f>$F56*I56</f>
        <v>0</v>
      </c>
      <c r="K56" s="7">
        <f t="shared" si="0"/>
        <v>0</v>
      </c>
    </row>
    <row r="57" spans="1:11" s="43" customFormat="1" ht="15.6" outlineLevel="2" x14ac:dyDescent="0.3">
      <c r="A57" s="72" t="s">
        <v>103</v>
      </c>
      <c r="B57" s="5" t="s">
        <v>64</v>
      </c>
      <c r="C57" s="73"/>
      <c r="D57" s="6" t="s">
        <v>62</v>
      </c>
      <c r="E57" s="77">
        <v>0.18</v>
      </c>
      <c r="F57" s="74">
        <f>F56*E57</f>
        <v>3.2687999999999997</v>
      </c>
      <c r="G57" s="23"/>
      <c r="H57" s="74">
        <f t="shared" ref="H57:H61" si="3">F57*G57</f>
        <v>0</v>
      </c>
      <c r="I57" s="23"/>
      <c r="J57" s="63"/>
      <c r="K57" s="7">
        <f t="shared" si="0"/>
        <v>0</v>
      </c>
    </row>
    <row r="58" spans="1:11" s="43" customFormat="1" ht="15.6" outlineLevel="2" x14ac:dyDescent="0.3">
      <c r="A58" s="72" t="s">
        <v>104</v>
      </c>
      <c r="B58" s="5" t="s">
        <v>66</v>
      </c>
      <c r="C58" s="73"/>
      <c r="D58" s="6" t="s">
        <v>62</v>
      </c>
      <c r="E58" s="77">
        <v>0.05</v>
      </c>
      <c r="F58" s="74">
        <f>F56*E58</f>
        <v>0.90800000000000003</v>
      </c>
      <c r="G58" s="23"/>
      <c r="H58" s="74">
        <f t="shared" si="3"/>
        <v>0</v>
      </c>
      <c r="I58" s="23"/>
      <c r="J58" s="63"/>
      <c r="K58" s="7">
        <f t="shared" si="0"/>
        <v>0</v>
      </c>
    </row>
    <row r="59" spans="1:11" s="43" customFormat="1" ht="15.6" outlineLevel="1" x14ac:dyDescent="0.3">
      <c r="A59" s="71" t="s">
        <v>105</v>
      </c>
      <c r="B59" s="28" t="s">
        <v>68</v>
      </c>
      <c r="C59" s="64"/>
      <c r="D59" s="29" t="s">
        <v>62</v>
      </c>
      <c r="E59" s="65"/>
      <c r="F59" s="63">
        <f>F56</f>
        <v>18.16</v>
      </c>
      <c r="G59" s="30"/>
      <c r="H59" s="63"/>
      <c r="I59" s="30"/>
      <c r="J59" s="63">
        <f>$F59*I59</f>
        <v>0</v>
      </c>
      <c r="K59" s="7">
        <f t="shared" si="0"/>
        <v>0</v>
      </c>
    </row>
    <row r="60" spans="1:11" s="43" customFormat="1" ht="15.6" outlineLevel="2" x14ac:dyDescent="0.3">
      <c r="A60" s="72" t="s">
        <v>106</v>
      </c>
      <c r="B60" s="5" t="s">
        <v>66</v>
      </c>
      <c r="C60" s="73"/>
      <c r="D60" s="6" t="s">
        <v>62</v>
      </c>
      <c r="E60" s="77">
        <v>0.05</v>
      </c>
      <c r="F60" s="74">
        <f>F56*E60</f>
        <v>0.90800000000000003</v>
      </c>
      <c r="G60" s="23"/>
      <c r="H60" s="74">
        <f t="shared" si="3"/>
        <v>0</v>
      </c>
      <c r="I60" s="23"/>
      <c r="J60" s="63"/>
      <c r="K60" s="7">
        <f t="shared" si="0"/>
        <v>0</v>
      </c>
    </row>
    <row r="61" spans="1:11" s="43" customFormat="1" ht="15.6" outlineLevel="2" x14ac:dyDescent="0.3">
      <c r="A61" s="72" t="s">
        <v>107</v>
      </c>
      <c r="B61" s="5" t="s">
        <v>108</v>
      </c>
      <c r="C61" s="73"/>
      <c r="D61" s="6" t="s">
        <v>62</v>
      </c>
      <c r="E61" s="77">
        <v>0.2</v>
      </c>
      <c r="F61" s="74">
        <f>F56*E61</f>
        <v>3.6320000000000001</v>
      </c>
      <c r="G61" s="23"/>
      <c r="H61" s="74">
        <f t="shared" si="3"/>
        <v>0</v>
      </c>
      <c r="I61" s="23"/>
      <c r="J61" s="63"/>
      <c r="K61" s="7">
        <f t="shared" si="0"/>
        <v>0</v>
      </c>
    </row>
    <row r="62" spans="1:11" s="26" customFormat="1" ht="31.2" x14ac:dyDescent="0.3">
      <c r="A62" s="31" t="s">
        <v>109</v>
      </c>
      <c r="B62" s="84" t="s">
        <v>110</v>
      </c>
      <c r="C62" s="62"/>
      <c r="D62" s="33" t="s">
        <v>22</v>
      </c>
      <c r="E62" s="41"/>
      <c r="F62" s="34">
        <f>F63</f>
        <v>1.7260000000000002</v>
      </c>
      <c r="G62" s="24"/>
      <c r="H62" s="69">
        <f>SUM(H63:H81)</f>
        <v>0</v>
      </c>
      <c r="I62" s="24"/>
      <c r="J62" s="69">
        <f>SUM(J63:J81)</f>
        <v>0</v>
      </c>
      <c r="K62" s="25">
        <f>H62+J62</f>
        <v>0</v>
      </c>
    </row>
    <row r="63" spans="1:11" s="43" customFormat="1" ht="28.8" outlineLevel="1" x14ac:dyDescent="0.3">
      <c r="A63" s="71" t="s">
        <v>111</v>
      </c>
      <c r="B63" s="83" t="s">
        <v>112</v>
      </c>
      <c r="C63" s="64"/>
      <c r="D63" s="29" t="s">
        <v>22</v>
      </c>
      <c r="E63" s="65"/>
      <c r="F63" s="80">
        <f>SUM(F64:F66)/1.04</f>
        <v>1.7260000000000002</v>
      </c>
      <c r="G63" s="30"/>
      <c r="H63" s="63"/>
      <c r="I63" s="30"/>
      <c r="J63" s="63">
        <f>$F63*I63</f>
        <v>0</v>
      </c>
      <c r="K63" s="7">
        <f t="shared" si="0"/>
        <v>0</v>
      </c>
    </row>
    <row r="64" spans="1:11" s="43" customFormat="1" ht="28.8" outlineLevel="2" x14ac:dyDescent="0.3">
      <c r="A64" s="72" t="s">
        <v>113</v>
      </c>
      <c r="B64" s="5" t="s">
        <v>114</v>
      </c>
      <c r="C64" s="73"/>
      <c r="D64" s="6" t="s">
        <v>22</v>
      </c>
      <c r="E64" s="77">
        <v>1.04</v>
      </c>
      <c r="F64" s="78">
        <f>1200*E64/1000</f>
        <v>1.248</v>
      </c>
      <c r="G64" s="23"/>
      <c r="H64" s="74">
        <f>F64*G64</f>
        <v>0</v>
      </c>
      <c r="I64" s="23"/>
      <c r="J64" s="63"/>
      <c r="K64" s="7">
        <f t="shared" si="0"/>
        <v>0</v>
      </c>
    </row>
    <row r="65" spans="1:11" s="43" customFormat="1" ht="28.8" outlineLevel="2" x14ac:dyDescent="0.3">
      <c r="A65" s="72" t="s">
        <v>115</v>
      </c>
      <c r="B65" s="5" t="s">
        <v>116</v>
      </c>
      <c r="C65" s="73"/>
      <c r="D65" s="6" t="s">
        <v>22</v>
      </c>
      <c r="E65" s="77">
        <v>1.04</v>
      </c>
      <c r="F65" s="74">
        <f>236*E65/1000</f>
        <v>0.24543999999999999</v>
      </c>
      <c r="G65" s="23"/>
      <c r="H65" s="74">
        <f t="shared" ref="H65:H81" si="4">F65*G65</f>
        <v>0</v>
      </c>
      <c r="I65" s="23"/>
      <c r="J65" s="63"/>
      <c r="K65" s="7">
        <f t="shared" si="0"/>
        <v>0</v>
      </c>
    </row>
    <row r="66" spans="1:11" s="43" customFormat="1" ht="28.8" outlineLevel="2" x14ac:dyDescent="0.3">
      <c r="A66" s="72" t="s">
        <v>117</v>
      </c>
      <c r="B66" s="5" t="s">
        <v>118</v>
      </c>
      <c r="C66" s="73"/>
      <c r="D66" s="6" t="s">
        <v>22</v>
      </c>
      <c r="E66" s="75">
        <v>1.04</v>
      </c>
      <c r="F66" s="74">
        <f>290*E66/1000</f>
        <v>0.30160000000000003</v>
      </c>
      <c r="G66" s="23"/>
      <c r="H66" s="74">
        <f t="shared" si="4"/>
        <v>0</v>
      </c>
      <c r="I66" s="23"/>
      <c r="J66" s="63"/>
      <c r="K66" s="7">
        <f t="shared" ref="K66:K81" si="5">H66+J66</f>
        <v>0</v>
      </c>
    </row>
    <row r="67" spans="1:11" s="43" customFormat="1" ht="15.6" outlineLevel="2" x14ac:dyDescent="0.3">
      <c r="A67" s="72" t="s">
        <v>119</v>
      </c>
      <c r="B67" s="5" t="s">
        <v>120</v>
      </c>
      <c r="C67" s="73"/>
      <c r="D67" s="6" t="s">
        <v>42</v>
      </c>
      <c r="E67" s="79"/>
      <c r="F67" s="74">
        <v>400</v>
      </c>
      <c r="G67" s="23"/>
      <c r="H67" s="74">
        <f t="shared" si="4"/>
        <v>0</v>
      </c>
      <c r="I67" s="23"/>
      <c r="J67" s="63"/>
      <c r="K67" s="7">
        <f t="shared" si="5"/>
        <v>0</v>
      </c>
    </row>
    <row r="68" spans="1:11" s="43" customFormat="1" ht="15.6" outlineLevel="1" x14ac:dyDescent="0.3">
      <c r="A68" s="71" t="s">
        <v>121</v>
      </c>
      <c r="B68" s="28" t="s">
        <v>122</v>
      </c>
      <c r="C68" s="64"/>
      <c r="D68" s="29" t="s">
        <v>62</v>
      </c>
      <c r="E68" s="65"/>
      <c r="F68" s="63">
        <v>254.68</v>
      </c>
      <c r="G68" s="30"/>
      <c r="H68" s="63"/>
      <c r="I68" s="30"/>
      <c r="J68" s="63">
        <f>$F68*I68</f>
        <v>0</v>
      </c>
      <c r="K68" s="7">
        <f t="shared" si="5"/>
        <v>0</v>
      </c>
    </row>
    <row r="69" spans="1:11" s="43" customFormat="1" ht="15.6" outlineLevel="2" x14ac:dyDescent="0.3">
      <c r="A69" s="72" t="s">
        <v>123</v>
      </c>
      <c r="B69" s="5" t="s">
        <v>64</v>
      </c>
      <c r="C69" s="73"/>
      <c r="D69" s="6" t="s">
        <v>62</v>
      </c>
      <c r="E69" s="77">
        <v>0.18</v>
      </c>
      <c r="F69" s="74">
        <f>F68*E69</f>
        <v>45.842399999999998</v>
      </c>
      <c r="G69" s="23"/>
      <c r="H69" s="74">
        <f>F69*G69</f>
        <v>0</v>
      </c>
      <c r="I69" s="23"/>
      <c r="J69" s="63"/>
      <c r="K69" s="7">
        <f t="shared" si="5"/>
        <v>0</v>
      </c>
    </row>
    <row r="70" spans="1:11" s="43" customFormat="1" ht="15.6" outlineLevel="2" x14ac:dyDescent="0.3">
      <c r="A70" s="72" t="s">
        <v>124</v>
      </c>
      <c r="B70" s="5" t="s">
        <v>66</v>
      </c>
      <c r="C70" s="73"/>
      <c r="D70" s="6" t="s">
        <v>62</v>
      </c>
      <c r="E70" s="77">
        <v>0.05</v>
      </c>
      <c r="F70" s="74">
        <f>F68*E70</f>
        <v>12.734000000000002</v>
      </c>
      <c r="G70" s="23"/>
      <c r="H70" s="74">
        <f>F70*G70</f>
        <v>0</v>
      </c>
      <c r="I70" s="23"/>
      <c r="J70" s="63"/>
      <c r="K70" s="7">
        <f t="shared" si="5"/>
        <v>0</v>
      </c>
    </row>
    <row r="71" spans="1:11" s="43" customFormat="1" ht="15.6" outlineLevel="1" x14ac:dyDescent="0.3">
      <c r="A71" s="71" t="s">
        <v>125</v>
      </c>
      <c r="B71" s="28" t="s">
        <v>68</v>
      </c>
      <c r="C71" s="64"/>
      <c r="D71" s="29" t="s">
        <v>62</v>
      </c>
      <c r="E71" s="65"/>
      <c r="F71" s="63">
        <f>F68</f>
        <v>254.68</v>
      </c>
      <c r="G71" s="30"/>
      <c r="H71" s="63"/>
      <c r="I71" s="30"/>
      <c r="J71" s="63">
        <f>$F71*I71</f>
        <v>0</v>
      </c>
      <c r="K71" s="7">
        <f t="shared" si="5"/>
        <v>0</v>
      </c>
    </row>
    <row r="72" spans="1:11" s="43" customFormat="1" ht="15.6" outlineLevel="2" x14ac:dyDescent="0.3">
      <c r="A72" s="72" t="s">
        <v>126</v>
      </c>
      <c r="B72" s="5" t="s">
        <v>108</v>
      </c>
      <c r="C72" s="73"/>
      <c r="D72" s="6" t="s">
        <v>127</v>
      </c>
      <c r="E72" s="77">
        <v>0.25</v>
      </c>
      <c r="F72" s="74">
        <f>F71*E72</f>
        <v>63.67</v>
      </c>
      <c r="G72" s="23"/>
      <c r="H72" s="74">
        <f>F72*G72</f>
        <v>0</v>
      </c>
      <c r="I72" s="23"/>
      <c r="J72" s="63"/>
      <c r="K72" s="7">
        <f t="shared" si="5"/>
        <v>0</v>
      </c>
    </row>
    <row r="73" spans="1:11" s="43" customFormat="1" ht="15.6" outlineLevel="2" x14ac:dyDescent="0.3">
      <c r="A73" s="72" t="s">
        <v>128</v>
      </c>
      <c r="B73" s="5" t="s">
        <v>129</v>
      </c>
      <c r="C73" s="73"/>
      <c r="D73" s="6" t="s">
        <v>62</v>
      </c>
      <c r="E73" s="77">
        <v>0.2</v>
      </c>
      <c r="F73" s="74">
        <f>F68*E73</f>
        <v>50.936000000000007</v>
      </c>
      <c r="G73" s="23"/>
      <c r="H73" s="74">
        <f t="shared" ref="H73" si="6">F73*G73</f>
        <v>0</v>
      </c>
      <c r="I73" s="23"/>
      <c r="J73" s="63"/>
      <c r="K73" s="7">
        <f t="shared" si="5"/>
        <v>0</v>
      </c>
    </row>
    <row r="74" spans="1:11" s="43" customFormat="1" ht="15.6" outlineLevel="1" x14ac:dyDescent="0.3">
      <c r="A74" s="71" t="s">
        <v>130</v>
      </c>
      <c r="B74" s="28" t="s">
        <v>131</v>
      </c>
      <c r="C74" s="64"/>
      <c r="D74" s="29" t="s">
        <v>62</v>
      </c>
      <c r="E74" s="65"/>
      <c r="F74" s="63">
        <f>F75</f>
        <v>102.5</v>
      </c>
      <c r="G74" s="30"/>
      <c r="H74" s="63"/>
      <c r="I74" s="30"/>
      <c r="J74" s="63">
        <f>$F74*I74</f>
        <v>0</v>
      </c>
      <c r="K74" s="7">
        <f t="shared" si="5"/>
        <v>0</v>
      </c>
    </row>
    <row r="75" spans="1:11" s="43" customFormat="1" ht="15.6" outlineLevel="2" x14ac:dyDescent="0.3">
      <c r="A75" s="72" t="s">
        <v>132</v>
      </c>
      <c r="B75" s="5" t="s">
        <v>133</v>
      </c>
      <c r="C75" s="73"/>
      <c r="D75" s="6" t="s">
        <v>62</v>
      </c>
      <c r="E75" s="77">
        <v>1.25</v>
      </c>
      <c r="F75" s="74">
        <f>E75*82</f>
        <v>102.5</v>
      </c>
      <c r="G75" s="23"/>
      <c r="H75" s="74">
        <f t="shared" si="4"/>
        <v>0</v>
      </c>
      <c r="I75" s="23"/>
      <c r="J75" s="63"/>
      <c r="K75" s="7">
        <f t="shared" si="5"/>
        <v>0</v>
      </c>
    </row>
    <row r="76" spans="1:11" s="43" customFormat="1" ht="15.6" outlineLevel="2" x14ac:dyDescent="0.3">
      <c r="A76" s="72" t="s">
        <v>134</v>
      </c>
      <c r="B76" s="5" t="s">
        <v>135</v>
      </c>
      <c r="C76" s="73"/>
      <c r="D76" s="6" t="s">
        <v>42</v>
      </c>
      <c r="E76" s="77"/>
      <c r="F76" s="74">
        <v>722</v>
      </c>
      <c r="G76" s="23"/>
      <c r="H76" s="74"/>
      <c r="I76" s="23"/>
      <c r="J76" s="63"/>
      <c r="K76" s="7">
        <f t="shared" si="5"/>
        <v>0</v>
      </c>
    </row>
    <row r="77" spans="1:11" s="43" customFormat="1" ht="15.6" outlineLevel="2" x14ac:dyDescent="0.3">
      <c r="A77" s="72" t="s">
        <v>136</v>
      </c>
      <c r="B77" s="5" t="s">
        <v>137</v>
      </c>
      <c r="C77" s="73"/>
      <c r="D77" s="6" t="s">
        <v>22</v>
      </c>
      <c r="E77" s="77">
        <v>1.04</v>
      </c>
      <c r="F77" s="74">
        <f>158*E77/1000</f>
        <v>0.16431999999999999</v>
      </c>
      <c r="G77" s="23"/>
      <c r="H77" s="74">
        <f t="shared" si="4"/>
        <v>0</v>
      </c>
      <c r="I77" s="23"/>
      <c r="J77" s="63"/>
      <c r="K77" s="7">
        <f t="shared" si="5"/>
        <v>0</v>
      </c>
    </row>
    <row r="78" spans="1:11" s="43" customFormat="1" ht="28.8" outlineLevel="1" x14ac:dyDescent="0.3">
      <c r="A78" s="71" t="s">
        <v>138</v>
      </c>
      <c r="B78" s="28" t="s">
        <v>139</v>
      </c>
      <c r="C78" s="64"/>
      <c r="D78" s="29" t="s">
        <v>74</v>
      </c>
      <c r="E78" s="65"/>
      <c r="F78" s="63">
        <f>F81</f>
        <v>4.13</v>
      </c>
      <c r="G78" s="30"/>
      <c r="H78" s="63"/>
      <c r="I78" s="30"/>
      <c r="J78" s="63">
        <f>$F78*I78</f>
        <v>0</v>
      </c>
      <c r="K78" s="7">
        <f t="shared" si="5"/>
        <v>0</v>
      </c>
    </row>
    <row r="79" spans="1:11" s="43" customFormat="1" ht="15.6" outlineLevel="2" x14ac:dyDescent="0.3">
      <c r="A79" s="72" t="s">
        <v>140</v>
      </c>
      <c r="B79" s="5" t="s">
        <v>141</v>
      </c>
      <c r="C79" s="73"/>
      <c r="D79" s="6" t="s">
        <v>22</v>
      </c>
      <c r="E79" s="77">
        <v>1.04</v>
      </c>
      <c r="F79" s="78">
        <f>493.6/1000*E79</f>
        <v>0.51334400000000002</v>
      </c>
      <c r="G79" s="23"/>
      <c r="H79" s="74">
        <f t="shared" si="4"/>
        <v>0</v>
      </c>
      <c r="I79" s="23"/>
      <c r="J79" s="63"/>
      <c r="K79" s="7">
        <f t="shared" si="5"/>
        <v>0</v>
      </c>
    </row>
    <row r="80" spans="1:11" s="43" customFormat="1" ht="15.6" outlineLevel="2" x14ac:dyDescent="0.3">
      <c r="A80" s="72" t="s">
        <v>142</v>
      </c>
      <c r="B80" s="5" t="s">
        <v>37</v>
      </c>
      <c r="C80" s="73"/>
      <c r="D80" s="6" t="s">
        <v>22</v>
      </c>
      <c r="E80" s="77">
        <v>1.04</v>
      </c>
      <c r="F80" s="78">
        <f>202.8*E80/1000</f>
        <v>0.21091200000000002</v>
      </c>
      <c r="G80" s="23"/>
      <c r="H80" s="74">
        <f t="shared" si="4"/>
        <v>0</v>
      </c>
      <c r="I80" s="23"/>
      <c r="J80" s="63"/>
      <c r="K80" s="7">
        <f t="shared" si="5"/>
        <v>0</v>
      </c>
    </row>
    <row r="81" spans="1:15" s="43" customFormat="1" ht="15.6" outlineLevel="2" x14ac:dyDescent="0.3">
      <c r="A81" s="72" t="s">
        <v>143</v>
      </c>
      <c r="B81" s="5" t="s">
        <v>76</v>
      </c>
      <c r="C81" s="73"/>
      <c r="D81" s="6" t="s">
        <v>74</v>
      </c>
      <c r="E81" s="77"/>
      <c r="F81" s="74">
        <v>4.13</v>
      </c>
      <c r="G81" s="23"/>
      <c r="H81" s="74">
        <f t="shared" si="4"/>
        <v>0</v>
      </c>
      <c r="I81" s="23"/>
      <c r="J81" s="63"/>
      <c r="K81" s="7">
        <f t="shared" si="5"/>
        <v>0</v>
      </c>
    </row>
    <row r="82" spans="1:15" s="26" customFormat="1" ht="46.8" x14ac:dyDescent="0.3">
      <c r="A82" s="31" t="s">
        <v>144</v>
      </c>
      <c r="B82" s="84" t="s">
        <v>145</v>
      </c>
      <c r="C82" s="62"/>
      <c r="D82" s="33" t="s">
        <v>22</v>
      </c>
      <c r="E82" s="41"/>
      <c r="F82" s="34">
        <f>F83+F87+F90</f>
        <v>3.0068208955223876</v>
      </c>
      <c r="G82" s="24"/>
      <c r="H82" s="69">
        <f>SUM(H83:H101)</f>
        <v>0</v>
      </c>
      <c r="I82" s="24"/>
      <c r="J82" s="69">
        <f>SUM(J83:J101)</f>
        <v>0</v>
      </c>
      <c r="K82" s="25">
        <f>H82+J82</f>
        <v>0</v>
      </c>
      <c r="M82" s="26" t="s">
        <v>23</v>
      </c>
      <c r="N82" s="26" t="s">
        <v>24</v>
      </c>
      <c r="O82" s="26" t="s">
        <v>25</v>
      </c>
    </row>
    <row r="83" spans="1:15" s="43" customFormat="1" ht="15.6" outlineLevel="1" x14ac:dyDescent="0.3">
      <c r="A83" s="71" t="s">
        <v>146</v>
      </c>
      <c r="B83" s="83" t="s">
        <v>147</v>
      </c>
      <c r="C83" s="64"/>
      <c r="D83" s="29" t="s">
        <v>22</v>
      </c>
      <c r="E83" s="65"/>
      <c r="F83" s="63">
        <f>SUM(F84:F86)/1.04</f>
        <v>1.9358208955223879</v>
      </c>
      <c r="G83" s="30"/>
      <c r="H83" s="63"/>
      <c r="I83" s="30"/>
      <c r="J83" s="63">
        <f t="shared" ref="J83:J95" si="7">$F83*I83</f>
        <v>0</v>
      </c>
      <c r="K83" s="7">
        <f t="shared" ref="K83:K101" si="8">H83+J83</f>
        <v>0</v>
      </c>
    </row>
    <row r="84" spans="1:15" s="43" customFormat="1" ht="28.8" outlineLevel="2" x14ac:dyDescent="0.3">
      <c r="A84" s="72" t="s">
        <v>148</v>
      </c>
      <c r="B84" s="5" t="s">
        <v>149</v>
      </c>
      <c r="C84" s="73"/>
      <c r="D84" s="6" t="s">
        <v>22</v>
      </c>
      <c r="E84" s="77">
        <v>1.04</v>
      </c>
      <c r="F84" s="78">
        <f>0.26*E84</f>
        <v>0.27040000000000003</v>
      </c>
      <c r="G84" s="23"/>
      <c r="H84" s="74">
        <f>F84*G84</f>
        <v>0</v>
      </c>
      <c r="I84" s="23"/>
      <c r="J84" s="63"/>
      <c r="K84" s="7">
        <f t="shared" si="8"/>
        <v>0</v>
      </c>
      <c r="M84" s="43">
        <f>0.14*2+0.08*2</f>
        <v>0.44000000000000006</v>
      </c>
      <c r="N84" s="43">
        <f>4.65*98</f>
        <v>455.70000000000005</v>
      </c>
      <c r="O84" s="43">
        <f>M84*N84</f>
        <v>200.50800000000004</v>
      </c>
    </row>
    <row r="85" spans="1:15" s="43" customFormat="1" ht="28.8" outlineLevel="2" x14ac:dyDescent="0.3">
      <c r="A85" s="72" t="s">
        <v>150</v>
      </c>
      <c r="B85" s="5" t="s">
        <v>151</v>
      </c>
      <c r="C85" s="73"/>
      <c r="D85" s="6" t="s">
        <v>22</v>
      </c>
      <c r="E85" s="77">
        <v>1.04</v>
      </c>
      <c r="F85" s="74">
        <f>1.12*E85</f>
        <v>1.1648000000000001</v>
      </c>
      <c r="G85" s="23"/>
      <c r="H85" s="74">
        <f t="shared" ref="H85:H97" si="9">F85*G85</f>
        <v>0</v>
      </c>
      <c r="I85" s="23"/>
      <c r="J85" s="63"/>
      <c r="K85" s="7">
        <f t="shared" si="8"/>
        <v>0</v>
      </c>
      <c r="M85" s="43">
        <f>0.1*4</f>
        <v>0.4</v>
      </c>
      <c r="N85" s="43">
        <v>590</v>
      </c>
      <c r="O85" s="43">
        <f>M85*N85</f>
        <v>236</v>
      </c>
    </row>
    <row r="86" spans="1:15" s="43" customFormat="1" ht="43.2" outlineLevel="2" x14ac:dyDescent="0.3">
      <c r="A86" s="72" t="s">
        <v>152</v>
      </c>
      <c r="B86" s="5" t="s">
        <v>153</v>
      </c>
      <c r="C86" s="73"/>
      <c r="D86" s="6" t="s">
        <v>22</v>
      </c>
      <c r="E86" s="77">
        <v>1.04</v>
      </c>
      <c r="F86" s="78">
        <f>((0.7/16.75)*13.3)*E86</f>
        <v>0.57805373134328353</v>
      </c>
      <c r="G86" s="23"/>
      <c r="H86" s="74">
        <f t="shared" si="9"/>
        <v>0</v>
      </c>
      <c r="I86" s="23"/>
      <c r="J86" s="63"/>
      <c r="K86" s="7">
        <f t="shared" si="8"/>
        <v>0</v>
      </c>
      <c r="M86" s="43">
        <f>0.09*4</f>
        <v>0.36</v>
      </c>
      <c r="N86" s="43">
        <v>510</v>
      </c>
      <c r="O86" s="43">
        <f>M86*N86</f>
        <v>183.6</v>
      </c>
    </row>
    <row r="87" spans="1:15" s="43" customFormat="1" ht="15.6" outlineLevel="1" x14ac:dyDescent="0.3">
      <c r="A87" s="71" t="s">
        <v>154</v>
      </c>
      <c r="B87" s="46" t="s">
        <v>155</v>
      </c>
      <c r="C87" s="64" t="s">
        <v>156</v>
      </c>
      <c r="D87" s="29" t="s">
        <v>22</v>
      </c>
      <c r="E87" s="65"/>
      <c r="F87" s="63">
        <f>SUM(F88:F89)/1.04</f>
        <v>0.96999999999999986</v>
      </c>
      <c r="G87" s="30"/>
      <c r="H87" s="63">
        <f t="shared" si="9"/>
        <v>0</v>
      </c>
      <c r="I87" s="30"/>
      <c r="J87" s="63">
        <f t="shared" ref="J87" si="10">$F87*I87</f>
        <v>0</v>
      </c>
      <c r="K87" s="7">
        <f t="shared" si="8"/>
        <v>0</v>
      </c>
    </row>
    <row r="88" spans="1:15" s="43" customFormat="1" ht="28.8" outlineLevel="2" x14ac:dyDescent="0.3">
      <c r="A88" s="72" t="s">
        <v>157</v>
      </c>
      <c r="B88" s="5" t="s">
        <v>149</v>
      </c>
      <c r="C88" s="73"/>
      <c r="D88" s="6" t="s">
        <v>22</v>
      </c>
      <c r="E88" s="77">
        <v>1.04</v>
      </c>
      <c r="F88" s="74">
        <f>0.6*E88</f>
        <v>0.624</v>
      </c>
      <c r="G88" s="23"/>
      <c r="H88" s="74">
        <f t="shared" si="9"/>
        <v>0</v>
      </c>
      <c r="I88" s="23"/>
      <c r="J88" s="63"/>
      <c r="K88" s="7">
        <f t="shared" si="8"/>
        <v>0</v>
      </c>
    </row>
    <row r="89" spans="1:15" s="43" customFormat="1" ht="28.8" outlineLevel="2" x14ac:dyDescent="0.3">
      <c r="A89" s="72" t="s">
        <v>158</v>
      </c>
      <c r="B89" s="5" t="s">
        <v>159</v>
      </c>
      <c r="C89" s="73"/>
      <c r="D89" s="6" t="s">
        <v>22</v>
      </c>
      <c r="E89" s="77">
        <v>1.04</v>
      </c>
      <c r="F89" s="74">
        <f>0.37*E89</f>
        <v>0.38480000000000003</v>
      </c>
      <c r="G89" s="23"/>
      <c r="H89" s="74">
        <f t="shared" si="9"/>
        <v>0</v>
      </c>
      <c r="I89" s="23"/>
      <c r="J89" s="63"/>
      <c r="K89" s="7">
        <f t="shared" si="8"/>
        <v>0</v>
      </c>
    </row>
    <row r="90" spans="1:15" s="43" customFormat="1" ht="15.6" outlineLevel="1" x14ac:dyDescent="0.3">
      <c r="A90" s="71" t="s">
        <v>160</v>
      </c>
      <c r="B90" s="28" t="s">
        <v>161</v>
      </c>
      <c r="C90" s="64"/>
      <c r="D90" s="29" t="s">
        <v>22</v>
      </c>
      <c r="E90" s="65"/>
      <c r="F90" s="63">
        <f>SUM(F91:F94)/1.04</f>
        <v>0.10099999999999999</v>
      </c>
      <c r="G90" s="30"/>
      <c r="H90" s="63">
        <f t="shared" si="9"/>
        <v>0</v>
      </c>
      <c r="I90" s="30"/>
      <c r="J90" s="63">
        <f t="shared" ref="J90" si="11">$F90*I90</f>
        <v>0</v>
      </c>
      <c r="K90" s="7">
        <f t="shared" si="8"/>
        <v>0</v>
      </c>
    </row>
    <row r="91" spans="1:15" s="43" customFormat="1" ht="28.8" outlineLevel="2" x14ac:dyDescent="0.3">
      <c r="A91" s="72" t="s">
        <v>162</v>
      </c>
      <c r="B91" s="5" t="s">
        <v>163</v>
      </c>
      <c r="C91" s="73"/>
      <c r="D91" s="6" t="s">
        <v>22</v>
      </c>
      <c r="E91" s="77">
        <v>1.04</v>
      </c>
      <c r="F91" s="74">
        <f>0.06*E91</f>
        <v>6.2399999999999997E-2</v>
      </c>
      <c r="G91" s="23"/>
      <c r="H91" s="74">
        <f t="shared" si="9"/>
        <v>0</v>
      </c>
      <c r="I91" s="23"/>
      <c r="J91" s="63"/>
      <c r="K91" s="7">
        <f t="shared" si="8"/>
        <v>0</v>
      </c>
      <c r="M91" s="43">
        <f>0.12*4</f>
        <v>0.48</v>
      </c>
      <c r="N91" s="43">
        <f>0.52*408</f>
        <v>212.16</v>
      </c>
      <c r="O91" s="43">
        <f>M91*N91</f>
        <v>101.8368</v>
      </c>
    </row>
    <row r="92" spans="1:15" s="43" customFormat="1" ht="28.8" outlineLevel="2" x14ac:dyDescent="0.3">
      <c r="A92" s="72" t="s">
        <v>164</v>
      </c>
      <c r="B92" s="5" t="s">
        <v>165</v>
      </c>
      <c r="C92" s="73"/>
      <c r="D92" s="6" t="s">
        <v>22</v>
      </c>
      <c r="E92" s="77">
        <v>1.04</v>
      </c>
      <c r="F92" s="74">
        <f>0.03*E92</f>
        <v>3.1199999999999999E-2</v>
      </c>
      <c r="G92" s="23"/>
      <c r="H92" s="74">
        <f t="shared" si="9"/>
        <v>0</v>
      </c>
      <c r="I92" s="23"/>
      <c r="J92" s="63"/>
      <c r="K92" s="7">
        <f t="shared" si="8"/>
        <v>0</v>
      </c>
    </row>
    <row r="93" spans="1:15" s="43" customFormat="1" ht="28.8" outlineLevel="2" x14ac:dyDescent="0.3">
      <c r="A93" s="72" t="s">
        <v>166</v>
      </c>
      <c r="B93" s="5" t="s">
        <v>167</v>
      </c>
      <c r="C93" s="73"/>
      <c r="D93" s="6" t="s">
        <v>22</v>
      </c>
      <c r="E93" s="77">
        <v>1.04</v>
      </c>
      <c r="F93" s="82">
        <f>0.001*E93</f>
        <v>1.0400000000000001E-3</v>
      </c>
      <c r="G93" s="23"/>
      <c r="H93" s="74"/>
      <c r="I93" s="23"/>
      <c r="J93" s="63"/>
      <c r="K93" s="7">
        <f t="shared" si="8"/>
        <v>0</v>
      </c>
    </row>
    <row r="94" spans="1:15" s="43" customFormat="1" ht="28.8" outlineLevel="2" x14ac:dyDescent="0.3">
      <c r="A94" s="72" t="s">
        <v>168</v>
      </c>
      <c r="B94" s="5" t="s">
        <v>169</v>
      </c>
      <c r="C94" s="73"/>
      <c r="D94" s="6" t="s">
        <v>22</v>
      </c>
      <c r="E94" s="75">
        <v>1.04</v>
      </c>
      <c r="F94" s="74">
        <f>0.01*E94</f>
        <v>1.0400000000000001E-2</v>
      </c>
      <c r="G94" s="23"/>
      <c r="H94" s="74">
        <f t="shared" si="9"/>
        <v>0</v>
      </c>
      <c r="I94" s="23"/>
      <c r="J94" s="63"/>
      <c r="K94" s="7">
        <f t="shared" si="8"/>
        <v>0</v>
      </c>
    </row>
    <row r="95" spans="1:15" s="43" customFormat="1" ht="15.6" outlineLevel="1" x14ac:dyDescent="0.3">
      <c r="A95" s="71" t="s">
        <v>170</v>
      </c>
      <c r="B95" s="83" t="s">
        <v>61</v>
      </c>
      <c r="C95" s="64"/>
      <c r="D95" s="29" t="s">
        <v>62</v>
      </c>
      <c r="E95" s="65"/>
      <c r="F95" s="63">
        <f>12.74+0.21+65.4+2.6+56.2+51+0.3</f>
        <v>188.45000000000002</v>
      </c>
      <c r="G95" s="30"/>
      <c r="H95" s="63"/>
      <c r="I95" s="30"/>
      <c r="J95" s="63">
        <f t="shared" si="7"/>
        <v>0</v>
      </c>
      <c r="K95" s="7">
        <f t="shared" si="8"/>
        <v>0</v>
      </c>
    </row>
    <row r="96" spans="1:15" s="43" customFormat="1" ht="15.6" outlineLevel="2" x14ac:dyDescent="0.3">
      <c r="A96" s="72" t="s">
        <v>171</v>
      </c>
      <c r="B96" s="5" t="s">
        <v>64</v>
      </c>
      <c r="C96" s="73"/>
      <c r="D96" s="6" t="s">
        <v>127</v>
      </c>
      <c r="E96" s="77">
        <v>0.18</v>
      </c>
      <c r="F96" s="74">
        <f>F95*E96</f>
        <v>33.920999999999999</v>
      </c>
      <c r="G96" s="23"/>
      <c r="H96" s="74">
        <f t="shared" si="9"/>
        <v>0</v>
      </c>
      <c r="I96" s="23"/>
      <c r="J96" s="63"/>
      <c r="K96" s="7">
        <f t="shared" si="8"/>
        <v>0</v>
      </c>
      <c r="O96" s="43">
        <f>SUM(O84:O91)</f>
        <v>721.9448000000001</v>
      </c>
    </row>
    <row r="97" spans="1:15" s="43" customFormat="1" ht="15.6" outlineLevel="2" x14ac:dyDescent="0.3">
      <c r="A97" s="72" t="s">
        <v>172</v>
      </c>
      <c r="B97" s="5" t="s">
        <v>66</v>
      </c>
      <c r="C97" s="73"/>
      <c r="D97" s="6" t="s">
        <v>59</v>
      </c>
      <c r="E97" s="77">
        <v>0.05</v>
      </c>
      <c r="F97" s="74">
        <f>F95*E97</f>
        <v>9.4225000000000012</v>
      </c>
      <c r="G97" s="23"/>
      <c r="H97" s="74">
        <f t="shared" si="9"/>
        <v>0</v>
      </c>
      <c r="I97" s="23"/>
      <c r="J97" s="63"/>
      <c r="K97" s="7">
        <f t="shared" si="8"/>
        <v>0</v>
      </c>
    </row>
    <row r="98" spans="1:15" s="43" customFormat="1" ht="15.6" outlineLevel="1" x14ac:dyDescent="0.3">
      <c r="A98" s="71" t="s">
        <v>173</v>
      </c>
      <c r="B98" s="83" t="s">
        <v>68</v>
      </c>
      <c r="C98" s="64"/>
      <c r="D98" s="29" t="s">
        <v>62</v>
      </c>
      <c r="E98" s="65"/>
      <c r="F98" s="63">
        <f>F95</f>
        <v>188.45000000000002</v>
      </c>
      <c r="G98" s="30"/>
      <c r="H98" s="63"/>
      <c r="I98" s="30"/>
      <c r="J98" s="63">
        <f>$F98*I98</f>
        <v>0</v>
      </c>
      <c r="K98" s="7">
        <f t="shared" si="8"/>
        <v>0</v>
      </c>
    </row>
    <row r="99" spans="1:15" s="43" customFormat="1" ht="15.6" outlineLevel="2" x14ac:dyDescent="0.3">
      <c r="A99" s="72" t="s">
        <v>174</v>
      </c>
      <c r="B99" s="5" t="s">
        <v>108</v>
      </c>
      <c r="C99" s="73"/>
      <c r="D99" s="6" t="s">
        <v>127</v>
      </c>
      <c r="E99" s="77">
        <v>0.25</v>
      </c>
      <c r="F99" s="74">
        <f>F98*E99</f>
        <v>47.112500000000004</v>
      </c>
      <c r="G99" s="23"/>
      <c r="H99" s="74">
        <f>F99*G99</f>
        <v>0</v>
      </c>
      <c r="I99" s="23"/>
      <c r="J99" s="63"/>
      <c r="K99" s="7">
        <f t="shared" si="8"/>
        <v>0</v>
      </c>
    </row>
    <row r="100" spans="1:15" s="43" customFormat="1" ht="15.6" outlineLevel="2" x14ac:dyDescent="0.3">
      <c r="A100" s="72" t="s">
        <v>175</v>
      </c>
      <c r="B100" s="5" t="s">
        <v>129</v>
      </c>
      <c r="C100" s="73"/>
      <c r="D100" s="6" t="s">
        <v>59</v>
      </c>
      <c r="E100" s="77">
        <v>0.05</v>
      </c>
      <c r="F100" s="74">
        <f>F98*E100</f>
        <v>9.4225000000000012</v>
      </c>
      <c r="G100" s="23"/>
      <c r="H100" s="74">
        <f>F100*G100</f>
        <v>0</v>
      </c>
      <c r="I100" s="23"/>
      <c r="J100" s="63"/>
      <c r="K100" s="7">
        <f t="shared" si="8"/>
        <v>0</v>
      </c>
    </row>
    <row r="101" spans="1:15" s="43" customFormat="1" ht="28.8" outlineLevel="1" x14ac:dyDescent="0.3">
      <c r="A101" s="71" t="s">
        <v>176</v>
      </c>
      <c r="B101" s="46" t="s">
        <v>177</v>
      </c>
      <c r="C101" s="64"/>
      <c r="D101" s="29" t="s">
        <v>62</v>
      </c>
      <c r="E101" s="65"/>
      <c r="F101" s="63"/>
      <c r="G101" s="30"/>
      <c r="H101" s="63"/>
      <c r="I101" s="30"/>
      <c r="J101" s="63">
        <f>$F101*I101</f>
        <v>0</v>
      </c>
      <c r="K101" s="7">
        <f t="shared" si="8"/>
        <v>0</v>
      </c>
    </row>
    <row r="102" spans="1:15" s="26" customFormat="1" ht="46.8" x14ac:dyDescent="0.3">
      <c r="A102" s="31" t="s">
        <v>178</v>
      </c>
      <c r="B102" s="32" t="s">
        <v>179</v>
      </c>
      <c r="C102" s="62"/>
      <c r="D102" s="33" t="s">
        <v>22</v>
      </c>
      <c r="E102" s="41"/>
      <c r="F102" s="34">
        <f>F103</f>
        <v>8.3393900000000016</v>
      </c>
      <c r="G102" s="24"/>
      <c r="H102" s="69">
        <f>SUM(H103:H127)</f>
        <v>0</v>
      </c>
      <c r="I102" s="24"/>
      <c r="J102" s="69">
        <f>SUM(J103:J127)</f>
        <v>0</v>
      </c>
      <c r="K102" s="25">
        <f>H102+J102</f>
        <v>0</v>
      </c>
      <c r="M102" s="26" t="s">
        <v>23</v>
      </c>
      <c r="N102" s="26" t="s">
        <v>24</v>
      </c>
      <c r="O102" s="26" t="s">
        <v>25</v>
      </c>
    </row>
    <row r="103" spans="1:15" s="43" customFormat="1" ht="15.6" outlineLevel="1" x14ac:dyDescent="0.3">
      <c r="A103" s="27" t="s">
        <v>180</v>
      </c>
      <c r="B103" s="28" t="s">
        <v>181</v>
      </c>
      <c r="C103" s="64"/>
      <c r="D103" s="29" t="s">
        <v>22</v>
      </c>
      <c r="E103" s="65"/>
      <c r="F103" s="63">
        <f>SUM(F104:F111)/1.04</f>
        <v>8.3393900000000016</v>
      </c>
      <c r="G103" s="30"/>
      <c r="H103" s="63"/>
      <c r="I103" s="30"/>
      <c r="J103" s="63">
        <f t="shared" ref="J103" si="12">$F103*I103</f>
        <v>0</v>
      </c>
      <c r="K103" s="7">
        <f t="shared" ref="K103:K142" si="13">H103+J103</f>
        <v>0</v>
      </c>
    </row>
    <row r="104" spans="1:15" s="43" customFormat="1" ht="28.8" outlineLevel="2" x14ac:dyDescent="0.3">
      <c r="A104" s="4" t="s">
        <v>182</v>
      </c>
      <c r="B104" s="5" t="s">
        <v>183</v>
      </c>
      <c r="C104" s="73"/>
      <c r="D104" s="6" t="s">
        <v>22</v>
      </c>
      <c r="E104" s="77">
        <v>1.04</v>
      </c>
      <c r="F104" s="78">
        <f>(276.74+138.37+99.36+2418.13)/1000*E104</f>
        <v>3.0499040000000006</v>
      </c>
      <c r="G104" s="23"/>
      <c r="H104" s="74">
        <f>F104*G104</f>
        <v>0</v>
      </c>
      <c r="I104" s="23"/>
      <c r="J104" s="63"/>
      <c r="K104" s="7">
        <f t="shared" si="13"/>
        <v>0</v>
      </c>
      <c r="M104" s="43">
        <f>0.14*2+0.08*2</f>
        <v>0.44000000000000006</v>
      </c>
      <c r="N104" s="43">
        <f>4.65*98</f>
        <v>455.70000000000005</v>
      </c>
      <c r="O104" s="43">
        <f>M104*N104</f>
        <v>200.50800000000004</v>
      </c>
    </row>
    <row r="105" spans="1:15" s="43" customFormat="1" ht="28.8" outlineLevel="2" x14ac:dyDescent="0.3">
      <c r="A105" s="4" t="s">
        <v>184</v>
      </c>
      <c r="B105" s="5" t="s">
        <v>185</v>
      </c>
      <c r="C105" s="73"/>
      <c r="D105" s="6" t="s">
        <v>22</v>
      </c>
      <c r="E105" s="77">
        <v>1.04</v>
      </c>
      <c r="F105" s="78">
        <f>(88.23+44.12+31.95+39.13)/1000*E105</f>
        <v>0.21156719999999998</v>
      </c>
      <c r="G105" s="23"/>
      <c r="H105" s="74">
        <f t="shared" ref="H105" si="14">F105*G105</f>
        <v>0</v>
      </c>
      <c r="I105" s="23"/>
      <c r="J105" s="63"/>
      <c r="K105" s="7">
        <f t="shared" si="13"/>
        <v>0</v>
      </c>
      <c r="M105" s="43">
        <f>0.1*4</f>
        <v>0.4</v>
      </c>
      <c r="N105" s="43">
        <v>590</v>
      </c>
      <c r="O105" s="43">
        <f>M105*N105</f>
        <v>236</v>
      </c>
    </row>
    <row r="106" spans="1:15" s="43" customFormat="1" ht="28.8" outlineLevel="2" x14ac:dyDescent="0.3">
      <c r="A106" s="4" t="s">
        <v>186</v>
      </c>
      <c r="B106" s="5" t="s">
        <v>187</v>
      </c>
      <c r="C106" s="73"/>
      <c r="D106" s="6" t="s">
        <v>22</v>
      </c>
      <c r="E106" s="77">
        <v>1.04</v>
      </c>
      <c r="F106" s="74">
        <f>1886.31/1000*E106</f>
        <v>1.9617624</v>
      </c>
      <c r="G106" s="23"/>
      <c r="H106" s="74">
        <f t="shared" ref="H106" si="15">F106*G106</f>
        <v>0</v>
      </c>
      <c r="I106" s="23"/>
      <c r="J106" s="63"/>
      <c r="K106" s="7">
        <f t="shared" si="13"/>
        <v>0</v>
      </c>
    </row>
    <row r="107" spans="1:15" s="43" customFormat="1" ht="28.8" outlineLevel="2" x14ac:dyDescent="0.3">
      <c r="A107" s="4" t="s">
        <v>188</v>
      </c>
      <c r="B107" s="5" t="s">
        <v>189</v>
      </c>
      <c r="C107" s="73"/>
      <c r="D107" s="6" t="s">
        <v>22</v>
      </c>
      <c r="E107" s="75">
        <v>1.04</v>
      </c>
      <c r="F107" s="78">
        <f>(976.08+592.46)/1000*E107</f>
        <v>1.6312816000000001</v>
      </c>
      <c r="G107" s="23"/>
      <c r="H107" s="74">
        <f t="shared" ref="H107:H111" si="16">F107*G107</f>
        <v>0</v>
      </c>
      <c r="I107" s="23"/>
      <c r="J107" s="63"/>
      <c r="K107" s="7">
        <f t="shared" si="13"/>
        <v>0</v>
      </c>
    </row>
    <row r="108" spans="1:15" s="43" customFormat="1" ht="15.6" outlineLevel="2" x14ac:dyDescent="0.3">
      <c r="A108" s="4" t="s">
        <v>190</v>
      </c>
      <c r="B108" s="5" t="s">
        <v>191</v>
      </c>
      <c r="C108" s="73"/>
      <c r="D108" s="6" t="s">
        <v>22</v>
      </c>
      <c r="E108" s="77">
        <v>1.04</v>
      </c>
      <c r="F108" s="74">
        <f>201.31/1000*E108</f>
        <v>0.2093624</v>
      </c>
      <c r="G108" s="23"/>
      <c r="H108" s="74">
        <f t="shared" si="16"/>
        <v>0</v>
      </c>
      <c r="I108" s="23"/>
      <c r="J108" s="63"/>
      <c r="K108" s="7">
        <f t="shared" si="13"/>
        <v>0</v>
      </c>
      <c r="O108" s="43">
        <f>SUM(O104:O106)</f>
        <v>436.50800000000004</v>
      </c>
    </row>
    <row r="109" spans="1:15" s="43" customFormat="1" ht="15.6" outlineLevel="2" x14ac:dyDescent="0.3">
      <c r="A109" s="4" t="s">
        <v>192</v>
      </c>
      <c r="B109" s="5" t="s">
        <v>193</v>
      </c>
      <c r="C109" s="73"/>
      <c r="D109" s="6" t="s">
        <v>22</v>
      </c>
      <c r="E109" s="77">
        <v>1.04</v>
      </c>
      <c r="F109" s="74">
        <f>1312.89/1000*E109</f>
        <v>1.3654056000000001</v>
      </c>
      <c r="G109" s="23"/>
      <c r="H109" s="74">
        <f t="shared" si="16"/>
        <v>0</v>
      </c>
      <c r="I109" s="23"/>
      <c r="J109" s="63"/>
      <c r="K109" s="7">
        <f t="shared" si="13"/>
        <v>0</v>
      </c>
    </row>
    <row r="110" spans="1:15" s="43" customFormat="1" ht="28.8" outlineLevel="2" x14ac:dyDescent="0.3">
      <c r="A110" s="4" t="s">
        <v>194</v>
      </c>
      <c r="B110" s="5" t="s">
        <v>195</v>
      </c>
      <c r="C110" s="73"/>
      <c r="D110" s="6" t="s">
        <v>22</v>
      </c>
      <c r="E110" s="77">
        <v>1.04</v>
      </c>
      <c r="F110" s="74">
        <f>150.57/1000*E110</f>
        <v>0.15659279999999998</v>
      </c>
      <c r="G110" s="23"/>
      <c r="H110" s="74">
        <f t="shared" si="16"/>
        <v>0</v>
      </c>
      <c r="I110" s="23"/>
      <c r="J110" s="63"/>
      <c r="K110" s="7">
        <f t="shared" si="13"/>
        <v>0</v>
      </c>
    </row>
    <row r="111" spans="1:15" s="43" customFormat="1" ht="28.8" outlineLevel="2" x14ac:dyDescent="0.3">
      <c r="A111" s="4" t="s">
        <v>196</v>
      </c>
      <c r="B111" s="5" t="s">
        <v>197</v>
      </c>
      <c r="C111" s="73"/>
      <c r="D111" s="6" t="s">
        <v>22</v>
      </c>
      <c r="E111" s="75">
        <v>1.04</v>
      </c>
      <c r="F111" s="74">
        <f>(52.75+18.46+12.53)/1000*E111</f>
        <v>8.7089600000000017E-2</v>
      </c>
      <c r="G111" s="23"/>
      <c r="H111" s="74">
        <f t="shared" si="16"/>
        <v>0</v>
      </c>
      <c r="I111" s="23"/>
      <c r="J111" s="63"/>
      <c r="K111" s="7">
        <f t="shared" si="13"/>
        <v>0</v>
      </c>
    </row>
    <row r="112" spans="1:15" s="43" customFormat="1" ht="28.8" outlineLevel="1" x14ac:dyDescent="0.3">
      <c r="A112" s="27" t="s">
        <v>198</v>
      </c>
      <c r="B112" s="86" t="s">
        <v>199</v>
      </c>
      <c r="C112" s="64"/>
      <c r="D112" s="29" t="s">
        <v>42</v>
      </c>
      <c r="E112" s="65"/>
      <c r="F112" s="63">
        <f>4*3</f>
        <v>12</v>
      </c>
      <c r="G112" s="30"/>
      <c r="H112" s="63"/>
      <c r="I112" s="30"/>
      <c r="J112" s="63">
        <f t="shared" ref="J112" si="17">$F112*I112</f>
        <v>0</v>
      </c>
      <c r="K112" s="7">
        <f t="shared" ref="K112" si="18">H112+J112</f>
        <v>0</v>
      </c>
    </row>
    <row r="113" spans="1:11" s="43" customFormat="1" ht="15.6" outlineLevel="1" x14ac:dyDescent="0.3">
      <c r="A113" s="27" t="s">
        <v>200</v>
      </c>
      <c r="B113" s="28" t="s">
        <v>39</v>
      </c>
      <c r="C113" s="64"/>
      <c r="D113" s="29" t="s">
        <v>22</v>
      </c>
      <c r="E113" s="65"/>
      <c r="F113" s="63">
        <f>F103</f>
        <v>8.3393900000000016</v>
      </c>
      <c r="G113" s="30"/>
      <c r="H113" s="63"/>
      <c r="I113" s="30"/>
      <c r="J113" s="63">
        <f t="shared" ref="J113" si="19">$F113*I113</f>
        <v>0</v>
      </c>
      <c r="K113" s="7">
        <f t="shared" si="13"/>
        <v>0</v>
      </c>
    </row>
    <row r="114" spans="1:11" s="43" customFormat="1" ht="15.6" outlineLevel="2" x14ac:dyDescent="0.3">
      <c r="A114" s="4" t="s">
        <v>201</v>
      </c>
      <c r="B114" s="5" t="s">
        <v>202</v>
      </c>
      <c r="C114" s="73"/>
      <c r="D114" s="6" t="s">
        <v>42</v>
      </c>
      <c r="E114" s="77"/>
      <c r="F114" s="74">
        <v>64</v>
      </c>
      <c r="G114" s="23"/>
      <c r="H114" s="74">
        <f t="shared" ref="H114:H119" si="20">F114*G114</f>
        <v>0</v>
      </c>
      <c r="I114" s="23"/>
      <c r="J114" s="63"/>
      <c r="K114" s="7">
        <f t="shared" si="13"/>
        <v>0</v>
      </c>
    </row>
    <row r="115" spans="1:11" s="43" customFormat="1" ht="15.6" outlineLevel="2" x14ac:dyDescent="0.3">
      <c r="A115" s="4" t="s">
        <v>203</v>
      </c>
      <c r="B115" s="5" t="s">
        <v>204</v>
      </c>
      <c r="C115" s="73"/>
      <c r="D115" s="6" t="s">
        <v>42</v>
      </c>
      <c r="E115" s="77"/>
      <c r="F115" s="74">
        <v>64</v>
      </c>
      <c r="G115" s="23"/>
      <c r="H115" s="74"/>
      <c r="I115" s="23"/>
      <c r="J115" s="63"/>
      <c r="K115" s="7">
        <f t="shared" si="13"/>
        <v>0</v>
      </c>
    </row>
    <row r="116" spans="1:11" s="43" customFormat="1" ht="15.6" outlineLevel="2" x14ac:dyDescent="0.3">
      <c r="A116" s="4" t="s">
        <v>205</v>
      </c>
      <c r="B116" s="5" t="s">
        <v>206</v>
      </c>
      <c r="C116" s="73"/>
      <c r="D116" s="6" t="s">
        <v>42</v>
      </c>
      <c r="E116" s="77"/>
      <c r="F116" s="74">
        <v>64</v>
      </c>
      <c r="G116" s="23"/>
      <c r="H116" s="74"/>
      <c r="I116" s="23"/>
      <c r="J116" s="63"/>
      <c r="K116" s="7">
        <f t="shared" si="13"/>
        <v>0</v>
      </c>
    </row>
    <row r="117" spans="1:11" s="43" customFormat="1" ht="15.6" outlineLevel="1" x14ac:dyDescent="0.3">
      <c r="A117" s="27" t="s">
        <v>207</v>
      </c>
      <c r="B117" s="28" t="s">
        <v>61</v>
      </c>
      <c r="C117" s="64"/>
      <c r="D117" s="29" t="s">
        <v>62</v>
      </c>
      <c r="E117" s="65"/>
      <c r="F117" s="63">
        <f>11.26+4.06+7.52+4.24+4.04+1.47+59.02+98.41+1.47+53.8+5.22+48.67+7.79+1.49+0.81+0.39</f>
        <v>309.65999999999997</v>
      </c>
      <c r="G117" s="30"/>
      <c r="H117" s="63"/>
      <c r="I117" s="30"/>
      <c r="J117" s="63">
        <f>$F117*I117</f>
        <v>0</v>
      </c>
      <c r="K117" s="7">
        <f t="shared" si="13"/>
        <v>0</v>
      </c>
    </row>
    <row r="118" spans="1:11" s="43" customFormat="1" ht="15.6" outlineLevel="2" x14ac:dyDescent="0.3">
      <c r="A118" s="4" t="s">
        <v>208</v>
      </c>
      <c r="B118" s="5" t="s">
        <v>64</v>
      </c>
      <c r="C118" s="73"/>
      <c r="D118" s="6" t="s">
        <v>127</v>
      </c>
      <c r="E118" s="77">
        <v>0.18</v>
      </c>
      <c r="F118" s="74">
        <f>F117*E118</f>
        <v>55.738799999999991</v>
      </c>
      <c r="G118" s="23"/>
      <c r="H118" s="74">
        <f t="shared" si="20"/>
        <v>0</v>
      </c>
      <c r="I118" s="23"/>
      <c r="J118" s="63"/>
      <c r="K118" s="7">
        <f t="shared" si="13"/>
        <v>0</v>
      </c>
    </row>
    <row r="119" spans="1:11" s="43" customFormat="1" ht="15.6" outlineLevel="2" x14ac:dyDescent="0.3">
      <c r="A119" s="4" t="s">
        <v>209</v>
      </c>
      <c r="B119" s="5" t="s">
        <v>66</v>
      </c>
      <c r="C119" s="73"/>
      <c r="D119" s="6" t="s">
        <v>59</v>
      </c>
      <c r="E119" s="77">
        <v>0.05</v>
      </c>
      <c r="F119" s="74">
        <f>F117*E119</f>
        <v>15.482999999999999</v>
      </c>
      <c r="G119" s="23"/>
      <c r="H119" s="74">
        <f t="shared" si="20"/>
        <v>0</v>
      </c>
      <c r="I119" s="23"/>
      <c r="J119" s="63"/>
      <c r="K119" s="7">
        <f t="shared" si="13"/>
        <v>0</v>
      </c>
    </row>
    <row r="120" spans="1:11" s="43" customFormat="1" ht="15.6" outlineLevel="1" x14ac:dyDescent="0.3">
      <c r="A120" s="27" t="s">
        <v>210</v>
      </c>
      <c r="B120" s="28" t="s">
        <v>68</v>
      </c>
      <c r="C120" s="64"/>
      <c r="D120" s="29" t="s">
        <v>62</v>
      </c>
      <c r="E120" s="65"/>
      <c r="F120" s="63">
        <f>11.26+4.06+7.52+4.24+4.04+1.47+59.02+98.41+1.47+53.8+5.22+48.67+7.79+1.49+0.81+0.39</f>
        <v>309.65999999999997</v>
      </c>
      <c r="G120" s="30"/>
      <c r="H120" s="63"/>
      <c r="I120" s="30"/>
      <c r="J120" s="63">
        <f>$F120*I120</f>
        <v>0</v>
      </c>
      <c r="K120" s="7">
        <f t="shared" si="13"/>
        <v>0</v>
      </c>
    </row>
    <row r="121" spans="1:11" s="43" customFormat="1" ht="15.6" outlineLevel="2" x14ac:dyDescent="0.3">
      <c r="A121" s="4" t="s">
        <v>211</v>
      </c>
      <c r="B121" s="5" t="s">
        <v>108</v>
      </c>
      <c r="C121" s="73"/>
      <c r="D121" s="6" t="s">
        <v>127</v>
      </c>
      <c r="E121" s="77">
        <v>0.25</v>
      </c>
      <c r="F121" s="74">
        <f>F120*E121</f>
        <v>77.414999999999992</v>
      </c>
      <c r="G121" s="23"/>
      <c r="H121" s="74">
        <f>F121*G121</f>
        <v>0</v>
      </c>
      <c r="I121" s="23"/>
      <c r="J121" s="63"/>
      <c r="K121" s="7">
        <f t="shared" si="13"/>
        <v>0</v>
      </c>
    </row>
    <row r="122" spans="1:11" s="43" customFormat="1" ht="15.6" outlineLevel="2" x14ac:dyDescent="0.3">
      <c r="A122" s="4" t="s">
        <v>212</v>
      </c>
      <c r="B122" s="5" t="s">
        <v>129</v>
      </c>
      <c r="C122" s="73"/>
      <c r="D122" s="6" t="s">
        <v>59</v>
      </c>
      <c r="E122" s="77">
        <v>0.05</v>
      </c>
      <c r="F122" s="74">
        <f>F120*E122</f>
        <v>15.482999999999999</v>
      </c>
      <c r="G122" s="23"/>
      <c r="H122" s="74">
        <f>F122*G122</f>
        <v>0</v>
      </c>
      <c r="I122" s="23"/>
      <c r="J122" s="63"/>
      <c r="K122" s="7">
        <f t="shared" si="13"/>
        <v>0</v>
      </c>
    </row>
    <row r="123" spans="1:11" s="43" customFormat="1" ht="15.6" outlineLevel="1" x14ac:dyDescent="0.3">
      <c r="A123" s="27" t="s">
        <v>213</v>
      </c>
      <c r="B123" s="28" t="s">
        <v>131</v>
      </c>
      <c r="C123" s="64"/>
      <c r="D123" s="29" t="s">
        <v>62</v>
      </c>
      <c r="E123" s="65"/>
      <c r="F123" s="63">
        <f>F124</f>
        <v>120.7625</v>
      </c>
      <c r="G123" s="30"/>
      <c r="H123" s="63"/>
      <c r="I123" s="30"/>
      <c r="J123" s="63">
        <f>$F123*I123</f>
        <v>0</v>
      </c>
      <c r="K123" s="7">
        <f>H123+J123</f>
        <v>0</v>
      </c>
    </row>
    <row r="124" spans="1:11" s="43" customFormat="1" ht="15.6" outlineLevel="2" x14ac:dyDescent="0.3">
      <c r="A124" s="4" t="s">
        <v>214</v>
      </c>
      <c r="B124" s="70" t="s">
        <v>215</v>
      </c>
      <c r="C124" s="73"/>
      <c r="D124" s="6" t="s">
        <v>62</v>
      </c>
      <c r="E124" s="77">
        <v>1.25</v>
      </c>
      <c r="F124" s="74">
        <f>E124*96.61</f>
        <v>120.7625</v>
      </c>
      <c r="G124" s="23"/>
      <c r="H124" s="74"/>
      <c r="I124" s="23"/>
      <c r="J124" s="63"/>
      <c r="K124" s="7">
        <f>H124+J124</f>
        <v>0</v>
      </c>
    </row>
    <row r="125" spans="1:11" s="43" customFormat="1" ht="15.6" outlineLevel="2" x14ac:dyDescent="0.3">
      <c r="A125" s="4" t="s">
        <v>216</v>
      </c>
      <c r="B125" s="5" t="s">
        <v>135</v>
      </c>
      <c r="C125" s="73"/>
      <c r="D125" s="6" t="s">
        <v>42</v>
      </c>
      <c r="E125" s="77"/>
      <c r="F125" s="74">
        <v>780</v>
      </c>
      <c r="G125" s="23"/>
      <c r="H125" s="74"/>
      <c r="I125" s="23"/>
      <c r="J125" s="63"/>
      <c r="K125" s="7">
        <f>H125+J125</f>
        <v>0</v>
      </c>
    </row>
    <row r="126" spans="1:11" s="43" customFormat="1" ht="28.8" outlineLevel="1" x14ac:dyDescent="0.3">
      <c r="A126" s="27" t="s">
        <v>217</v>
      </c>
      <c r="B126" s="28" t="s">
        <v>177</v>
      </c>
      <c r="C126" s="64"/>
      <c r="D126" s="29" t="s">
        <v>62</v>
      </c>
      <c r="E126" s="65"/>
      <c r="F126" s="63"/>
      <c r="G126" s="30"/>
      <c r="H126" s="63"/>
      <c r="I126" s="30"/>
      <c r="J126" s="63">
        <f>$F126*I126</f>
        <v>0</v>
      </c>
      <c r="K126" s="7">
        <f t="shared" si="13"/>
        <v>0</v>
      </c>
    </row>
    <row r="127" spans="1:11" s="43" customFormat="1" ht="28.8" outlineLevel="1" x14ac:dyDescent="0.3">
      <c r="A127" s="27" t="s">
        <v>218</v>
      </c>
      <c r="B127" s="28" t="s">
        <v>219</v>
      </c>
      <c r="C127" s="64"/>
      <c r="D127" s="29" t="s">
        <v>220</v>
      </c>
      <c r="E127" s="65"/>
      <c r="F127" s="63"/>
      <c r="G127" s="30"/>
      <c r="H127" s="63"/>
      <c r="I127" s="30"/>
      <c r="J127" s="63">
        <f>$F127*I127</f>
        <v>0</v>
      </c>
      <c r="K127" s="7">
        <f t="shared" si="13"/>
        <v>0</v>
      </c>
    </row>
    <row r="128" spans="1:11" s="26" customFormat="1" ht="31.2" x14ac:dyDescent="0.3">
      <c r="A128" s="31" t="s">
        <v>221</v>
      </c>
      <c r="B128" s="32" t="s">
        <v>222</v>
      </c>
      <c r="C128" s="62"/>
      <c r="D128" s="33" t="s">
        <v>22</v>
      </c>
      <c r="E128" s="41"/>
      <c r="F128" s="34">
        <f>F129</f>
        <v>3.5901000000000001</v>
      </c>
      <c r="G128" s="24"/>
      <c r="H128" s="69">
        <f>SUM(H129:H142)</f>
        <v>0</v>
      </c>
      <c r="I128" s="24"/>
      <c r="J128" s="69">
        <f>SUM(J129:J142)</f>
        <v>0</v>
      </c>
      <c r="K128" s="25">
        <f>H128+J128</f>
        <v>0</v>
      </c>
    </row>
    <row r="129" spans="1:11" s="43" customFormat="1" ht="15.6" outlineLevel="1" x14ac:dyDescent="0.3">
      <c r="A129" s="27" t="s">
        <v>223</v>
      </c>
      <c r="B129" s="28" t="s">
        <v>224</v>
      </c>
      <c r="C129" s="64"/>
      <c r="D129" s="29" t="s">
        <v>22</v>
      </c>
      <c r="E129" s="65"/>
      <c r="F129" s="63">
        <f>SUM(F130:F135)/1.04</f>
        <v>3.5901000000000001</v>
      </c>
      <c r="G129" s="30"/>
      <c r="H129" s="63"/>
      <c r="I129" s="30"/>
      <c r="J129" s="63">
        <f>$F129*I129</f>
        <v>0</v>
      </c>
      <c r="K129" s="7">
        <f t="shared" si="13"/>
        <v>0</v>
      </c>
    </row>
    <row r="130" spans="1:11" s="43" customFormat="1" ht="28.8" outlineLevel="2" x14ac:dyDescent="0.3">
      <c r="A130" s="4" t="s">
        <v>225</v>
      </c>
      <c r="B130" s="5" t="s">
        <v>226</v>
      </c>
      <c r="C130" s="73"/>
      <c r="D130" s="6" t="s">
        <v>22</v>
      </c>
      <c r="E130" s="77">
        <v>1.04</v>
      </c>
      <c r="F130" s="78">
        <f>(308.4+231.3+193.8+239.1+239.1)*E130/1000</f>
        <v>1.2601680000000002</v>
      </c>
      <c r="G130" s="23"/>
      <c r="H130" s="74">
        <f>F130*G130</f>
        <v>0</v>
      </c>
      <c r="I130" s="23"/>
      <c r="J130" s="63"/>
      <c r="K130" s="7">
        <f t="shared" si="13"/>
        <v>0</v>
      </c>
    </row>
    <row r="131" spans="1:11" s="43" customFormat="1" ht="28.8" outlineLevel="2" x14ac:dyDescent="0.3">
      <c r="A131" s="4" t="s">
        <v>227</v>
      </c>
      <c r="B131" s="5" t="s">
        <v>228</v>
      </c>
      <c r="C131" s="73"/>
      <c r="D131" s="6" t="s">
        <v>22</v>
      </c>
      <c r="E131" s="77">
        <v>1.04</v>
      </c>
      <c r="F131" s="78">
        <f>(376.8+262.6+206.5+247.8+247.8)*E131/1000</f>
        <v>1.3951600000000002</v>
      </c>
      <c r="G131" s="23"/>
      <c r="H131" s="74">
        <f>F131*G131</f>
        <v>0</v>
      </c>
      <c r="I131" s="23"/>
      <c r="J131" s="63"/>
      <c r="K131" s="7">
        <f t="shared" ref="K131" si="21">H131+J131</f>
        <v>0</v>
      </c>
    </row>
    <row r="132" spans="1:11" s="43" customFormat="1" ht="28.8" outlineLevel="2" x14ac:dyDescent="0.3">
      <c r="A132" s="4" t="s">
        <v>229</v>
      </c>
      <c r="B132" s="5" t="s">
        <v>230</v>
      </c>
      <c r="C132" s="73"/>
      <c r="D132" s="6" t="s">
        <v>22</v>
      </c>
      <c r="E132" s="77">
        <v>1.04</v>
      </c>
      <c r="F132" s="74">
        <f>(51.6+132.6+61.5+73.8+73.8)*E132/1000</f>
        <v>0.40903200000000006</v>
      </c>
      <c r="G132" s="23"/>
      <c r="H132" s="74">
        <f t="shared" ref="H132:H142" si="22">F132*G132</f>
        <v>0</v>
      </c>
      <c r="I132" s="23"/>
      <c r="J132" s="63"/>
      <c r="K132" s="7">
        <f t="shared" si="13"/>
        <v>0</v>
      </c>
    </row>
    <row r="133" spans="1:11" s="43" customFormat="1" ht="28.8" outlineLevel="2" x14ac:dyDescent="0.3">
      <c r="A133" s="4" t="s">
        <v>231</v>
      </c>
      <c r="B133" s="5" t="s">
        <v>232</v>
      </c>
      <c r="C133" s="73"/>
      <c r="D133" s="6" t="s">
        <v>22</v>
      </c>
      <c r="E133" s="77">
        <v>1.04</v>
      </c>
      <c r="F133" s="78">
        <f>(166+105.8+61.4+72.9+72.9)*E133/1000</f>
        <v>0.49816000000000005</v>
      </c>
      <c r="G133" s="23"/>
      <c r="H133" s="74">
        <f t="shared" ref="H133" si="23">F133*G133</f>
        <v>0</v>
      </c>
      <c r="I133" s="23"/>
      <c r="J133" s="63"/>
      <c r="K133" s="7">
        <f t="shared" ref="K133" si="24">H133+J133</f>
        <v>0</v>
      </c>
    </row>
    <row r="134" spans="1:11" s="43" customFormat="1" ht="28.8" outlineLevel="2" x14ac:dyDescent="0.3">
      <c r="A134" s="4" t="s">
        <v>233</v>
      </c>
      <c r="B134" s="5" t="s">
        <v>234</v>
      </c>
      <c r="C134" s="73"/>
      <c r="D134" s="6" t="s">
        <v>22</v>
      </c>
      <c r="E134" s="77">
        <v>1.04</v>
      </c>
      <c r="F134" s="74">
        <f>(6+5+6+6)*E134/1000</f>
        <v>2.392E-2</v>
      </c>
      <c r="G134" s="23"/>
      <c r="H134" s="74">
        <f t="shared" si="22"/>
        <v>0</v>
      </c>
      <c r="I134" s="23"/>
      <c r="J134" s="63"/>
      <c r="K134" s="7">
        <f t="shared" si="13"/>
        <v>0</v>
      </c>
    </row>
    <row r="135" spans="1:11" s="43" customFormat="1" ht="28.8" outlineLevel="2" x14ac:dyDescent="0.3">
      <c r="A135" s="4" t="s">
        <v>235</v>
      </c>
      <c r="B135" s="70" t="s">
        <v>236</v>
      </c>
      <c r="C135" s="73"/>
      <c r="D135" s="6" t="s">
        <v>22</v>
      </c>
      <c r="E135" s="75">
        <v>1.04</v>
      </c>
      <c r="F135" s="74">
        <f>141.6*E135/1000</f>
        <v>0.14726400000000001</v>
      </c>
      <c r="G135" s="23"/>
      <c r="H135" s="74">
        <f t="shared" si="22"/>
        <v>0</v>
      </c>
      <c r="I135" s="23"/>
      <c r="J135" s="63"/>
      <c r="K135" s="7">
        <f t="shared" si="13"/>
        <v>0</v>
      </c>
    </row>
    <row r="136" spans="1:11" s="43" customFormat="1" ht="15.6" outlineLevel="2" x14ac:dyDescent="0.3">
      <c r="A136" s="4" t="s">
        <v>237</v>
      </c>
      <c r="B136" s="70" t="s">
        <v>238</v>
      </c>
      <c r="C136" s="73"/>
      <c r="D136" s="6" t="s">
        <v>62</v>
      </c>
      <c r="E136" s="75"/>
      <c r="F136" s="74">
        <f>(F130*1000/10.4)*0.12</f>
        <v>14.5404</v>
      </c>
      <c r="G136" s="23"/>
      <c r="H136" s="74">
        <f t="shared" ref="H136" si="25">F136*G136</f>
        <v>0</v>
      </c>
      <c r="I136" s="23"/>
      <c r="J136" s="63"/>
      <c r="K136" s="7">
        <f t="shared" ref="K136" si="26">H136+J136</f>
        <v>0</v>
      </c>
    </row>
    <row r="137" spans="1:11" s="43" customFormat="1" ht="15.6" outlineLevel="1" x14ac:dyDescent="0.3">
      <c r="A137" s="27" t="s">
        <v>239</v>
      </c>
      <c r="B137" s="28" t="s">
        <v>61</v>
      </c>
      <c r="C137" s="64"/>
      <c r="D137" s="29" t="s">
        <v>62</v>
      </c>
      <c r="E137" s="65"/>
      <c r="F137" s="80">
        <f>25.86+28.28+28.28</f>
        <v>82.42</v>
      </c>
      <c r="G137" s="30"/>
      <c r="H137" s="63"/>
      <c r="I137" s="30"/>
      <c r="J137" s="63">
        <f>$F137*I137</f>
        <v>0</v>
      </c>
      <c r="K137" s="7">
        <f t="shared" si="13"/>
        <v>0</v>
      </c>
    </row>
    <row r="138" spans="1:11" s="43" customFormat="1" ht="15.6" outlineLevel="2" x14ac:dyDescent="0.3">
      <c r="A138" s="4" t="s">
        <v>240</v>
      </c>
      <c r="B138" s="5" t="s">
        <v>64</v>
      </c>
      <c r="C138" s="73"/>
      <c r="D138" s="6" t="s">
        <v>127</v>
      </c>
      <c r="E138" s="77">
        <v>0.18</v>
      </c>
      <c r="F138" s="74">
        <f>F137*E138</f>
        <v>14.835599999999999</v>
      </c>
      <c r="G138" s="23"/>
      <c r="H138" s="74">
        <f t="shared" si="22"/>
        <v>0</v>
      </c>
      <c r="I138" s="23"/>
      <c r="J138" s="63"/>
      <c r="K138" s="7">
        <f t="shared" si="13"/>
        <v>0</v>
      </c>
    </row>
    <row r="139" spans="1:11" s="43" customFormat="1" ht="15.6" outlineLevel="2" x14ac:dyDescent="0.3">
      <c r="A139" s="4" t="s">
        <v>241</v>
      </c>
      <c r="B139" s="5" t="s">
        <v>66</v>
      </c>
      <c r="C139" s="73"/>
      <c r="D139" s="6" t="s">
        <v>59</v>
      </c>
      <c r="E139" s="77">
        <v>0.05</v>
      </c>
      <c r="F139" s="74">
        <f>F137*E139</f>
        <v>4.1210000000000004</v>
      </c>
      <c r="G139" s="23"/>
      <c r="H139" s="74">
        <f t="shared" si="22"/>
        <v>0</v>
      </c>
      <c r="I139" s="23"/>
      <c r="J139" s="63"/>
      <c r="K139" s="7">
        <f t="shared" si="13"/>
        <v>0</v>
      </c>
    </row>
    <row r="140" spans="1:11" s="43" customFormat="1" ht="15.6" outlineLevel="1" x14ac:dyDescent="0.3">
      <c r="A140" s="27" t="s">
        <v>242</v>
      </c>
      <c r="B140" s="28" t="s">
        <v>68</v>
      </c>
      <c r="C140" s="64"/>
      <c r="D140" s="29" t="s">
        <v>62</v>
      </c>
      <c r="E140" s="65"/>
      <c r="F140" s="63">
        <f>F137</f>
        <v>82.42</v>
      </c>
      <c r="G140" s="30"/>
      <c r="H140" s="63"/>
      <c r="I140" s="30"/>
      <c r="J140" s="63">
        <f>$F140*I140</f>
        <v>0</v>
      </c>
      <c r="K140" s="7">
        <f t="shared" si="13"/>
        <v>0</v>
      </c>
    </row>
    <row r="141" spans="1:11" s="43" customFormat="1" ht="15.6" outlineLevel="2" x14ac:dyDescent="0.3">
      <c r="A141" s="4" t="s">
        <v>243</v>
      </c>
      <c r="B141" s="5" t="s">
        <v>108</v>
      </c>
      <c r="C141" s="73"/>
      <c r="D141" s="6" t="s">
        <v>127</v>
      </c>
      <c r="E141" s="77">
        <v>0.25</v>
      </c>
      <c r="F141" s="74">
        <f>F140*E141</f>
        <v>20.605</v>
      </c>
      <c r="G141" s="23"/>
      <c r="H141" s="74">
        <f t="shared" si="22"/>
        <v>0</v>
      </c>
      <c r="I141" s="23"/>
      <c r="J141" s="63"/>
      <c r="K141" s="7">
        <f t="shared" si="13"/>
        <v>0</v>
      </c>
    </row>
    <row r="142" spans="1:11" s="43" customFormat="1" ht="15.6" outlineLevel="2" x14ac:dyDescent="0.3">
      <c r="A142" s="4" t="s">
        <v>244</v>
      </c>
      <c r="B142" s="5" t="s">
        <v>129</v>
      </c>
      <c r="C142" s="73"/>
      <c r="D142" s="6" t="s">
        <v>59</v>
      </c>
      <c r="E142" s="77">
        <v>0.05</v>
      </c>
      <c r="F142" s="74">
        <f>F140*E142</f>
        <v>4.1210000000000004</v>
      </c>
      <c r="G142" s="23"/>
      <c r="H142" s="74">
        <f t="shared" si="22"/>
        <v>0</v>
      </c>
      <c r="I142" s="23"/>
      <c r="J142" s="63"/>
      <c r="K142" s="7">
        <f t="shared" si="13"/>
        <v>0</v>
      </c>
    </row>
    <row r="143" spans="1:11" s="26" customFormat="1" ht="31.2" x14ac:dyDescent="0.3">
      <c r="A143" s="31" t="s">
        <v>245</v>
      </c>
      <c r="B143" s="32" t="s">
        <v>246</v>
      </c>
      <c r="C143" s="62"/>
      <c r="D143" s="33" t="s">
        <v>22</v>
      </c>
      <c r="E143" s="41"/>
      <c r="F143" s="34">
        <f>F144+F155+F165+F173+F181+F193</f>
        <v>1.03155324</v>
      </c>
      <c r="G143" s="24"/>
      <c r="H143" s="69">
        <f>SUM(H144:H211)</f>
        <v>0</v>
      </c>
      <c r="I143" s="24"/>
      <c r="J143" s="69">
        <f>SUM(J144:J211)</f>
        <v>0</v>
      </c>
      <c r="K143" s="25">
        <f>H143+J143</f>
        <v>0</v>
      </c>
    </row>
    <row r="144" spans="1:11" s="43" customFormat="1" ht="28.8" outlineLevel="1" x14ac:dyDescent="0.3">
      <c r="A144" s="27" t="s">
        <v>247</v>
      </c>
      <c r="B144" s="28" t="s">
        <v>248</v>
      </c>
      <c r="C144" s="64"/>
      <c r="D144" s="29" t="s">
        <v>22</v>
      </c>
      <c r="E144" s="65"/>
      <c r="F144" s="63">
        <f>SUM(F145:F150)/E145</f>
        <v>0.34944284000000003</v>
      </c>
      <c r="G144" s="30"/>
      <c r="H144" s="63"/>
      <c r="I144" s="30"/>
      <c r="J144" s="63">
        <f>$F144*I144</f>
        <v>0</v>
      </c>
      <c r="K144" s="7">
        <f t="shared" ref="K144:K168" si="27">H144+J144</f>
        <v>0</v>
      </c>
    </row>
    <row r="145" spans="1:12" s="43" customFormat="1" ht="28.8" outlineLevel="2" x14ac:dyDescent="0.3">
      <c r="A145" s="4" t="s">
        <v>249</v>
      </c>
      <c r="B145" s="5" t="s">
        <v>250</v>
      </c>
      <c r="C145" s="73"/>
      <c r="D145" s="6" t="s">
        <v>22</v>
      </c>
      <c r="E145" s="77">
        <v>1.04</v>
      </c>
      <c r="F145" s="74">
        <f>15.26*4*2.73*E145/1000</f>
        <v>0.173304768</v>
      </c>
      <c r="G145" s="23"/>
      <c r="H145" s="74">
        <f t="shared" ref="H145:H204" si="28">F145*G145</f>
        <v>0</v>
      </c>
      <c r="I145" s="23" t="s">
        <v>251</v>
      </c>
      <c r="J145" s="63"/>
      <c r="K145" s="7">
        <f t="shared" si="27"/>
        <v>0</v>
      </c>
    </row>
    <row r="146" spans="1:12" s="43" customFormat="1" ht="28.8" outlineLevel="2" x14ac:dyDescent="0.3">
      <c r="A146" s="4" t="s">
        <v>252</v>
      </c>
      <c r="B146" s="5" t="s">
        <v>253</v>
      </c>
      <c r="C146" s="73"/>
      <c r="D146" s="6" t="s">
        <v>22</v>
      </c>
      <c r="E146" s="77">
        <v>1.04</v>
      </c>
      <c r="F146" s="74">
        <f>15.26*5.148*E146/1000</f>
        <v>8.1700819199999997E-2</v>
      </c>
      <c r="G146" s="23"/>
      <c r="H146" s="74">
        <f t="shared" si="28"/>
        <v>0</v>
      </c>
      <c r="I146" s="23"/>
      <c r="J146" s="63"/>
      <c r="K146" s="7">
        <f t="shared" si="27"/>
        <v>0</v>
      </c>
    </row>
    <row r="147" spans="1:12" s="43" customFormat="1" ht="28.8" outlineLevel="2" x14ac:dyDescent="0.3">
      <c r="A147" s="4" t="s">
        <v>254</v>
      </c>
      <c r="B147" s="5" t="s">
        <v>255</v>
      </c>
      <c r="C147" s="73"/>
      <c r="D147" s="6" t="s">
        <v>22</v>
      </c>
      <c r="E147" s="77">
        <v>1.04</v>
      </c>
      <c r="F147" s="74">
        <f>3.032*E147*10/1000</f>
        <v>3.15328E-2</v>
      </c>
      <c r="G147" s="23"/>
      <c r="H147" s="74">
        <f t="shared" si="28"/>
        <v>0</v>
      </c>
      <c r="I147" s="23"/>
      <c r="J147" s="63"/>
      <c r="K147" s="7">
        <f t="shared" si="27"/>
        <v>0</v>
      </c>
      <c r="L147" s="43">
        <f>2.73*4+5.148+2.73*2+3.325+0.383*12+4+3.8+3.3+5.1+2.73*2</f>
        <v>51.108999999999995</v>
      </c>
    </row>
    <row r="148" spans="1:12" s="43" customFormat="1" ht="28.8" outlineLevel="2" x14ac:dyDescent="0.3">
      <c r="A148" s="4" t="s">
        <v>256</v>
      </c>
      <c r="B148" s="5" t="s">
        <v>257</v>
      </c>
      <c r="C148" s="73"/>
      <c r="D148" s="6" t="s">
        <v>22</v>
      </c>
      <c r="E148" s="79">
        <v>1.04</v>
      </c>
      <c r="F148" s="74">
        <f>1.09*E148*4/1000</f>
        <v>4.5344000000000009E-3</v>
      </c>
      <c r="G148" s="23"/>
      <c r="H148" s="74">
        <f t="shared" si="28"/>
        <v>0</v>
      </c>
      <c r="I148" s="23"/>
      <c r="J148" s="63"/>
      <c r="K148" s="7">
        <f t="shared" si="27"/>
        <v>0</v>
      </c>
      <c r="L148" s="43">
        <f>2.73*2+3.3+0.2*8+2.9+2.73*2+3.55</f>
        <v>22.27</v>
      </c>
    </row>
    <row r="149" spans="1:12" s="43" customFormat="1" ht="28.8" outlineLevel="2" x14ac:dyDescent="0.3">
      <c r="A149" s="4" t="s">
        <v>258</v>
      </c>
      <c r="B149" s="5" t="s">
        <v>259</v>
      </c>
      <c r="C149" s="73"/>
      <c r="D149" s="6" t="s">
        <v>22</v>
      </c>
      <c r="E149" s="79">
        <v>1.04</v>
      </c>
      <c r="F149" s="74">
        <f>10.6*2*2.73*E149/1000</f>
        <v>6.0191040000000001E-2</v>
      </c>
      <c r="G149" s="23"/>
      <c r="H149" s="74">
        <f t="shared" si="28"/>
        <v>0</v>
      </c>
      <c r="I149" s="23"/>
      <c r="J149" s="63"/>
      <c r="K149" s="7">
        <f t="shared" si="27"/>
        <v>0</v>
      </c>
    </row>
    <row r="150" spans="1:12" s="43" customFormat="1" ht="28.8" outlineLevel="2" x14ac:dyDescent="0.3">
      <c r="A150" s="4" t="s">
        <v>260</v>
      </c>
      <c r="B150" s="5" t="s">
        <v>261</v>
      </c>
      <c r="C150" s="73"/>
      <c r="D150" s="6" t="s">
        <v>22</v>
      </c>
      <c r="E150" s="77">
        <v>1.04</v>
      </c>
      <c r="F150" s="74">
        <f>15.26*2*0.383*E145/1000</f>
        <v>1.21567264E-2</v>
      </c>
      <c r="G150" s="23"/>
      <c r="H150" s="74">
        <f t="shared" si="28"/>
        <v>0</v>
      </c>
      <c r="I150" s="23"/>
      <c r="J150" s="63"/>
      <c r="K150" s="7">
        <f t="shared" si="27"/>
        <v>0</v>
      </c>
    </row>
    <row r="151" spans="1:12" s="43" customFormat="1" ht="15.6" outlineLevel="1" x14ac:dyDescent="0.3">
      <c r="A151" s="27" t="s">
        <v>262</v>
      </c>
      <c r="B151" s="28" t="s">
        <v>39</v>
      </c>
      <c r="C151" s="64"/>
      <c r="D151" s="29" t="s">
        <v>22</v>
      </c>
      <c r="E151" s="65"/>
      <c r="F151" s="63">
        <f>F144</f>
        <v>0.34944284000000003</v>
      </c>
      <c r="G151" s="30"/>
      <c r="H151" s="63"/>
      <c r="I151" s="30"/>
      <c r="J151" s="63">
        <f t="shared" ref="J151:J205" si="29">$F151*I151</f>
        <v>0</v>
      </c>
      <c r="K151" s="7">
        <f t="shared" si="27"/>
        <v>0</v>
      </c>
    </row>
    <row r="152" spans="1:12" s="43" customFormat="1" ht="15.6" outlineLevel="2" x14ac:dyDescent="0.3">
      <c r="A152" s="4" t="s">
        <v>263</v>
      </c>
      <c r="B152" s="5" t="s">
        <v>264</v>
      </c>
      <c r="C152" s="73"/>
      <c r="D152" s="6" t="s">
        <v>42</v>
      </c>
      <c r="E152" s="77"/>
      <c r="F152" s="74">
        <v>48</v>
      </c>
      <c r="G152" s="23"/>
      <c r="H152" s="74">
        <f t="shared" si="28"/>
        <v>0</v>
      </c>
      <c r="I152" s="23"/>
      <c r="J152" s="63"/>
      <c r="K152" s="7">
        <f t="shared" si="27"/>
        <v>0</v>
      </c>
    </row>
    <row r="153" spans="1:12" s="43" customFormat="1" ht="15.6" outlineLevel="2" x14ac:dyDescent="0.3">
      <c r="A153" s="4" t="s">
        <v>265</v>
      </c>
      <c r="B153" s="5" t="s">
        <v>44</v>
      </c>
      <c r="C153" s="73"/>
      <c r="D153" s="6" t="s">
        <v>42</v>
      </c>
      <c r="E153" s="77"/>
      <c r="F153" s="74">
        <v>48</v>
      </c>
      <c r="G153" s="23"/>
      <c r="H153" s="74">
        <f t="shared" si="28"/>
        <v>0</v>
      </c>
      <c r="I153" s="23"/>
      <c r="J153" s="63"/>
      <c r="K153" s="7">
        <f t="shared" si="27"/>
        <v>0</v>
      </c>
    </row>
    <row r="154" spans="1:12" s="43" customFormat="1" ht="15.6" outlineLevel="2" x14ac:dyDescent="0.3">
      <c r="A154" s="4" t="s">
        <v>266</v>
      </c>
      <c r="B154" s="5" t="s">
        <v>46</v>
      </c>
      <c r="C154" s="73"/>
      <c r="D154" s="6" t="s">
        <v>42</v>
      </c>
      <c r="E154" s="77"/>
      <c r="F154" s="74">
        <v>48</v>
      </c>
      <c r="G154" s="23"/>
      <c r="H154" s="74">
        <f t="shared" si="28"/>
        <v>0</v>
      </c>
      <c r="I154" s="23"/>
      <c r="J154" s="63"/>
      <c r="K154" s="7">
        <f t="shared" si="27"/>
        <v>0</v>
      </c>
    </row>
    <row r="155" spans="1:12" s="43" customFormat="1" ht="15.6" outlineLevel="1" x14ac:dyDescent="0.3">
      <c r="A155" s="27" t="s">
        <v>267</v>
      </c>
      <c r="B155" s="28" t="s">
        <v>268</v>
      </c>
      <c r="C155" s="64"/>
      <c r="D155" s="29" t="s">
        <v>22</v>
      </c>
      <c r="E155" s="65"/>
      <c r="F155" s="63">
        <f>SUM(F156:F160)/E156</f>
        <v>0.11828166000000001</v>
      </c>
      <c r="G155" s="30"/>
      <c r="H155" s="63"/>
      <c r="I155" s="30"/>
      <c r="J155" s="63">
        <f t="shared" si="29"/>
        <v>0</v>
      </c>
      <c r="K155" s="7">
        <f t="shared" si="27"/>
        <v>0</v>
      </c>
    </row>
    <row r="156" spans="1:12" s="43" customFormat="1" ht="28.8" outlineLevel="2" x14ac:dyDescent="0.3">
      <c r="A156" s="4" t="s">
        <v>269</v>
      </c>
      <c r="B156" s="5" t="s">
        <v>270</v>
      </c>
      <c r="C156" s="73"/>
      <c r="D156" s="6" t="s">
        <v>22</v>
      </c>
      <c r="E156" s="77">
        <v>1.04</v>
      </c>
      <c r="F156" s="74">
        <f>15.26*3.325*E156/1000</f>
        <v>5.2769080000000003E-2</v>
      </c>
      <c r="G156" s="23"/>
      <c r="H156" s="74">
        <f t="shared" si="28"/>
        <v>0</v>
      </c>
      <c r="I156" s="23"/>
      <c r="J156" s="63"/>
      <c r="K156" s="7">
        <f t="shared" si="27"/>
        <v>0</v>
      </c>
    </row>
    <row r="157" spans="1:12" s="43" customFormat="1" ht="28.8" outlineLevel="2" x14ac:dyDescent="0.3">
      <c r="A157" s="4" t="s">
        <v>271</v>
      </c>
      <c r="B157" s="5" t="s">
        <v>272</v>
      </c>
      <c r="C157" s="73"/>
      <c r="D157" s="6" t="s">
        <v>22</v>
      </c>
      <c r="E157" s="77">
        <v>1.04</v>
      </c>
      <c r="F157" s="74">
        <f>10.6*1*3.325*E149/1000</f>
        <v>3.6654800000000001E-2</v>
      </c>
      <c r="G157" s="23"/>
      <c r="H157" s="74">
        <f t="shared" si="28"/>
        <v>0</v>
      </c>
      <c r="I157" s="23"/>
      <c r="J157" s="63"/>
      <c r="K157" s="7">
        <f t="shared" si="27"/>
        <v>0</v>
      </c>
    </row>
    <row r="158" spans="1:12" s="43" customFormat="1" ht="28.8" outlineLevel="2" x14ac:dyDescent="0.3">
      <c r="A158" s="4" t="s">
        <v>273</v>
      </c>
      <c r="B158" s="5" t="s">
        <v>274</v>
      </c>
      <c r="C158" s="73"/>
      <c r="D158" s="6" t="s">
        <v>22</v>
      </c>
      <c r="E158" s="77">
        <v>1.04</v>
      </c>
      <c r="F158" s="74">
        <f>10.6*4*0.2*E158/1000</f>
        <v>8.819200000000001E-3</v>
      </c>
      <c r="G158" s="23"/>
      <c r="H158" s="74">
        <f t="shared" si="28"/>
        <v>0</v>
      </c>
      <c r="I158" s="23"/>
      <c r="J158" s="63"/>
      <c r="K158" s="7">
        <f t="shared" si="27"/>
        <v>0</v>
      </c>
    </row>
    <row r="159" spans="1:12" s="43" customFormat="1" ht="28.8" outlineLevel="2" x14ac:dyDescent="0.3">
      <c r="A159" s="4" t="s">
        <v>275</v>
      </c>
      <c r="B159" s="5" t="s">
        <v>255</v>
      </c>
      <c r="C159" s="73"/>
      <c r="D159" s="6" t="s">
        <v>22</v>
      </c>
      <c r="E159" s="79">
        <v>1.04</v>
      </c>
      <c r="F159" s="74">
        <f>3.032*E159*4/1000</f>
        <v>1.261312E-2</v>
      </c>
      <c r="G159" s="23"/>
      <c r="H159" s="74">
        <f t="shared" si="28"/>
        <v>0</v>
      </c>
      <c r="I159" s="23"/>
      <c r="J159" s="63"/>
      <c r="K159" s="7">
        <f t="shared" si="27"/>
        <v>0</v>
      </c>
    </row>
    <row r="160" spans="1:12" s="43" customFormat="1" ht="28.8" outlineLevel="2" x14ac:dyDescent="0.3">
      <c r="A160" s="4" t="s">
        <v>276</v>
      </c>
      <c r="B160" s="5" t="s">
        <v>261</v>
      </c>
      <c r="C160" s="73"/>
      <c r="D160" s="6" t="s">
        <v>22</v>
      </c>
      <c r="E160" s="79">
        <v>1.04</v>
      </c>
      <c r="F160" s="74">
        <f>15.26*2*0.383*E160/1000</f>
        <v>1.21567264E-2</v>
      </c>
      <c r="G160" s="23"/>
      <c r="H160" s="74">
        <f t="shared" si="28"/>
        <v>0</v>
      </c>
      <c r="I160" s="23"/>
      <c r="J160" s="63"/>
      <c r="K160" s="7">
        <f t="shared" si="27"/>
        <v>0</v>
      </c>
    </row>
    <row r="161" spans="1:11" s="43" customFormat="1" ht="15.6" outlineLevel="1" x14ac:dyDescent="0.3">
      <c r="A161" s="27" t="s">
        <v>277</v>
      </c>
      <c r="B161" s="28" t="s">
        <v>39</v>
      </c>
      <c r="C161" s="64"/>
      <c r="D161" s="29" t="s">
        <v>22</v>
      </c>
      <c r="E161" s="65"/>
      <c r="F161" s="63">
        <f>F155</f>
        <v>0.11828166000000001</v>
      </c>
      <c r="G161" s="30"/>
      <c r="H161" s="63"/>
      <c r="I161" s="30"/>
      <c r="J161" s="63">
        <f t="shared" si="29"/>
        <v>0</v>
      </c>
      <c r="K161" s="7">
        <f t="shared" si="27"/>
        <v>0</v>
      </c>
    </row>
    <row r="162" spans="1:11" s="43" customFormat="1" ht="15.6" outlineLevel="2" x14ac:dyDescent="0.3">
      <c r="A162" s="4" t="s">
        <v>278</v>
      </c>
      <c r="B162" s="5" t="s">
        <v>264</v>
      </c>
      <c r="C162" s="73"/>
      <c r="D162" s="6" t="s">
        <v>42</v>
      </c>
      <c r="E162" s="77"/>
      <c r="F162" s="74">
        <v>16</v>
      </c>
      <c r="G162" s="23"/>
      <c r="H162" s="74">
        <f t="shared" si="28"/>
        <v>0</v>
      </c>
      <c r="I162" s="23"/>
      <c r="J162" s="63"/>
      <c r="K162" s="7">
        <f t="shared" si="27"/>
        <v>0</v>
      </c>
    </row>
    <row r="163" spans="1:11" s="43" customFormat="1" ht="15.6" outlineLevel="2" x14ac:dyDescent="0.3">
      <c r="A163" s="4" t="s">
        <v>279</v>
      </c>
      <c r="B163" s="5" t="s">
        <v>44</v>
      </c>
      <c r="C163" s="73"/>
      <c r="D163" s="6" t="s">
        <v>42</v>
      </c>
      <c r="E163" s="77"/>
      <c r="F163" s="74">
        <v>16</v>
      </c>
      <c r="G163" s="23"/>
      <c r="H163" s="74">
        <f t="shared" si="28"/>
        <v>0</v>
      </c>
      <c r="I163" s="23"/>
      <c r="J163" s="63"/>
      <c r="K163" s="7">
        <f t="shared" si="27"/>
        <v>0</v>
      </c>
    </row>
    <row r="164" spans="1:11" s="43" customFormat="1" ht="15.6" outlineLevel="2" x14ac:dyDescent="0.3">
      <c r="A164" s="4" t="s">
        <v>280</v>
      </c>
      <c r="B164" s="5" t="s">
        <v>46</v>
      </c>
      <c r="C164" s="73"/>
      <c r="D164" s="6" t="s">
        <v>42</v>
      </c>
      <c r="E164" s="77"/>
      <c r="F164" s="74">
        <v>16</v>
      </c>
      <c r="G164" s="23"/>
      <c r="H164" s="74">
        <f t="shared" si="28"/>
        <v>0</v>
      </c>
      <c r="I164" s="23"/>
      <c r="J164" s="63"/>
      <c r="K164" s="7">
        <f t="shared" si="27"/>
        <v>0</v>
      </c>
    </row>
    <row r="165" spans="1:11" s="43" customFormat="1" ht="15.6" outlineLevel="1" x14ac:dyDescent="0.3">
      <c r="A165" s="27" t="s">
        <v>281</v>
      </c>
      <c r="B165" s="28" t="s">
        <v>282</v>
      </c>
      <c r="C165" s="64"/>
      <c r="D165" s="29" t="s">
        <v>22</v>
      </c>
      <c r="E165" s="65"/>
      <c r="F165" s="63">
        <f>SUM(F166:F168)/E166</f>
        <v>8.4933460000000002E-2</v>
      </c>
      <c r="G165" s="30"/>
      <c r="H165" s="63"/>
      <c r="I165" s="30"/>
      <c r="J165" s="63">
        <f t="shared" si="29"/>
        <v>0</v>
      </c>
      <c r="K165" s="7">
        <f t="shared" si="27"/>
        <v>0</v>
      </c>
    </row>
    <row r="166" spans="1:11" s="43" customFormat="1" ht="28.8" outlineLevel="2" x14ac:dyDescent="0.3">
      <c r="A166" s="4" t="s">
        <v>283</v>
      </c>
      <c r="B166" s="5" t="s">
        <v>284</v>
      </c>
      <c r="C166" s="73"/>
      <c r="D166" s="6" t="s">
        <v>22</v>
      </c>
      <c r="E166" s="77">
        <v>1.04</v>
      </c>
      <c r="F166" s="74">
        <f>15.26*4.005*E166/1000</f>
        <v>6.3560952000000004E-2</v>
      </c>
      <c r="G166" s="23"/>
      <c r="H166" s="74">
        <f t="shared" si="28"/>
        <v>0</v>
      </c>
      <c r="I166" s="23"/>
      <c r="J166" s="63"/>
      <c r="K166" s="7">
        <f t="shared" si="27"/>
        <v>0</v>
      </c>
    </row>
    <row r="167" spans="1:11" s="43" customFormat="1" ht="28.8" outlineLevel="2" x14ac:dyDescent="0.3">
      <c r="A167" s="4" t="s">
        <v>285</v>
      </c>
      <c r="B167" s="5" t="s">
        <v>261</v>
      </c>
      <c r="C167" s="73"/>
      <c r="D167" s="6" t="s">
        <v>22</v>
      </c>
      <c r="E167" s="77">
        <v>1.04</v>
      </c>
      <c r="F167" s="74">
        <f>15.26*0.383*2*E167/1000</f>
        <v>1.21567264E-2</v>
      </c>
      <c r="G167" s="23"/>
      <c r="H167" s="74">
        <f t="shared" si="28"/>
        <v>0</v>
      </c>
      <c r="I167" s="23"/>
      <c r="J167" s="63"/>
      <c r="K167" s="7">
        <f t="shared" si="27"/>
        <v>0</v>
      </c>
    </row>
    <row r="168" spans="1:11" s="43" customFormat="1" ht="28.8" outlineLevel="2" x14ac:dyDescent="0.3">
      <c r="A168" s="4" t="s">
        <v>286</v>
      </c>
      <c r="B168" s="5" t="s">
        <v>255</v>
      </c>
      <c r="C168" s="73"/>
      <c r="D168" s="6" t="s">
        <v>22</v>
      </c>
      <c r="E168" s="77">
        <v>1.04</v>
      </c>
      <c r="F168" s="74">
        <f>3.032*4*E168/1000</f>
        <v>1.261312E-2</v>
      </c>
      <c r="G168" s="23"/>
      <c r="H168" s="74">
        <f t="shared" si="28"/>
        <v>0</v>
      </c>
      <c r="I168" s="23"/>
      <c r="J168" s="63"/>
      <c r="K168" s="7">
        <f t="shared" si="27"/>
        <v>0</v>
      </c>
    </row>
    <row r="169" spans="1:11" s="43" customFormat="1" ht="15.6" outlineLevel="1" x14ac:dyDescent="0.3">
      <c r="A169" s="27" t="s">
        <v>287</v>
      </c>
      <c r="B169" s="28" t="s">
        <v>39</v>
      </c>
      <c r="C169" s="64"/>
      <c r="D169" s="29" t="s">
        <v>22</v>
      </c>
      <c r="E169" s="65"/>
      <c r="F169" s="63">
        <f>F165</f>
        <v>8.4933460000000002E-2</v>
      </c>
      <c r="G169" s="30"/>
      <c r="H169" s="63"/>
      <c r="I169" s="30"/>
      <c r="J169" s="63">
        <f t="shared" si="29"/>
        <v>0</v>
      </c>
      <c r="K169" s="7">
        <f t="shared" ref="K169:K237" si="30">H169+J169</f>
        <v>0</v>
      </c>
    </row>
    <row r="170" spans="1:11" s="43" customFormat="1" ht="15.6" outlineLevel="2" x14ac:dyDescent="0.3">
      <c r="A170" s="4" t="s">
        <v>288</v>
      </c>
      <c r="B170" s="5" t="s">
        <v>264</v>
      </c>
      <c r="C170" s="73"/>
      <c r="D170" s="6" t="s">
        <v>42</v>
      </c>
      <c r="E170" s="77"/>
      <c r="F170" s="74">
        <v>8</v>
      </c>
      <c r="G170" s="23"/>
      <c r="H170" s="74">
        <f t="shared" si="28"/>
        <v>0</v>
      </c>
      <c r="I170" s="23"/>
      <c r="J170" s="63"/>
      <c r="K170" s="7">
        <f t="shared" si="30"/>
        <v>0</v>
      </c>
    </row>
    <row r="171" spans="1:11" s="43" customFormat="1" ht="15.6" outlineLevel="2" x14ac:dyDescent="0.3">
      <c r="A171" s="4" t="s">
        <v>289</v>
      </c>
      <c r="B171" s="5" t="s">
        <v>44</v>
      </c>
      <c r="C171" s="73"/>
      <c r="D171" s="6" t="s">
        <v>42</v>
      </c>
      <c r="E171" s="77"/>
      <c r="F171" s="74">
        <v>8</v>
      </c>
      <c r="G171" s="23"/>
      <c r="H171" s="74">
        <f t="shared" si="28"/>
        <v>0</v>
      </c>
      <c r="I171" s="23"/>
      <c r="J171" s="63"/>
      <c r="K171" s="7">
        <f t="shared" si="30"/>
        <v>0</v>
      </c>
    </row>
    <row r="172" spans="1:11" s="43" customFormat="1" ht="15.6" outlineLevel="2" x14ac:dyDescent="0.3">
      <c r="A172" s="4" t="s">
        <v>290</v>
      </c>
      <c r="B172" s="5" t="s">
        <v>46</v>
      </c>
      <c r="C172" s="73"/>
      <c r="D172" s="6" t="s">
        <v>42</v>
      </c>
      <c r="E172" s="77"/>
      <c r="F172" s="74">
        <v>8</v>
      </c>
      <c r="G172" s="23"/>
      <c r="H172" s="74">
        <f t="shared" si="28"/>
        <v>0</v>
      </c>
      <c r="I172" s="23"/>
      <c r="J172" s="63"/>
      <c r="K172" s="7">
        <f t="shared" si="30"/>
        <v>0</v>
      </c>
    </row>
    <row r="173" spans="1:11" s="43" customFormat="1" ht="15.6" outlineLevel="1" x14ac:dyDescent="0.3">
      <c r="A173" s="27" t="s">
        <v>291</v>
      </c>
      <c r="B173" s="28" t="s">
        <v>292</v>
      </c>
      <c r="C173" s="64"/>
      <c r="D173" s="29" t="s">
        <v>22</v>
      </c>
      <c r="E173" s="65"/>
      <c r="F173" s="63">
        <f>SUM(F174:F176)/E174</f>
        <v>7.5817460000000003E-2</v>
      </c>
      <c r="G173" s="30"/>
      <c r="H173" s="63"/>
      <c r="I173" s="30"/>
      <c r="J173" s="63">
        <f t="shared" si="29"/>
        <v>0</v>
      </c>
      <c r="K173" s="7">
        <f t="shared" si="30"/>
        <v>0</v>
      </c>
    </row>
    <row r="174" spans="1:11" s="43" customFormat="1" ht="28.8" outlineLevel="2" x14ac:dyDescent="0.3">
      <c r="A174" s="4" t="s">
        <v>293</v>
      </c>
      <c r="B174" s="5" t="s">
        <v>294</v>
      </c>
      <c r="C174" s="73"/>
      <c r="D174" s="6" t="s">
        <v>22</v>
      </c>
      <c r="E174" s="77">
        <f t="shared" ref="E174" si="31">$E$158</f>
        <v>1.04</v>
      </c>
      <c r="F174" s="74">
        <f>15.26*3.805*E174/1000</f>
        <v>6.0386872000000001E-2</v>
      </c>
      <c r="G174" s="23"/>
      <c r="H174" s="74">
        <f t="shared" si="28"/>
        <v>0</v>
      </c>
      <c r="I174" s="23"/>
      <c r="J174" s="63"/>
      <c r="K174" s="7">
        <f t="shared" si="30"/>
        <v>0</v>
      </c>
    </row>
    <row r="175" spans="1:11" s="43" customFormat="1" ht="28.8" outlineLevel="2" x14ac:dyDescent="0.3">
      <c r="A175" s="4" t="s">
        <v>295</v>
      </c>
      <c r="B175" s="5" t="s">
        <v>261</v>
      </c>
      <c r="C175" s="73"/>
      <c r="D175" s="6" t="s">
        <v>22</v>
      </c>
      <c r="E175" s="77">
        <v>1.04</v>
      </c>
      <c r="F175" s="74">
        <f>15.26*0.383*2*E175/1000</f>
        <v>1.21567264E-2</v>
      </c>
      <c r="G175" s="23"/>
      <c r="H175" s="74">
        <f t="shared" si="28"/>
        <v>0</v>
      </c>
      <c r="I175" s="23"/>
      <c r="J175" s="63"/>
      <c r="K175" s="7">
        <f t="shared" si="30"/>
        <v>0</v>
      </c>
    </row>
    <row r="176" spans="1:11" s="43" customFormat="1" ht="28.8" outlineLevel="2" x14ac:dyDescent="0.3">
      <c r="A176" s="4" t="s">
        <v>296</v>
      </c>
      <c r="B176" s="5" t="s">
        <v>255</v>
      </c>
      <c r="C176" s="73"/>
      <c r="D176" s="6" t="s">
        <v>22</v>
      </c>
      <c r="E176" s="77">
        <v>1.04</v>
      </c>
      <c r="F176" s="74">
        <f>3.032*2*E176/1000</f>
        <v>6.3065600000000001E-3</v>
      </c>
      <c r="G176" s="23"/>
      <c r="H176" s="74">
        <f t="shared" si="28"/>
        <v>0</v>
      </c>
      <c r="I176" s="23"/>
      <c r="J176" s="63"/>
      <c r="K176" s="7">
        <f t="shared" si="30"/>
        <v>0</v>
      </c>
    </row>
    <row r="177" spans="1:11" s="43" customFormat="1" ht="15.6" outlineLevel="1" x14ac:dyDescent="0.3">
      <c r="A177" s="27" t="s">
        <v>297</v>
      </c>
      <c r="B177" s="28" t="s">
        <v>39</v>
      </c>
      <c r="C177" s="64"/>
      <c r="D177" s="29" t="s">
        <v>22</v>
      </c>
      <c r="E177" s="65"/>
      <c r="F177" s="63">
        <f>F173</f>
        <v>7.5817460000000003E-2</v>
      </c>
      <c r="G177" s="30"/>
      <c r="H177" s="63"/>
      <c r="I177" s="30"/>
      <c r="J177" s="63">
        <f t="shared" si="29"/>
        <v>0</v>
      </c>
      <c r="K177" s="7">
        <f t="shared" si="30"/>
        <v>0</v>
      </c>
    </row>
    <row r="178" spans="1:11" s="43" customFormat="1" ht="15.6" outlineLevel="2" x14ac:dyDescent="0.3">
      <c r="A178" s="4" t="s">
        <v>298</v>
      </c>
      <c r="B178" s="5" t="s">
        <v>264</v>
      </c>
      <c r="C178" s="73"/>
      <c r="D178" s="6" t="s">
        <v>42</v>
      </c>
      <c r="E178" s="77"/>
      <c r="F178" s="74">
        <f>F177</f>
        <v>7.5817460000000003E-2</v>
      </c>
      <c r="G178" s="23"/>
      <c r="H178" s="74">
        <f t="shared" si="28"/>
        <v>0</v>
      </c>
      <c r="I178" s="23"/>
      <c r="J178" s="63"/>
      <c r="K178" s="7">
        <f t="shared" si="30"/>
        <v>0</v>
      </c>
    </row>
    <row r="179" spans="1:11" s="43" customFormat="1" ht="15.6" outlineLevel="2" x14ac:dyDescent="0.3">
      <c r="A179" s="4" t="s">
        <v>299</v>
      </c>
      <c r="B179" s="5" t="s">
        <v>44</v>
      </c>
      <c r="C179" s="73"/>
      <c r="D179" s="6" t="s">
        <v>42</v>
      </c>
      <c r="E179" s="77"/>
      <c r="F179" s="74">
        <f>F178</f>
        <v>7.5817460000000003E-2</v>
      </c>
      <c r="G179" s="23"/>
      <c r="H179" s="74">
        <f t="shared" si="28"/>
        <v>0</v>
      </c>
      <c r="I179" s="23"/>
      <c r="J179" s="63"/>
      <c r="K179" s="7">
        <f t="shared" si="30"/>
        <v>0</v>
      </c>
    </row>
    <row r="180" spans="1:11" s="43" customFormat="1" ht="15.6" outlineLevel="2" x14ac:dyDescent="0.3">
      <c r="A180" s="4" t="s">
        <v>300</v>
      </c>
      <c r="B180" s="5" t="s">
        <v>46</v>
      </c>
      <c r="C180" s="73"/>
      <c r="D180" s="6" t="s">
        <v>42</v>
      </c>
      <c r="E180" s="77"/>
      <c r="F180" s="74">
        <f>F179</f>
        <v>7.5817460000000003E-2</v>
      </c>
      <c r="G180" s="23"/>
      <c r="H180" s="74">
        <f t="shared" si="28"/>
        <v>0</v>
      </c>
      <c r="I180" s="23"/>
      <c r="J180" s="63"/>
      <c r="K180" s="7">
        <f t="shared" si="30"/>
        <v>0</v>
      </c>
    </row>
    <row r="181" spans="1:11" s="43" customFormat="1" ht="15.6" outlineLevel="1" x14ac:dyDescent="0.3">
      <c r="A181" s="27" t="s">
        <v>301</v>
      </c>
      <c r="B181" s="28" t="s">
        <v>302</v>
      </c>
      <c r="C181" s="64"/>
      <c r="D181" s="29" t="s">
        <v>22</v>
      </c>
      <c r="E181" s="65"/>
      <c r="F181" s="63">
        <f>SUM(F182:F188)/E182</f>
        <v>0.14703446000000003</v>
      </c>
      <c r="G181" s="30"/>
      <c r="H181" s="63"/>
      <c r="I181" s="30"/>
      <c r="J181" s="63">
        <f t="shared" si="29"/>
        <v>0</v>
      </c>
      <c r="K181" s="7">
        <f t="shared" si="30"/>
        <v>0</v>
      </c>
    </row>
    <row r="182" spans="1:11" s="43" customFormat="1" ht="28.8" outlineLevel="2" x14ac:dyDescent="0.3">
      <c r="A182" s="4" t="s">
        <v>303</v>
      </c>
      <c r="B182" s="5" t="s">
        <v>270</v>
      </c>
      <c r="C182" s="73"/>
      <c r="D182" s="6" t="s">
        <v>22</v>
      </c>
      <c r="E182" s="77">
        <f t="shared" ref="E182:E188" si="32">$E$158</f>
        <v>1.04</v>
      </c>
      <c r="F182" s="74">
        <f>15.26*3.305*E182/1000</f>
        <v>5.2451672000000005E-2</v>
      </c>
      <c r="G182" s="23"/>
      <c r="H182" s="74">
        <f t="shared" si="28"/>
        <v>0</v>
      </c>
      <c r="I182" s="23"/>
      <c r="J182" s="63"/>
      <c r="K182" s="7">
        <f t="shared" si="30"/>
        <v>0</v>
      </c>
    </row>
    <row r="183" spans="1:11" s="43" customFormat="1" ht="28.8" outlineLevel="2" x14ac:dyDescent="0.3">
      <c r="A183" s="4" t="s">
        <v>304</v>
      </c>
      <c r="B183" s="5" t="s">
        <v>305</v>
      </c>
      <c r="C183" s="73"/>
      <c r="D183" s="6" t="s">
        <v>22</v>
      </c>
      <c r="E183" s="77">
        <f t="shared" si="32"/>
        <v>1.04</v>
      </c>
      <c r="F183" s="74">
        <f>10.6*1*2.925*E175/1000</f>
        <v>3.2245199999999995E-2</v>
      </c>
      <c r="G183" s="23"/>
      <c r="H183" s="74">
        <f t="shared" si="28"/>
        <v>0</v>
      </c>
      <c r="I183" s="23"/>
      <c r="J183" s="63"/>
      <c r="K183" s="7">
        <f t="shared" si="30"/>
        <v>0</v>
      </c>
    </row>
    <row r="184" spans="1:11" s="43" customFormat="1" ht="28.8" outlineLevel="2" x14ac:dyDescent="0.3">
      <c r="A184" s="4" t="s">
        <v>306</v>
      </c>
      <c r="B184" s="5" t="s">
        <v>259</v>
      </c>
      <c r="C184" s="73"/>
      <c r="D184" s="6" t="s">
        <v>22</v>
      </c>
      <c r="E184" s="77">
        <f t="shared" si="32"/>
        <v>1.04</v>
      </c>
      <c r="F184" s="74">
        <f>10.6*1*2.73*E176/1000</f>
        <v>3.0095520000000001E-2</v>
      </c>
      <c r="G184" s="23"/>
      <c r="H184" s="74">
        <f t="shared" si="28"/>
        <v>0</v>
      </c>
      <c r="I184" s="23"/>
      <c r="J184" s="63"/>
      <c r="K184" s="7">
        <f t="shared" si="30"/>
        <v>0</v>
      </c>
    </row>
    <row r="185" spans="1:11" s="43" customFormat="1" ht="28.8" outlineLevel="2" x14ac:dyDescent="0.3">
      <c r="A185" s="4" t="s">
        <v>307</v>
      </c>
      <c r="B185" s="5" t="s">
        <v>257</v>
      </c>
      <c r="C185" s="73"/>
      <c r="D185" s="6" t="s">
        <v>22</v>
      </c>
      <c r="E185" s="79">
        <f t="shared" si="32"/>
        <v>1.04</v>
      </c>
      <c r="F185" s="74">
        <f>1.09*4*E185/1000</f>
        <v>4.5344000000000009E-3</v>
      </c>
      <c r="G185" s="23"/>
      <c r="H185" s="74">
        <f t="shared" si="28"/>
        <v>0</v>
      </c>
      <c r="I185" s="23"/>
      <c r="J185" s="63"/>
      <c r="K185" s="7">
        <f t="shared" si="30"/>
        <v>0</v>
      </c>
    </row>
    <row r="186" spans="1:11" s="43" customFormat="1" ht="28.8" outlineLevel="2" x14ac:dyDescent="0.3">
      <c r="A186" s="4" t="s">
        <v>308</v>
      </c>
      <c r="B186" s="5" t="s">
        <v>274</v>
      </c>
      <c r="C186" s="73"/>
      <c r="D186" s="6" t="s">
        <v>22</v>
      </c>
      <c r="E186" s="79">
        <f t="shared" si="32"/>
        <v>1.04</v>
      </c>
      <c r="F186" s="74">
        <f>10.6*4*0.2*E186/1000</f>
        <v>8.819200000000001E-3</v>
      </c>
      <c r="G186" s="23"/>
      <c r="H186" s="74">
        <f t="shared" si="28"/>
        <v>0</v>
      </c>
      <c r="I186" s="23"/>
      <c r="J186" s="63"/>
      <c r="K186" s="7">
        <f t="shared" si="30"/>
        <v>0</v>
      </c>
    </row>
    <row r="187" spans="1:11" s="43" customFormat="1" ht="28.8" outlineLevel="2" x14ac:dyDescent="0.3">
      <c r="A187" s="4" t="s">
        <v>309</v>
      </c>
      <c r="B187" s="5" t="s">
        <v>255</v>
      </c>
      <c r="C187" s="73"/>
      <c r="D187" s="6" t="s">
        <v>22</v>
      </c>
      <c r="E187" s="77">
        <f t="shared" si="32"/>
        <v>1.04</v>
      </c>
      <c r="F187" s="74">
        <f>3.032*4*E187/1000</f>
        <v>1.261312E-2</v>
      </c>
      <c r="G187" s="23"/>
      <c r="H187" s="74">
        <f t="shared" si="28"/>
        <v>0</v>
      </c>
      <c r="I187" s="23"/>
      <c r="J187" s="63"/>
      <c r="K187" s="7">
        <f t="shared" si="30"/>
        <v>0</v>
      </c>
    </row>
    <row r="188" spans="1:11" s="43" customFormat="1" ht="28.8" outlineLevel="2" x14ac:dyDescent="0.3">
      <c r="A188" s="4" t="s">
        <v>310</v>
      </c>
      <c r="B188" s="5" t="s">
        <v>261</v>
      </c>
      <c r="C188" s="73"/>
      <c r="D188" s="6" t="s">
        <v>22</v>
      </c>
      <c r="E188" s="77">
        <f t="shared" si="32"/>
        <v>1.04</v>
      </c>
      <c r="F188" s="74">
        <f>15.26*0.383*2*E188/1000</f>
        <v>1.21567264E-2</v>
      </c>
      <c r="G188" s="23"/>
      <c r="H188" s="74">
        <f t="shared" si="28"/>
        <v>0</v>
      </c>
      <c r="I188" s="23"/>
      <c r="J188" s="63"/>
      <c r="K188" s="7">
        <f t="shared" si="30"/>
        <v>0</v>
      </c>
    </row>
    <row r="189" spans="1:11" s="43" customFormat="1" ht="15.6" outlineLevel="1" x14ac:dyDescent="0.3">
      <c r="A189" s="27" t="s">
        <v>311</v>
      </c>
      <c r="B189" s="28" t="s">
        <v>39</v>
      </c>
      <c r="C189" s="64"/>
      <c r="D189" s="29" t="s">
        <v>22</v>
      </c>
      <c r="E189" s="65"/>
      <c r="F189" s="63">
        <f>F181</f>
        <v>0.14703446000000003</v>
      </c>
      <c r="G189" s="30"/>
      <c r="H189" s="63"/>
      <c r="I189" s="30"/>
      <c r="J189" s="63">
        <f t="shared" si="29"/>
        <v>0</v>
      </c>
      <c r="K189" s="7">
        <f t="shared" si="30"/>
        <v>0</v>
      </c>
    </row>
    <row r="190" spans="1:11" s="43" customFormat="1" ht="15.6" outlineLevel="2" x14ac:dyDescent="0.3">
      <c r="A190" s="4" t="s">
        <v>312</v>
      </c>
      <c r="B190" s="5" t="s">
        <v>264</v>
      </c>
      <c r="C190" s="73"/>
      <c r="D190" s="6" t="s">
        <v>42</v>
      </c>
      <c r="E190" s="77"/>
      <c r="F190" s="74">
        <v>24</v>
      </c>
      <c r="G190" s="23"/>
      <c r="H190" s="74">
        <f t="shared" si="28"/>
        <v>0</v>
      </c>
      <c r="I190" s="23"/>
      <c r="J190" s="63"/>
      <c r="K190" s="7">
        <f t="shared" si="30"/>
        <v>0</v>
      </c>
    </row>
    <row r="191" spans="1:11" s="43" customFormat="1" ht="15.6" outlineLevel="2" x14ac:dyDescent="0.3">
      <c r="A191" s="4" t="s">
        <v>313</v>
      </c>
      <c r="B191" s="5" t="s">
        <v>44</v>
      </c>
      <c r="C191" s="73"/>
      <c r="D191" s="6" t="s">
        <v>42</v>
      </c>
      <c r="E191" s="77"/>
      <c r="F191" s="74">
        <f>F190</f>
        <v>24</v>
      </c>
      <c r="G191" s="23"/>
      <c r="H191" s="74">
        <f t="shared" si="28"/>
        <v>0</v>
      </c>
      <c r="I191" s="23"/>
      <c r="J191" s="63"/>
      <c r="K191" s="7">
        <f t="shared" si="30"/>
        <v>0</v>
      </c>
    </row>
    <row r="192" spans="1:11" s="43" customFormat="1" ht="15.6" outlineLevel="2" x14ac:dyDescent="0.3">
      <c r="A192" s="4" t="s">
        <v>314</v>
      </c>
      <c r="B192" s="5" t="s">
        <v>46</v>
      </c>
      <c r="C192" s="73"/>
      <c r="D192" s="6" t="s">
        <v>42</v>
      </c>
      <c r="E192" s="77"/>
      <c r="F192" s="74">
        <f>F190</f>
        <v>24</v>
      </c>
      <c r="G192" s="23"/>
      <c r="H192" s="74">
        <f t="shared" si="28"/>
        <v>0</v>
      </c>
      <c r="I192" s="23"/>
      <c r="J192" s="63"/>
      <c r="K192" s="7">
        <f t="shared" si="30"/>
        <v>0</v>
      </c>
    </row>
    <row r="193" spans="1:11" s="43" customFormat="1" ht="15.6" outlineLevel="1" x14ac:dyDescent="0.3">
      <c r="A193" s="27" t="s">
        <v>315</v>
      </c>
      <c r="B193" s="28" t="s">
        <v>316</v>
      </c>
      <c r="C193" s="64"/>
      <c r="D193" s="29" t="s">
        <v>22</v>
      </c>
      <c r="E193" s="65"/>
      <c r="F193" s="63">
        <f>SUM(F194:F200)/E194</f>
        <v>0.25604335999999994</v>
      </c>
      <c r="G193" s="30"/>
      <c r="H193" s="63"/>
      <c r="I193" s="30"/>
      <c r="J193" s="63">
        <f t="shared" si="29"/>
        <v>0</v>
      </c>
      <c r="K193" s="7">
        <f t="shared" si="30"/>
        <v>0</v>
      </c>
    </row>
    <row r="194" spans="1:11" s="43" customFormat="1" ht="28.8" outlineLevel="2" x14ac:dyDescent="0.3">
      <c r="A194" s="4" t="s">
        <v>317</v>
      </c>
      <c r="B194" s="5" t="s">
        <v>318</v>
      </c>
      <c r="C194" s="73"/>
      <c r="D194" s="6" t="s">
        <v>22</v>
      </c>
      <c r="E194" s="77">
        <f>$E$158</f>
        <v>1.04</v>
      </c>
      <c r="F194" s="74">
        <f>15.26*5.11*E194/1000</f>
        <v>8.1097743999999999E-2</v>
      </c>
      <c r="G194" s="23"/>
      <c r="H194" s="74">
        <f t="shared" si="28"/>
        <v>0</v>
      </c>
      <c r="I194" s="23"/>
      <c r="J194" s="63"/>
      <c r="K194" s="7">
        <f t="shared" si="30"/>
        <v>0</v>
      </c>
    </row>
    <row r="195" spans="1:11" s="43" customFormat="1" ht="28.8" outlineLevel="2" x14ac:dyDescent="0.3">
      <c r="A195" s="4" t="s">
        <v>319</v>
      </c>
      <c r="B195" s="5" t="s">
        <v>250</v>
      </c>
      <c r="C195" s="73"/>
      <c r="D195" s="6" t="s">
        <v>22</v>
      </c>
      <c r="E195" s="77">
        <f>$E$158</f>
        <v>1.04</v>
      </c>
      <c r="F195" s="74">
        <f>15.26*2.73*2*E195/1000</f>
        <v>8.6652383999999999E-2</v>
      </c>
      <c r="G195" s="23"/>
      <c r="H195" s="74">
        <f t="shared" si="28"/>
        <v>0</v>
      </c>
      <c r="I195" s="23"/>
      <c r="J195" s="63"/>
      <c r="K195" s="7">
        <f t="shared" si="30"/>
        <v>0</v>
      </c>
    </row>
    <row r="196" spans="1:11" s="43" customFormat="1" ht="28.8" outlineLevel="2" x14ac:dyDescent="0.3">
      <c r="A196" s="4" t="s">
        <v>320</v>
      </c>
      <c r="B196" s="5" t="s">
        <v>321</v>
      </c>
      <c r="C196" s="73"/>
      <c r="D196" s="6" t="s">
        <v>22</v>
      </c>
      <c r="E196" s="77">
        <f t="shared" ref="E196:E200" si="33">$E$158</f>
        <v>1.04</v>
      </c>
      <c r="F196" s="74">
        <f>10.6*1*3.55*E187/1000</f>
        <v>3.9135199999999995E-2</v>
      </c>
      <c r="G196" s="23"/>
      <c r="H196" s="74">
        <f t="shared" si="28"/>
        <v>0</v>
      </c>
      <c r="I196" s="23"/>
      <c r="J196" s="63"/>
      <c r="K196" s="7">
        <f t="shared" si="30"/>
        <v>0</v>
      </c>
    </row>
    <row r="197" spans="1:11" s="43" customFormat="1" ht="28.8" outlineLevel="2" x14ac:dyDescent="0.3">
      <c r="A197" s="4" t="s">
        <v>322</v>
      </c>
      <c r="B197" s="5" t="s">
        <v>259</v>
      </c>
      <c r="C197" s="73"/>
      <c r="D197" s="6" t="s">
        <v>22</v>
      </c>
      <c r="E197" s="79">
        <f t="shared" si="33"/>
        <v>1.04</v>
      </c>
      <c r="F197" s="74">
        <f>10.6*1*2.73*E188/1000</f>
        <v>3.0095520000000001E-2</v>
      </c>
      <c r="G197" s="23"/>
      <c r="H197" s="74">
        <f t="shared" si="28"/>
        <v>0</v>
      </c>
      <c r="I197" s="23"/>
      <c r="J197" s="63"/>
      <c r="K197" s="7">
        <f t="shared" si="30"/>
        <v>0</v>
      </c>
    </row>
    <row r="198" spans="1:11" s="43" customFormat="1" ht="28.8" outlineLevel="2" x14ac:dyDescent="0.3">
      <c r="A198" s="4" t="s">
        <v>322</v>
      </c>
      <c r="B198" s="5" t="s">
        <v>257</v>
      </c>
      <c r="C198" s="73"/>
      <c r="D198" s="6" t="s">
        <v>22</v>
      </c>
      <c r="E198" s="79">
        <f t="shared" si="33"/>
        <v>1.04</v>
      </c>
      <c r="F198" s="74">
        <f>1.09*4*E198/1000</f>
        <v>4.5344000000000009E-3</v>
      </c>
      <c r="G198" s="23"/>
      <c r="H198" s="74">
        <f t="shared" si="28"/>
        <v>0</v>
      </c>
      <c r="I198" s="23"/>
      <c r="J198" s="63"/>
      <c r="K198" s="7">
        <f t="shared" si="30"/>
        <v>0</v>
      </c>
    </row>
    <row r="199" spans="1:11" s="43" customFormat="1" ht="28.8" outlineLevel="2" x14ac:dyDescent="0.3">
      <c r="A199" s="4" t="s">
        <v>323</v>
      </c>
      <c r="B199" s="5" t="s">
        <v>255</v>
      </c>
      <c r="C199" s="73"/>
      <c r="D199" s="6" t="s">
        <v>22</v>
      </c>
      <c r="E199" s="77">
        <f t="shared" si="33"/>
        <v>1.04</v>
      </c>
      <c r="F199" s="74">
        <f>3.032*4*E199/1000</f>
        <v>1.261312E-2</v>
      </c>
      <c r="G199" s="23"/>
      <c r="H199" s="74">
        <f t="shared" si="28"/>
        <v>0</v>
      </c>
      <c r="I199" s="23"/>
      <c r="J199" s="63"/>
      <c r="K199" s="7">
        <f t="shared" si="30"/>
        <v>0</v>
      </c>
    </row>
    <row r="200" spans="1:11" s="43" customFormat="1" ht="28.8" outlineLevel="2" x14ac:dyDescent="0.3">
      <c r="A200" s="4" t="s">
        <v>324</v>
      </c>
      <c r="B200" s="5" t="s">
        <v>261</v>
      </c>
      <c r="C200" s="73"/>
      <c r="D200" s="6" t="s">
        <v>22</v>
      </c>
      <c r="E200" s="77">
        <f t="shared" si="33"/>
        <v>1.04</v>
      </c>
      <c r="F200" s="74">
        <f>15.26*0.383*2*E200/1000</f>
        <v>1.21567264E-2</v>
      </c>
      <c r="G200" s="23"/>
      <c r="H200" s="74">
        <f t="shared" si="28"/>
        <v>0</v>
      </c>
      <c r="I200" s="23"/>
      <c r="J200" s="63"/>
      <c r="K200" s="7">
        <f t="shared" si="30"/>
        <v>0</v>
      </c>
    </row>
    <row r="201" spans="1:11" s="43" customFormat="1" ht="15.6" outlineLevel="1" x14ac:dyDescent="0.3">
      <c r="A201" s="27" t="s">
        <v>325</v>
      </c>
      <c r="B201" s="28" t="s">
        <v>39</v>
      </c>
      <c r="C201" s="64"/>
      <c r="D201" s="29" t="s">
        <v>22</v>
      </c>
      <c r="E201" s="65"/>
      <c r="F201" s="63">
        <f>F193</f>
        <v>0.25604335999999994</v>
      </c>
      <c r="G201" s="30"/>
      <c r="H201" s="63"/>
      <c r="I201" s="30"/>
      <c r="J201" s="63">
        <f t="shared" si="29"/>
        <v>0</v>
      </c>
      <c r="K201" s="7">
        <f t="shared" si="30"/>
        <v>0</v>
      </c>
    </row>
    <row r="202" spans="1:11" s="43" customFormat="1" ht="15.6" outlineLevel="2" x14ac:dyDescent="0.3">
      <c r="A202" s="4" t="s">
        <v>326</v>
      </c>
      <c r="B202" s="5" t="s">
        <v>264</v>
      </c>
      <c r="C202" s="73"/>
      <c r="D202" s="6" t="s">
        <v>42</v>
      </c>
      <c r="E202" s="77"/>
      <c r="F202" s="74">
        <v>24</v>
      </c>
      <c r="G202" s="23"/>
      <c r="H202" s="74">
        <f t="shared" si="28"/>
        <v>0</v>
      </c>
      <c r="I202" s="23"/>
      <c r="J202" s="63"/>
      <c r="K202" s="7">
        <f t="shared" si="30"/>
        <v>0</v>
      </c>
    </row>
    <row r="203" spans="1:11" s="43" customFormat="1" ht="15.6" outlineLevel="2" x14ac:dyDescent="0.3">
      <c r="A203" s="4" t="s">
        <v>327</v>
      </c>
      <c r="B203" s="5" t="s">
        <v>44</v>
      </c>
      <c r="C203" s="73"/>
      <c r="D203" s="6" t="s">
        <v>42</v>
      </c>
      <c r="E203" s="77"/>
      <c r="F203" s="74">
        <f>F202</f>
        <v>24</v>
      </c>
      <c r="G203" s="23"/>
      <c r="H203" s="74">
        <f t="shared" si="28"/>
        <v>0</v>
      </c>
      <c r="I203" s="23"/>
      <c r="J203" s="63"/>
      <c r="K203" s="7">
        <f t="shared" si="30"/>
        <v>0</v>
      </c>
    </row>
    <row r="204" spans="1:11" s="43" customFormat="1" ht="15.6" outlineLevel="2" x14ac:dyDescent="0.3">
      <c r="A204" s="4" t="s">
        <v>328</v>
      </c>
      <c r="B204" s="5" t="s">
        <v>46</v>
      </c>
      <c r="C204" s="73"/>
      <c r="D204" s="6" t="s">
        <v>42</v>
      </c>
      <c r="E204" s="77"/>
      <c r="F204" s="74">
        <f>F202</f>
        <v>24</v>
      </c>
      <c r="G204" s="23"/>
      <c r="H204" s="74">
        <f t="shared" si="28"/>
        <v>0</v>
      </c>
      <c r="I204" s="23"/>
      <c r="J204" s="63"/>
      <c r="K204" s="7">
        <f t="shared" si="30"/>
        <v>0</v>
      </c>
    </row>
    <row r="205" spans="1:11" s="43" customFormat="1" ht="15.6" outlineLevel="1" x14ac:dyDescent="0.3">
      <c r="A205" s="27" t="s">
        <v>329</v>
      </c>
      <c r="B205" s="28" t="s">
        <v>61</v>
      </c>
      <c r="C205" s="64"/>
      <c r="D205" s="29" t="s">
        <v>62</v>
      </c>
      <c r="E205" s="65"/>
      <c r="F205" s="63">
        <v>32.28</v>
      </c>
      <c r="G205" s="30"/>
      <c r="H205" s="63"/>
      <c r="I205" s="30"/>
      <c r="J205" s="63">
        <f t="shared" si="29"/>
        <v>0</v>
      </c>
      <c r="K205" s="7">
        <f t="shared" si="30"/>
        <v>0</v>
      </c>
    </row>
    <row r="206" spans="1:11" s="43" customFormat="1" ht="15.6" outlineLevel="2" x14ac:dyDescent="0.3">
      <c r="A206" s="4" t="s">
        <v>330</v>
      </c>
      <c r="B206" s="5" t="s">
        <v>331</v>
      </c>
      <c r="C206" s="73"/>
      <c r="D206" s="6" t="s">
        <v>62</v>
      </c>
      <c r="E206" s="77">
        <v>0.9</v>
      </c>
      <c r="F206" s="74">
        <f>F205*E206</f>
        <v>29.052000000000003</v>
      </c>
      <c r="G206" s="23"/>
      <c r="H206" s="74">
        <f t="shared" ref="H206:H237" si="34">F206*G206</f>
        <v>0</v>
      </c>
      <c r="I206" s="23"/>
      <c r="J206" s="63"/>
      <c r="K206" s="7">
        <f t="shared" si="30"/>
        <v>0</v>
      </c>
    </row>
    <row r="207" spans="1:11" s="43" customFormat="1" ht="15.6" outlineLevel="2" x14ac:dyDescent="0.3">
      <c r="A207" s="4" t="s">
        <v>332</v>
      </c>
      <c r="B207" s="5" t="s">
        <v>64</v>
      </c>
      <c r="C207" s="73"/>
      <c r="D207" s="6" t="s">
        <v>127</v>
      </c>
      <c r="E207" s="77">
        <v>0.18</v>
      </c>
      <c r="F207" s="74">
        <f>F205*E207</f>
        <v>5.8103999999999996</v>
      </c>
      <c r="G207" s="23"/>
      <c r="H207" s="74">
        <f t="shared" si="34"/>
        <v>0</v>
      </c>
      <c r="I207" s="23"/>
      <c r="J207" s="63"/>
      <c r="K207" s="7">
        <f t="shared" si="30"/>
        <v>0</v>
      </c>
    </row>
    <row r="208" spans="1:11" s="43" customFormat="1" ht="15.6" outlineLevel="2" x14ac:dyDescent="0.3">
      <c r="A208" s="4" t="s">
        <v>333</v>
      </c>
      <c r="B208" s="5" t="s">
        <v>66</v>
      </c>
      <c r="C208" s="73"/>
      <c r="D208" s="6" t="s">
        <v>59</v>
      </c>
      <c r="E208" s="77">
        <v>0.05</v>
      </c>
      <c r="F208" s="74">
        <f>F205*E208</f>
        <v>1.6140000000000001</v>
      </c>
      <c r="G208" s="23"/>
      <c r="H208" s="74">
        <f t="shared" si="34"/>
        <v>0</v>
      </c>
      <c r="I208" s="23"/>
      <c r="J208" s="63"/>
      <c r="K208" s="7">
        <f t="shared" si="30"/>
        <v>0</v>
      </c>
    </row>
    <row r="209" spans="1:11" s="43" customFormat="1" ht="15.6" outlineLevel="1" x14ac:dyDescent="0.3">
      <c r="A209" s="27" t="s">
        <v>334</v>
      </c>
      <c r="B209" s="28" t="s">
        <v>68</v>
      </c>
      <c r="C209" s="64"/>
      <c r="D209" s="29" t="s">
        <v>62</v>
      </c>
      <c r="E209" s="65"/>
      <c r="F209" s="63">
        <f>F205</f>
        <v>32.28</v>
      </c>
      <c r="G209" s="30"/>
      <c r="H209" s="63"/>
      <c r="I209" s="30"/>
      <c r="J209" s="63">
        <f t="shared" ref="J209:J233" si="35">$F209*I209</f>
        <v>0</v>
      </c>
      <c r="K209" s="7">
        <f t="shared" si="30"/>
        <v>0</v>
      </c>
    </row>
    <row r="210" spans="1:11" s="43" customFormat="1" ht="15.6" outlineLevel="2" x14ac:dyDescent="0.3">
      <c r="A210" s="4" t="s">
        <v>335</v>
      </c>
      <c r="B210" s="5" t="s">
        <v>108</v>
      </c>
      <c r="C210" s="73"/>
      <c r="D210" s="6" t="s">
        <v>127</v>
      </c>
      <c r="E210" s="77">
        <v>0.25</v>
      </c>
      <c r="F210" s="74">
        <f>F209*E210</f>
        <v>8.07</v>
      </c>
      <c r="G210" s="23"/>
      <c r="H210" s="74">
        <f t="shared" si="34"/>
        <v>0</v>
      </c>
      <c r="I210" s="23"/>
      <c r="J210" s="63"/>
      <c r="K210" s="7">
        <f t="shared" si="30"/>
        <v>0</v>
      </c>
    </row>
    <row r="211" spans="1:11" s="43" customFormat="1" ht="15.6" outlineLevel="2" x14ac:dyDescent="0.3">
      <c r="A211" s="4" t="s">
        <v>336</v>
      </c>
      <c r="B211" s="5" t="s">
        <v>129</v>
      </c>
      <c r="C211" s="73"/>
      <c r="D211" s="6" t="s">
        <v>59</v>
      </c>
      <c r="E211" s="77">
        <v>0.05</v>
      </c>
      <c r="F211" s="74">
        <f>F209*E211</f>
        <v>1.6140000000000001</v>
      </c>
      <c r="G211" s="23"/>
      <c r="H211" s="74">
        <f t="shared" si="34"/>
        <v>0</v>
      </c>
      <c r="I211" s="23"/>
      <c r="J211" s="63"/>
      <c r="K211" s="7">
        <f t="shared" si="30"/>
        <v>0</v>
      </c>
    </row>
    <row r="212" spans="1:11" s="26" customFormat="1" ht="47.4" thickBot="1" x14ac:dyDescent="0.35">
      <c r="A212" s="31" t="s">
        <v>337</v>
      </c>
      <c r="B212" s="32" t="s">
        <v>338</v>
      </c>
      <c r="C212" s="62"/>
      <c r="D212" s="33" t="s">
        <v>22</v>
      </c>
      <c r="E212" s="41"/>
      <c r="F212" s="34">
        <f>F213</f>
        <v>0.5693376</v>
      </c>
      <c r="G212" s="24"/>
      <c r="H212" s="69">
        <f>SUM(H213:H237)</f>
        <v>0</v>
      </c>
      <c r="I212" s="24"/>
      <c r="J212" s="69">
        <f>SUM(J213:J237)</f>
        <v>0</v>
      </c>
      <c r="K212" s="25">
        <f>H212+J212</f>
        <v>0</v>
      </c>
    </row>
    <row r="213" spans="1:11" s="43" customFormat="1" ht="28.8" outlineLevel="1" x14ac:dyDescent="0.3">
      <c r="A213" s="27" t="s">
        <v>339</v>
      </c>
      <c r="B213" s="28" t="s">
        <v>340</v>
      </c>
      <c r="C213" s="64"/>
      <c r="D213" s="29" t="s">
        <v>22</v>
      </c>
      <c r="E213" s="65"/>
      <c r="F213" s="63">
        <f>SUM(F214:F220)</f>
        <v>0.5693376</v>
      </c>
      <c r="G213" s="30"/>
      <c r="H213" s="63">
        <f t="shared" si="34"/>
        <v>0</v>
      </c>
      <c r="I213" s="30"/>
      <c r="J213" s="63">
        <f t="shared" si="35"/>
        <v>0</v>
      </c>
      <c r="K213" s="7">
        <f t="shared" si="30"/>
        <v>0</v>
      </c>
    </row>
    <row r="214" spans="1:11" s="43" customFormat="1" ht="28.8" outlineLevel="2" x14ac:dyDescent="0.3">
      <c r="A214" s="4" t="s">
        <v>341</v>
      </c>
      <c r="B214" s="5" t="s">
        <v>342</v>
      </c>
      <c r="C214" s="73"/>
      <c r="D214" s="6" t="s">
        <v>22</v>
      </c>
      <c r="E214" s="77">
        <f t="shared" ref="E214:E216" si="36">$E$158</f>
        <v>1.04</v>
      </c>
      <c r="F214" s="74">
        <f>241.4*E214/1000</f>
        <v>0.251056</v>
      </c>
      <c r="G214" s="23"/>
      <c r="H214" s="74">
        <f t="shared" si="34"/>
        <v>0</v>
      </c>
      <c r="I214" s="23"/>
      <c r="J214" s="63"/>
      <c r="K214" s="7">
        <f t="shared" si="30"/>
        <v>0</v>
      </c>
    </row>
    <row r="215" spans="1:11" s="43" customFormat="1" ht="28.8" outlineLevel="2" x14ac:dyDescent="0.3">
      <c r="A215" s="4" t="s">
        <v>343</v>
      </c>
      <c r="B215" s="5" t="s">
        <v>344</v>
      </c>
      <c r="C215" s="73"/>
      <c r="D215" s="6" t="s">
        <v>22</v>
      </c>
      <c r="E215" s="77">
        <f t="shared" si="36"/>
        <v>1.04</v>
      </c>
      <c r="F215" s="78">
        <f>59.92/1000*E215</f>
        <v>6.2316800000000006E-2</v>
      </c>
      <c r="G215" s="23"/>
      <c r="H215" s="74">
        <f t="shared" ref="H215" si="37">F215*G215</f>
        <v>0</v>
      </c>
      <c r="I215" s="23"/>
      <c r="J215" s="63"/>
      <c r="K215" s="7">
        <f t="shared" ref="K215" si="38">H215+J215</f>
        <v>0</v>
      </c>
    </row>
    <row r="216" spans="1:11" s="43" customFormat="1" ht="28.8" outlineLevel="2" x14ac:dyDescent="0.3">
      <c r="A216" s="4" t="s">
        <v>345</v>
      </c>
      <c r="B216" s="5" t="s">
        <v>346</v>
      </c>
      <c r="C216" s="73"/>
      <c r="D216" s="6" t="s">
        <v>22</v>
      </c>
      <c r="E216" s="77">
        <f t="shared" si="36"/>
        <v>1.04</v>
      </c>
      <c r="F216" s="74">
        <f>29/1000*E216</f>
        <v>3.0160000000000003E-2</v>
      </c>
      <c r="G216" s="23"/>
      <c r="H216" s="74">
        <f t="shared" si="34"/>
        <v>0</v>
      </c>
      <c r="I216" s="23"/>
      <c r="J216" s="63"/>
      <c r="K216" s="7">
        <f t="shared" si="30"/>
        <v>0</v>
      </c>
    </row>
    <row r="217" spans="1:11" s="43" customFormat="1" ht="28.8" outlineLevel="2" x14ac:dyDescent="0.3">
      <c r="A217" s="4" t="s">
        <v>347</v>
      </c>
      <c r="B217" s="5" t="s">
        <v>348</v>
      </c>
      <c r="C217" s="73"/>
      <c r="D217" s="6" t="s">
        <v>22</v>
      </c>
      <c r="E217" s="77">
        <f t="shared" ref="E217:E220" si="39">$E$158</f>
        <v>1.04</v>
      </c>
      <c r="F217" s="74">
        <f>47/1000*E217</f>
        <v>4.888E-2</v>
      </c>
      <c r="G217" s="23"/>
      <c r="H217" s="74">
        <f t="shared" ref="H217:H223" si="40">F217*G217</f>
        <v>0</v>
      </c>
      <c r="I217" s="23"/>
      <c r="J217" s="63"/>
      <c r="K217" s="7">
        <f t="shared" ref="K217:K223" si="41">H217+J217</f>
        <v>0</v>
      </c>
    </row>
    <row r="218" spans="1:11" s="43" customFormat="1" ht="28.8" outlineLevel="2" x14ac:dyDescent="0.3">
      <c r="A218" s="4" t="s">
        <v>349</v>
      </c>
      <c r="B218" s="5" t="s">
        <v>350</v>
      </c>
      <c r="C218" s="73"/>
      <c r="D218" s="6" t="s">
        <v>22</v>
      </c>
      <c r="E218" s="77">
        <f t="shared" si="39"/>
        <v>1.04</v>
      </c>
      <c r="F218" s="74">
        <f>30.6/1000*E218</f>
        <v>3.1824000000000005E-2</v>
      </c>
      <c r="G218" s="23"/>
      <c r="H218" s="74">
        <f t="shared" si="40"/>
        <v>0</v>
      </c>
      <c r="I218" s="23"/>
      <c r="J218" s="63"/>
      <c r="K218" s="7">
        <f t="shared" si="41"/>
        <v>0</v>
      </c>
    </row>
    <row r="219" spans="1:11" s="43" customFormat="1" ht="28.8" outlineLevel="2" x14ac:dyDescent="0.3">
      <c r="A219" s="4" t="s">
        <v>351</v>
      </c>
      <c r="B219" s="5" t="s">
        <v>352</v>
      </c>
      <c r="C219" s="73"/>
      <c r="D219" s="6" t="s">
        <v>22</v>
      </c>
      <c r="E219" s="77">
        <f t="shared" si="39"/>
        <v>1.04</v>
      </c>
      <c r="F219" s="74">
        <f>80.6/1000*E219</f>
        <v>8.3823999999999996E-2</v>
      </c>
      <c r="G219" s="23"/>
      <c r="H219" s="74">
        <f t="shared" si="40"/>
        <v>0</v>
      </c>
      <c r="I219" s="23"/>
      <c r="J219" s="63"/>
      <c r="K219" s="7">
        <f t="shared" si="41"/>
        <v>0</v>
      </c>
    </row>
    <row r="220" spans="1:11" s="43" customFormat="1" ht="28.8" outlineLevel="2" x14ac:dyDescent="0.3">
      <c r="A220" s="4" t="s">
        <v>353</v>
      </c>
      <c r="B220" s="5" t="s">
        <v>354</v>
      </c>
      <c r="C220" s="73"/>
      <c r="D220" s="6" t="s">
        <v>22</v>
      </c>
      <c r="E220" s="77">
        <f t="shared" si="39"/>
        <v>1.04</v>
      </c>
      <c r="F220" s="74">
        <f>58.92/1000*E220</f>
        <v>6.1276799999999999E-2</v>
      </c>
      <c r="G220" s="23"/>
      <c r="H220" s="74">
        <f t="shared" si="40"/>
        <v>0</v>
      </c>
      <c r="I220" s="23"/>
      <c r="J220" s="63"/>
      <c r="K220" s="7">
        <f t="shared" si="41"/>
        <v>0</v>
      </c>
    </row>
    <row r="221" spans="1:11" s="43" customFormat="1" ht="15.6" outlineLevel="2" x14ac:dyDescent="0.3">
      <c r="A221" s="4" t="s">
        <v>355</v>
      </c>
      <c r="B221" s="5" t="s">
        <v>356</v>
      </c>
      <c r="C221" s="73"/>
      <c r="D221" s="6" t="s">
        <v>42</v>
      </c>
      <c r="E221" s="77"/>
      <c r="F221" s="74">
        <v>48</v>
      </c>
      <c r="G221" s="23"/>
      <c r="H221" s="74">
        <f t="shared" si="40"/>
        <v>0</v>
      </c>
      <c r="I221" s="23"/>
      <c r="J221" s="63"/>
      <c r="K221" s="7">
        <f t="shared" si="41"/>
        <v>0</v>
      </c>
    </row>
    <row r="222" spans="1:11" s="43" customFormat="1" ht="15.6" outlineLevel="2" x14ac:dyDescent="0.3">
      <c r="A222" s="4" t="s">
        <v>357</v>
      </c>
      <c r="B222" s="5" t="s">
        <v>358</v>
      </c>
      <c r="C222" s="73"/>
      <c r="D222" s="6" t="s">
        <v>42</v>
      </c>
      <c r="E222" s="77"/>
      <c r="F222" s="74">
        <v>15</v>
      </c>
      <c r="G222" s="23"/>
      <c r="H222" s="74">
        <f t="shared" si="40"/>
        <v>0</v>
      </c>
      <c r="I222" s="23"/>
      <c r="J222" s="63"/>
      <c r="K222" s="7">
        <f t="shared" si="41"/>
        <v>0</v>
      </c>
    </row>
    <row r="223" spans="1:11" s="43" customFormat="1" ht="15.6" outlineLevel="2" x14ac:dyDescent="0.3">
      <c r="A223" s="4" t="s">
        <v>359</v>
      </c>
      <c r="B223" s="5" t="s">
        <v>360</v>
      </c>
      <c r="C223" s="73"/>
      <c r="D223" s="6" t="s">
        <v>42</v>
      </c>
      <c r="E223" s="77"/>
      <c r="F223" s="74">
        <v>16</v>
      </c>
      <c r="G223" s="23"/>
      <c r="H223" s="74">
        <f t="shared" si="40"/>
        <v>0</v>
      </c>
      <c r="I223" s="23"/>
      <c r="J223" s="63"/>
      <c r="K223" s="7">
        <f t="shared" si="41"/>
        <v>0</v>
      </c>
    </row>
    <row r="224" spans="1:11" s="43" customFormat="1" ht="15.6" outlineLevel="1" x14ac:dyDescent="0.3">
      <c r="A224" s="27" t="s">
        <v>361</v>
      </c>
      <c r="B224" s="28" t="s">
        <v>122</v>
      </c>
      <c r="C224" s="64"/>
      <c r="D224" s="29" t="s">
        <v>62</v>
      </c>
      <c r="E224" s="65"/>
      <c r="F224" s="63">
        <v>21.3</v>
      </c>
      <c r="G224" s="30"/>
      <c r="H224" s="63"/>
      <c r="I224" s="30"/>
      <c r="J224" s="63">
        <f>$F224*I224</f>
        <v>0</v>
      </c>
      <c r="K224" s="7">
        <f t="shared" ref="K224:K229" si="42">H224+J224</f>
        <v>0</v>
      </c>
    </row>
    <row r="225" spans="1:11" s="43" customFormat="1" ht="15.6" outlineLevel="2" x14ac:dyDescent="0.3">
      <c r="A225" s="4" t="s">
        <v>362</v>
      </c>
      <c r="B225" s="5" t="s">
        <v>64</v>
      </c>
      <c r="C225" s="73"/>
      <c r="D225" s="6" t="s">
        <v>127</v>
      </c>
      <c r="E225" s="77">
        <v>0.18</v>
      </c>
      <c r="F225" s="74">
        <f>F224*E225</f>
        <v>3.8340000000000001</v>
      </c>
      <c r="G225" s="23"/>
      <c r="H225" s="74">
        <f>F225*G225</f>
        <v>0</v>
      </c>
      <c r="I225" s="23"/>
      <c r="J225" s="63"/>
      <c r="K225" s="7">
        <f t="shared" si="42"/>
        <v>0</v>
      </c>
    </row>
    <row r="226" spans="1:11" s="43" customFormat="1" ht="15.6" outlineLevel="2" x14ac:dyDescent="0.3">
      <c r="A226" s="4" t="s">
        <v>363</v>
      </c>
      <c r="B226" s="5" t="s">
        <v>66</v>
      </c>
      <c r="C226" s="73"/>
      <c r="D226" s="6" t="s">
        <v>59</v>
      </c>
      <c r="E226" s="77">
        <v>0.05</v>
      </c>
      <c r="F226" s="74">
        <f>F224*E226</f>
        <v>1.0650000000000002</v>
      </c>
      <c r="G226" s="23"/>
      <c r="H226" s="74">
        <f>F226*G226</f>
        <v>0</v>
      </c>
      <c r="I226" s="23"/>
      <c r="J226" s="63"/>
      <c r="K226" s="7">
        <f t="shared" si="42"/>
        <v>0</v>
      </c>
    </row>
    <row r="227" spans="1:11" s="43" customFormat="1" ht="15.6" outlineLevel="1" x14ac:dyDescent="0.3">
      <c r="A227" s="27" t="s">
        <v>364</v>
      </c>
      <c r="B227" s="28" t="s">
        <v>365</v>
      </c>
      <c r="C227" s="64"/>
      <c r="D227" s="29" t="s">
        <v>62</v>
      </c>
      <c r="E227" s="65"/>
      <c r="F227" s="63">
        <v>21.3</v>
      </c>
      <c r="G227" s="30"/>
      <c r="H227" s="63">
        <f>F227*G227</f>
        <v>0</v>
      </c>
      <c r="I227" s="30"/>
      <c r="J227" s="63">
        <f>$F227*I227</f>
        <v>0</v>
      </c>
      <c r="K227" s="7">
        <f t="shared" si="42"/>
        <v>0</v>
      </c>
    </row>
    <row r="228" spans="1:11" s="43" customFormat="1" ht="15.6" outlineLevel="2" x14ac:dyDescent="0.3">
      <c r="A228" s="4" t="s">
        <v>366</v>
      </c>
      <c r="B228" s="5" t="s">
        <v>108</v>
      </c>
      <c r="C228" s="73"/>
      <c r="D228" s="6" t="s">
        <v>127</v>
      </c>
      <c r="E228" s="77">
        <v>0.25</v>
      </c>
      <c r="F228" s="74">
        <f>F227*E228</f>
        <v>5.3250000000000002</v>
      </c>
      <c r="G228" s="23"/>
      <c r="H228" s="74">
        <f>F228*G228</f>
        <v>0</v>
      </c>
      <c r="I228" s="23"/>
      <c r="J228" s="63"/>
      <c r="K228" s="7">
        <f t="shared" si="42"/>
        <v>0</v>
      </c>
    </row>
    <row r="229" spans="1:11" s="43" customFormat="1" ht="15.6" outlineLevel="2" x14ac:dyDescent="0.3">
      <c r="A229" s="4" t="s">
        <v>367</v>
      </c>
      <c r="B229" s="5" t="s">
        <v>129</v>
      </c>
      <c r="C229" s="73"/>
      <c r="D229" s="6" t="s">
        <v>59</v>
      </c>
      <c r="E229" s="77">
        <v>0.05</v>
      </c>
      <c r="F229" s="74">
        <f>F227*E229</f>
        <v>1.0650000000000002</v>
      </c>
      <c r="G229" s="23"/>
      <c r="H229" s="74">
        <f>F229*G229</f>
        <v>0</v>
      </c>
      <c r="I229" s="23"/>
      <c r="J229" s="63"/>
      <c r="K229" s="7">
        <f t="shared" si="42"/>
        <v>0</v>
      </c>
    </row>
    <row r="230" spans="1:11" s="43" customFormat="1" ht="15.6" outlineLevel="1" x14ac:dyDescent="0.3">
      <c r="A230" s="27" t="s">
        <v>368</v>
      </c>
      <c r="B230" s="28" t="s">
        <v>131</v>
      </c>
      <c r="C230" s="64"/>
      <c r="D230" s="29" t="s">
        <v>62</v>
      </c>
      <c r="E230" s="65"/>
      <c r="F230" s="80">
        <f>F231/E231</f>
        <v>7</v>
      </c>
      <c r="G230" s="30"/>
      <c r="H230" s="63"/>
      <c r="I230" s="30"/>
      <c r="J230" s="63">
        <f t="shared" si="35"/>
        <v>0</v>
      </c>
      <c r="K230" s="7">
        <f t="shared" si="30"/>
        <v>0</v>
      </c>
    </row>
    <row r="231" spans="1:11" s="43" customFormat="1" ht="15.6" outlineLevel="2" x14ac:dyDescent="0.3">
      <c r="A231" s="4" t="s">
        <v>369</v>
      </c>
      <c r="B231" s="5" t="s">
        <v>370</v>
      </c>
      <c r="C231" s="73"/>
      <c r="D231" s="6" t="s">
        <v>62</v>
      </c>
      <c r="E231" s="77">
        <v>1.25</v>
      </c>
      <c r="F231" s="74">
        <f>E231*7</f>
        <v>8.75</v>
      </c>
      <c r="G231" s="23"/>
      <c r="H231" s="74">
        <f t="shared" si="34"/>
        <v>0</v>
      </c>
      <c r="I231" s="23"/>
      <c r="J231" s="63"/>
      <c r="K231" s="7">
        <f t="shared" si="30"/>
        <v>0</v>
      </c>
    </row>
    <row r="232" spans="1:11" s="43" customFormat="1" ht="15.6" outlineLevel="2" x14ac:dyDescent="0.3">
      <c r="A232" s="4" t="s">
        <v>371</v>
      </c>
      <c r="B232" s="5" t="s">
        <v>135</v>
      </c>
      <c r="C232" s="73"/>
      <c r="D232" s="6" t="s">
        <v>42</v>
      </c>
      <c r="E232" s="77"/>
      <c r="F232" s="74">
        <v>56</v>
      </c>
      <c r="G232" s="23"/>
      <c r="H232" s="74">
        <f t="shared" si="34"/>
        <v>0</v>
      </c>
      <c r="I232" s="23"/>
      <c r="J232" s="63"/>
      <c r="K232" s="7">
        <f t="shared" si="30"/>
        <v>0</v>
      </c>
    </row>
    <row r="233" spans="1:11" s="43" customFormat="1" ht="43.2" outlineLevel="1" x14ac:dyDescent="0.3">
      <c r="A233" s="27" t="s">
        <v>372</v>
      </c>
      <c r="B233" s="28" t="s">
        <v>373</v>
      </c>
      <c r="C233" s="64"/>
      <c r="D233" s="29" t="s">
        <v>74</v>
      </c>
      <c r="E233" s="65"/>
      <c r="F233" s="63">
        <f>F237</f>
        <v>0.49349999999999999</v>
      </c>
      <c r="G233" s="30"/>
      <c r="H233" s="63"/>
      <c r="I233" s="30"/>
      <c r="J233" s="63">
        <f t="shared" si="35"/>
        <v>0</v>
      </c>
      <c r="K233" s="7">
        <f t="shared" si="30"/>
        <v>0</v>
      </c>
    </row>
    <row r="234" spans="1:11" s="43" customFormat="1" ht="15.6" outlineLevel="2" x14ac:dyDescent="0.3">
      <c r="A234" s="4" t="s">
        <v>374</v>
      </c>
      <c r="B234" s="5" t="s">
        <v>375</v>
      </c>
      <c r="C234" s="73"/>
      <c r="D234" s="6" t="s">
        <v>22</v>
      </c>
      <c r="E234" s="77">
        <v>1.04</v>
      </c>
      <c r="F234" s="74">
        <f>67.49/1000*E234</f>
        <v>7.0189599999999991E-2</v>
      </c>
      <c r="G234" s="23"/>
      <c r="H234" s="74">
        <f t="shared" si="34"/>
        <v>0</v>
      </c>
      <c r="I234" s="23"/>
      <c r="J234" s="63"/>
      <c r="K234" s="7">
        <f t="shared" si="30"/>
        <v>0</v>
      </c>
    </row>
    <row r="235" spans="1:11" s="43" customFormat="1" ht="15.6" outlineLevel="2" x14ac:dyDescent="0.3">
      <c r="A235" s="4" t="s">
        <v>376</v>
      </c>
      <c r="B235" s="5" t="s">
        <v>37</v>
      </c>
      <c r="C235" s="73"/>
      <c r="D235" s="6" t="s">
        <v>22</v>
      </c>
      <c r="E235" s="77">
        <v>1.04</v>
      </c>
      <c r="F235" s="74">
        <f>21.28*E235/1000</f>
        <v>2.2131200000000004E-2</v>
      </c>
      <c r="G235" s="23"/>
      <c r="H235" s="74">
        <f t="shared" si="34"/>
        <v>0</v>
      </c>
      <c r="I235" s="23"/>
      <c r="J235" s="63"/>
      <c r="K235" s="7">
        <f t="shared" si="30"/>
        <v>0</v>
      </c>
    </row>
    <row r="236" spans="1:11" s="43" customFormat="1" ht="15.6" outlineLevel="2" x14ac:dyDescent="0.3">
      <c r="A236" s="4" t="s">
        <v>377</v>
      </c>
      <c r="B236" s="5" t="s">
        <v>378</v>
      </c>
      <c r="C236" s="73"/>
      <c r="D236" s="6" t="s">
        <v>22</v>
      </c>
      <c r="E236" s="77">
        <v>1.04</v>
      </c>
      <c r="F236" s="74">
        <f>8.3*E236/1000</f>
        <v>8.6320000000000008E-3</v>
      </c>
      <c r="G236" s="23"/>
      <c r="H236" s="74">
        <f t="shared" si="34"/>
        <v>0</v>
      </c>
      <c r="I236" s="23"/>
      <c r="J236" s="63"/>
      <c r="K236" s="7">
        <f t="shared" si="30"/>
        <v>0</v>
      </c>
    </row>
    <row r="237" spans="1:11" s="43" customFormat="1" ht="16.2" outlineLevel="2" thickBot="1" x14ac:dyDescent="0.35">
      <c r="A237" s="4" t="s">
        <v>379</v>
      </c>
      <c r="B237" s="5" t="s">
        <v>380</v>
      </c>
      <c r="C237" s="73"/>
      <c r="D237" s="6" t="s">
        <v>74</v>
      </c>
      <c r="E237" s="75">
        <v>1.05</v>
      </c>
      <c r="F237" s="78">
        <f>0.47*E237</f>
        <v>0.49349999999999999</v>
      </c>
      <c r="G237" s="23"/>
      <c r="H237" s="74">
        <f t="shared" si="34"/>
        <v>0</v>
      </c>
      <c r="I237" s="23"/>
      <c r="J237" s="63"/>
      <c r="K237" s="7">
        <f t="shared" si="30"/>
        <v>0</v>
      </c>
    </row>
    <row r="238" spans="1:11" ht="14.25" customHeight="1" x14ac:dyDescent="0.3">
      <c r="A238" s="50"/>
      <c r="B238" s="50" t="s">
        <v>381</v>
      </c>
      <c r="C238" s="59"/>
      <c r="D238" s="52"/>
      <c r="E238" s="42"/>
      <c r="F238" s="66">
        <f>F16+F41+F62+F82+F102+F128+F143+F212</f>
        <v>21.182791735522393</v>
      </c>
      <c r="G238" s="8">
        <f t="shared" ref="G238:J238" si="43">G16+G41+G62+G82+G102+G128+G143+G212</f>
        <v>0</v>
      </c>
      <c r="H238" s="66">
        <f t="shared" si="43"/>
        <v>0</v>
      </c>
      <c r="I238" s="67">
        <f t="shared" si="43"/>
        <v>0</v>
      </c>
      <c r="J238" s="68">
        <f t="shared" si="43"/>
        <v>0</v>
      </c>
      <c r="K238" s="9">
        <f t="shared" ref="K238" si="44">H238+J238</f>
        <v>0</v>
      </c>
    </row>
    <row r="239" spans="1:11" ht="15" customHeight="1" thickBot="1" x14ac:dyDescent="0.35">
      <c r="A239" s="51"/>
      <c r="B239" s="51" t="s">
        <v>382</v>
      </c>
      <c r="C239" s="60"/>
      <c r="D239" s="53"/>
      <c r="E239" s="39"/>
      <c r="F239" s="10"/>
      <c r="G239" s="11"/>
      <c r="H239" s="10">
        <f>H240-H238</f>
        <v>0</v>
      </c>
      <c r="I239" s="12"/>
      <c r="J239" s="13">
        <f>J240-J238</f>
        <v>0</v>
      </c>
      <c r="K239" s="14">
        <f>K238*0.2</f>
        <v>0</v>
      </c>
    </row>
    <row r="240" spans="1:11" ht="27" customHeight="1" thickBot="1" x14ac:dyDescent="0.35">
      <c r="A240" s="15"/>
      <c r="B240" s="16" t="s">
        <v>383</v>
      </c>
      <c r="C240" s="61"/>
      <c r="D240" s="17"/>
      <c r="E240" s="40"/>
      <c r="F240" s="18"/>
      <c r="G240" s="19"/>
      <c r="H240" s="18">
        <f>H238*1.2</f>
        <v>0</v>
      </c>
      <c r="I240" s="20"/>
      <c r="J240" s="21">
        <f>J238*1.2</f>
        <v>0</v>
      </c>
      <c r="K240" s="22">
        <f>SUM(K238:K239)</f>
        <v>0</v>
      </c>
    </row>
    <row r="241" spans="1:11" s="35" customFormat="1" ht="13.8" x14ac:dyDescent="0.3"/>
    <row r="242" spans="1:11" s="45" customFormat="1" ht="283.2" customHeight="1" x14ac:dyDescent="0.3">
      <c r="A242" s="110" t="s">
        <v>384</v>
      </c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</row>
    <row r="243" spans="1:11" x14ac:dyDescent="0.3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</row>
    <row r="244" spans="1:11" ht="15" customHeight="1" x14ac:dyDescent="0.3">
      <c r="A244" s="106" t="s">
        <v>385</v>
      </c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</row>
    <row r="245" spans="1:11" ht="15" customHeight="1" x14ac:dyDescent="0.3">
      <c r="A245" s="106" t="s">
        <v>386</v>
      </c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</row>
    <row r="246" spans="1:11" ht="15" customHeight="1" x14ac:dyDescent="0.3">
      <c r="A246" s="107" t="s">
        <v>387</v>
      </c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</row>
    <row r="247" spans="1:11" ht="15" customHeight="1" x14ac:dyDescent="0.3">
      <c r="A247" s="106" t="s">
        <v>388</v>
      </c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</row>
    <row r="248" spans="1:11" ht="30" customHeight="1" x14ac:dyDescent="0.3">
      <c r="A248" s="107" t="s">
        <v>389</v>
      </c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</row>
    <row r="249" spans="1:11" ht="15" customHeight="1" x14ac:dyDescent="0.3">
      <c r="A249" s="106" t="s">
        <v>390</v>
      </c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</row>
    <row r="250" spans="1:11" ht="46.5" customHeight="1" x14ac:dyDescent="0.3">
      <c r="A250" s="111" t="s">
        <v>391</v>
      </c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</row>
    <row r="251" spans="1:11" x14ac:dyDescent="0.3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76"/>
    </row>
    <row r="252" spans="1:11" ht="21" x14ac:dyDescent="0.3">
      <c r="A252" s="114" t="s">
        <v>392</v>
      </c>
      <c r="B252" s="114"/>
      <c r="C252" s="43"/>
      <c r="D252" s="115"/>
      <c r="E252" s="115"/>
      <c r="F252" s="115"/>
      <c r="G252" s="115"/>
      <c r="H252" s="116"/>
      <c r="I252" s="116"/>
      <c r="J252" s="116"/>
      <c r="K252" s="116"/>
    </row>
    <row r="253" spans="1:11" x14ac:dyDescent="0.3">
      <c r="A253" s="116"/>
      <c r="B253" s="116"/>
      <c r="C253" s="58"/>
      <c r="D253" s="112" t="s">
        <v>393</v>
      </c>
      <c r="E253" s="112"/>
      <c r="F253" s="112"/>
      <c r="G253" s="112"/>
      <c r="H253" s="112" t="s">
        <v>394</v>
      </c>
      <c r="I253" s="112"/>
      <c r="J253" s="112"/>
      <c r="K253" s="112"/>
    </row>
    <row r="254" spans="1:11" x14ac:dyDescent="0.3">
      <c r="A254" s="113" t="s">
        <v>395</v>
      </c>
      <c r="B254" s="113"/>
      <c r="C254" s="57"/>
      <c r="D254" s="76"/>
      <c r="E254" s="76"/>
      <c r="F254" s="76"/>
      <c r="G254" s="76"/>
      <c r="H254" s="76"/>
      <c r="I254" s="76"/>
      <c r="J254" s="76"/>
      <c r="K254" s="76"/>
    </row>
  </sheetData>
  <mergeCells count="34">
    <mergeCell ref="A250:K250"/>
    <mergeCell ref="D253:G253"/>
    <mergeCell ref="H253:K253"/>
    <mergeCell ref="A254:B254"/>
    <mergeCell ref="A252:B252"/>
    <mergeCell ref="D252:G252"/>
    <mergeCell ref="H252:K252"/>
    <mergeCell ref="A253:B253"/>
    <mergeCell ref="A249:K249"/>
    <mergeCell ref="K14:K15"/>
    <mergeCell ref="A244:K244"/>
    <mergeCell ref="A245:K245"/>
    <mergeCell ref="A246:K246"/>
    <mergeCell ref="A242:K242"/>
    <mergeCell ref="I14:J14"/>
    <mergeCell ref="E14:E15"/>
    <mergeCell ref="C14:C15"/>
    <mergeCell ref="A247:K247"/>
    <mergeCell ref="A248:K248"/>
    <mergeCell ref="A14:A15"/>
    <mergeCell ref="B14:B15"/>
    <mergeCell ref="D14:D15"/>
    <mergeCell ref="F14:F15"/>
    <mergeCell ref="G14:H14"/>
    <mergeCell ref="A2:B2"/>
    <mergeCell ref="A8:K8"/>
    <mergeCell ref="J9:K9"/>
    <mergeCell ref="J10:K10"/>
    <mergeCell ref="B11:K11"/>
    <mergeCell ref="A7:K7"/>
    <mergeCell ref="A3:B3"/>
    <mergeCell ref="D3:I3"/>
    <mergeCell ref="A5:K5"/>
    <mergeCell ref="A6:K6"/>
  </mergeCells>
  <phoneticPr fontId="29" type="noConversion"/>
  <conditionalFormatting sqref="A253:C253">
    <cfRule type="cellIs" dxfId="110" priority="911" operator="equal">
      <formula>0</formula>
    </cfRule>
  </conditionalFormatting>
  <conditionalFormatting sqref="B11:K11">
    <cfRule type="cellIs" dxfId="109" priority="913" operator="equal">
      <formula>0</formula>
    </cfRule>
  </conditionalFormatting>
  <conditionalFormatting sqref="F17">
    <cfRule type="cellIs" dxfId="108" priority="297" operator="equal">
      <formula>0</formula>
    </cfRule>
  </conditionalFormatting>
  <conditionalFormatting sqref="F23:F40">
    <cfRule type="cellIs" dxfId="107" priority="11" operator="equal">
      <formula>0</formula>
    </cfRule>
  </conditionalFormatting>
  <conditionalFormatting sqref="F42">
    <cfRule type="cellIs" dxfId="106" priority="289" operator="equal">
      <formula>0</formula>
    </cfRule>
  </conditionalFormatting>
  <conditionalFormatting sqref="F48">
    <cfRule type="cellIs" dxfId="105" priority="287" operator="equal">
      <formula>0</formula>
    </cfRule>
  </conditionalFormatting>
  <conditionalFormatting sqref="F54:F61">
    <cfRule type="cellIs" dxfId="104" priority="27" operator="equal">
      <formula>0</formula>
    </cfRule>
  </conditionalFormatting>
  <conditionalFormatting sqref="F63">
    <cfRule type="cellIs" dxfId="103" priority="279" operator="equal">
      <formula>0</formula>
    </cfRule>
  </conditionalFormatting>
  <conditionalFormatting sqref="F68:F81">
    <cfRule type="cellIs" dxfId="102" priority="35" operator="equal">
      <formula>0</formula>
    </cfRule>
  </conditionalFormatting>
  <conditionalFormatting sqref="F83:F101">
    <cfRule type="cellIs" dxfId="101" priority="43" operator="equal">
      <formula>0</formula>
    </cfRule>
  </conditionalFormatting>
  <conditionalFormatting sqref="F103:F105">
    <cfRule type="cellIs" dxfId="100" priority="53" operator="equal">
      <formula>0</formula>
    </cfRule>
  </conditionalFormatting>
  <conditionalFormatting sqref="F112:F127">
    <cfRule type="cellIs" dxfId="99" priority="9" operator="equal">
      <formula>0</formula>
    </cfRule>
  </conditionalFormatting>
  <conditionalFormatting sqref="F129:F133">
    <cfRule type="cellIs" dxfId="98" priority="5" operator="equal">
      <formula>0</formula>
    </cfRule>
  </conditionalFormatting>
  <conditionalFormatting sqref="F137:F142">
    <cfRule type="cellIs" dxfId="97" priority="79" operator="equal">
      <formula>0</formula>
    </cfRule>
  </conditionalFormatting>
  <conditionalFormatting sqref="F144:F211">
    <cfRule type="cellIs" dxfId="96" priority="111" operator="equal">
      <formula>0</formula>
    </cfRule>
  </conditionalFormatting>
  <conditionalFormatting sqref="F213">
    <cfRule type="cellIs" dxfId="95" priority="169" operator="equal">
      <formula>0</formula>
    </cfRule>
  </conditionalFormatting>
  <conditionalFormatting sqref="F217:F237">
    <cfRule type="cellIs" dxfId="94" priority="1" operator="equal">
      <formula>0</formula>
    </cfRule>
  </conditionalFormatting>
  <conditionalFormatting sqref="F18:G22 F43:G47 F49:G53 F64:G67 F106:G111 F134:G136">
    <cfRule type="cellIs" dxfId="93" priority="763" operator="equal">
      <formula>0</formula>
    </cfRule>
  </conditionalFormatting>
  <conditionalFormatting sqref="F214:G229">
    <cfRule type="cellIs" dxfId="92" priority="3" operator="equal">
      <formula>0</formula>
    </cfRule>
  </conditionalFormatting>
  <conditionalFormatting sqref="G24:G29 G32">
    <cfRule type="cellIs" dxfId="91" priority="16" operator="equal">
      <formula>0</formula>
    </cfRule>
  </conditionalFormatting>
  <conditionalFormatting sqref="G34:G35">
    <cfRule type="cellIs" dxfId="90" priority="18" operator="equal">
      <formula>0</formula>
    </cfRule>
  </conditionalFormatting>
  <conditionalFormatting sqref="G37:G38">
    <cfRule type="cellIs" dxfId="89" priority="20" operator="equal">
      <formula>0</formula>
    </cfRule>
  </conditionalFormatting>
  <conditionalFormatting sqref="G40">
    <cfRule type="cellIs" dxfId="88" priority="22" operator="equal">
      <formula>0</formula>
    </cfRule>
  </conditionalFormatting>
  <conditionalFormatting sqref="G55">
    <cfRule type="cellIs" dxfId="87" priority="28" operator="equal">
      <formula>0</formula>
    </cfRule>
  </conditionalFormatting>
  <conditionalFormatting sqref="G57:G58">
    <cfRule type="cellIs" dxfId="86" priority="30" operator="equal">
      <formula>0</formula>
    </cfRule>
  </conditionalFormatting>
  <conditionalFormatting sqref="G60:G61">
    <cfRule type="cellIs" dxfId="85" priority="32" operator="equal">
      <formula>0</formula>
    </cfRule>
  </conditionalFormatting>
  <conditionalFormatting sqref="G69:G70">
    <cfRule type="cellIs" dxfId="84" priority="36" operator="equal">
      <formula>0</formula>
    </cfRule>
  </conditionalFormatting>
  <conditionalFormatting sqref="G72:G73">
    <cfRule type="cellIs" dxfId="83" priority="38" operator="equal">
      <formula>0</formula>
    </cfRule>
  </conditionalFormatting>
  <conditionalFormatting sqref="G75:G77">
    <cfRule type="cellIs" dxfId="82" priority="40" operator="equal">
      <formula>0</formula>
    </cfRule>
  </conditionalFormatting>
  <conditionalFormatting sqref="G79:G81">
    <cfRule type="cellIs" dxfId="81" priority="42" operator="equal">
      <formula>0</formula>
    </cfRule>
  </conditionalFormatting>
  <conditionalFormatting sqref="G84:G86">
    <cfRule type="cellIs" dxfId="80" priority="44" operator="equal">
      <formula>0</formula>
    </cfRule>
  </conditionalFormatting>
  <conditionalFormatting sqref="G88:G89">
    <cfRule type="cellIs" dxfId="79" priority="46" operator="equal">
      <formula>0</formula>
    </cfRule>
  </conditionalFormatting>
  <conditionalFormatting sqref="G91:G94">
    <cfRule type="cellIs" dxfId="78" priority="48" operator="equal">
      <formula>0</formula>
    </cfRule>
  </conditionalFormatting>
  <conditionalFormatting sqref="G96:G97">
    <cfRule type="cellIs" dxfId="77" priority="50" operator="equal">
      <formula>0</formula>
    </cfRule>
  </conditionalFormatting>
  <conditionalFormatting sqref="G99:G100">
    <cfRule type="cellIs" dxfId="76" priority="52" operator="equal">
      <formula>0</formula>
    </cfRule>
  </conditionalFormatting>
  <conditionalFormatting sqref="G104:G105">
    <cfRule type="cellIs" dxfId="75" priority="54" operator="equal">
      <formula>0</formula>
    </cfRule>
  </conditionalFormatting>
  <conditionalFormatting sqref="G114:G116">
    <cfRule type="cellIs" dxfId="74" priority="64" operator="equal">
      <formula>0</formula>
    </cfRule>
  </conditionalFormatting>
  <conditionalFormatting sqref="G118:G119">
    <cfRule type="cellIs" dxfId="73" priority="66" operator="equal">
      <formula>0</formula>
    </cfRule>
  </conditionalFormatting>
  <conditionalFormatting sqref="G121:G125">
    <cfRule type="cellIs" dxfId="72" priority="62" operator="equal">
      <formula>0</formula>
    </cfRule>
  </conditionalFormatting>
  <conditionalFormatting sqref="G130:G133">
    <cfRule type="cellIs" dxfId="71" priority="6" operator="equal">
      <formula>0</formula>
    </cfRule>
  </conditionalFormatting>
  <conditionalFormatting sqref="G138:G139">
    <cfRule type="cellIs" dxfId="70" priority="80" operator="equal">
      <formula>0</formula>
    </cfRule>
  </conditionalFormatting>
  <conditionalFormatting sqref="G141:G142">
    <cfRule type="cellIs" dxfId="69" priority="82" operator="equal">
      <formula>0</formula>
    </cfRule>
  </conditionalFormatting>
  <conditionalFormatting sqref="G145:G150">
    <cfRule type="cellIs" dxfId="68" priority="112" operator="equal">
      <formula>0</formula>
    </cfRule>
  </conditionalFormatting>
  <conditionalFormatting sqref="G152:G154">
    <cfRule type="cellIs" dxfId="67" priority="114" operator="equal">
      <formula>0</formula>
    </cfRule>
  </conditionalFormatting>
  <conditionalFormatting sqref="G156:G160">
    <cfRule type="cellIs" dxfId="66" priority="116" operator="equal">
      <formula>0</formula>
    </cfRule>
  </conditionalFormatting>
  <conditionalFormatting sqref="G162:G164">
    <cfRule type="cellIs" dxfId="65" priority="118" operator="equal">
      <formula>0</formula>
    </cfRule>
  </conditionalFormatting>
  <conditionalFormatting sqref="G166:G168">
    <cfRule type="cellIs" dxfId="64" priority="120" operator="equal">
      <formula>0</formula>
    </cfRule>
  </conditionalFormatting>
  <conditionalFormatting sqref="G170:G172">
    <cfRule type="cellIs" dxfId="63" priority="122" operator="equal">
      <formula>0</formula>
    </cfRule>
  </conditionalFormatting>
  <conditionalFormatting sqref="G174:G176">
    <cfRule type="cellIs" dxfId="62" priority="124" operator="equal">
      <formula>0</formula>
    </cfRule>
  </conditionalFormatting>
  <conditionalFormatting sqref="G178:G180">
    <cfRule type="cellIs" dxfId="61" priority="126" operator="equal">
      <formula>0</formula>
    </cfRule>
  </conditionalFormatting>
  <conditionalFormatting sqref="G182:G188">
    <cfRule type="cellIs" dxfId="60" priority="128" operator="equal">
      <formula>0</formula>
    </cfRule>
  </conditionalFormatting>
  <conditionalFormatting sqref="G190:G192">
    <cfRule type="cellIs" dxfId="59" priority="130" operator="equal">
      <formula>0</formula>
    </cfRule>
  </conditionalFormatting>
  <conditionalFormatting sqref="G194:G200">
    <cfRule type="cellIs" dxfId="58" priority="132" operator="equal">
      <formula>0</formula>
    </cfRule>
  </conditionalFormatting>
  <conditionalFormatting sqref="G202:G204">
    <cfRule type="cellIs" dxfId="57" priority="134" operator="equal">
      <formula>0</formula>
    </cfRule>
  </conditionalFormatting>
  <conditionalFormatting sqref="G206:G208">
    <cfRule type="cellIs" dxfId="56" priority="136" operator="equal">
      <formula>0</formula>
    </cfRule>
  </conditionalFormatting>
  <conditionalFormatting sqref="G210:G211">
    <cfRule type="cellIs" dxfId="55" priority="138" operator="equal">
      <formula>0</formula>
    </cfRule>
  </conditionalFormatting>
  <conditionalFormatting sqref="G217:G229">
    <cfRule type="cellIs" dxfId="54" priority="2" operator="equal">
      <formula>0</formula>
    </cfRule>
  </conditionalFormatting>
  <conditionalFormatting sqref="G231:G232">
    <cfRule type="cellIs" dxfId="53" priority="142" operator="equal">
      <formula>0</formula>
    </cfRule>
  </conditionalFormatting>
  <conditionalFormatting sqref="G234:G237">
    <cfRule type="cellIs" dxfId="52" priority="146" operator="equal">
      <formula>0</formula>
    </cfRule>
  </conditionalFormatting>
  <conditionalFormatting sqref="H252:K252">
    <cfRule type="cellIs" dxfId="51" priority="912" operator="equal">
      <formula>0</formula>
    </cfRule>
  </conditionalFormatting>
  <conditionalFormatting sqref="I17">
    <cfRule type="cellIs" dxfId="50" priority="298" operator="equal">
      <formula>0</formula>
    </cfRule>
  </conditionalFormatting>
  <conditionalFormatting sqref="I23">
    <cfRule type="cellIs" dxfId="49" priority="296" operator="equal">
      <formula>0</formula>
    </cfRule>
  </conditionalFormatting>
  <conditionalFormatting sqref="I30:I31">
    <cfRule type="cellIs" dxfId="48" priority="12" operator="equal">
      <formula>0</formula>
    </cfRule>
  </conditionalFormatting>
  <conditionalFormatting sqref="I33">
    <cfRule type="cellIs" dxfId="47" priority="294" operator="equal">
      <formula>0</formula>
    </cfRule>
  </conditionalFormatting>
  <conditionalFormatting sqref="I36">
    <cfRule type="cellIs" dxfId="46" priority="764" operator="equal">
      <formula>0</formula>
    </cfRule>
  </conditionalFormatting>
  <conditionalFormatting sqref="I39">
    <cfRule type="cellIs" dxfId="45" priority="292" operator="equal">
      <formula>0</formula>
    </cfRule>
  </conditionalFormatting>
  <conditionalFormatting sqref="I42">
    <cfRule type="cellIs" dxfId="44" priority="290" operator="equal">
      <formula>0</formula>
    </cfRule>
  </conditionalFormatting>
  <conditionalFormatting sqref="I48">
    <cfRule type="cellIs" dxfId="43" priority="288" operator="equal">
      <formula>0</formula>
    </cfRule>
  </conditionalFormatting>
  <conditionalFormatting sqref="I54">
    <cfRule type="cellIs" dxfId="42" priority="286" operator="equal">
      <formula>0</formula>
    </cfRule>
  </conditionalFormatting>
  <conditionalFormatting sqref="I56">
    <cfRule type="cellIs" dxfId="41" priority="284" operator="equal">
      <formula>0</formula>
    </cfRule>
  </conditionalFormatting>
  <conditionalFormatting sqref="I59">
    <cfRule type="cellIs" dxfId="40" priority="282" operator="equal">
      <formula>0</formula>
    </cfRule>
  </conditionalFormatting>
  <conditionalFormatting sqref="I63">
    <cfRule type="cellIs" dxfId="39" priority="280" operator="equal">
      <formula>0</formula>
    </cfRule>
  </conditionalFormatting>
  <conditionalFormatting sqref="I68">
    <cfRule type="cellIs" dxfId="38" priority="278" operator="equal">
      <formula>0</formula>
    </cfRule>
  </conditionalFormatting>
  <conditionalFormatting sqref="I71">
    <cfRule type="cellIs" dxfId="37" priority="276" operator="equal">
      <formula>0</formula>
    </cfRule>
  </conditionalFormatting>
  <conditionalFormatting sqref="I74">
    <cfRule type="cellIs" dxfId="36" priority="274" operator="equal">
      <formula>0</formula>
    </cfRule>
  </conditionalFormatting>
  <conditionalFormatting sqref="I78">
    <cfRule type="cellIs" dxfId="35" priority="272" operator="equal">
      <formula>0</formula>
    </cfRule>
  </conditionalFormatting>
  <conditionalFormatting sqref="I83">
    <cfRule type="cellIs" dxfId="34" priority="270" operator="equal">
      <formula>0</formula>
    </cfRule>
  </conditionalFormatting>
  <conditionalFormatting sqref="I87">
    <cfRule type="cellIs" dxfId="33" priority="268" operator="equal">
      <formula>0</formula>
    </cfRule>
  </conditionalFormatting>
  <conditionalFormatting sqref="I90">
    <cfRule type="cellIs" dxfId="32" priority="266" operator="equal">
      <formula>0</formula>
    </cfRule>
  </conditionalFormatting>
  <conditionalFormatting sqref="I95">
    <cfRule type="cellIs" dxfId="31" priority="264" operator="equal">
      <formula>0</formula>
    </cfRule>
  </conditionalFormatting>
  <conditionalFormatting sqref="I98">
    <cfRule type="cellIs" dxfId="30" priority="262" operator="equal">
      <formula>0</formula>
    </cfRule>
  </conditionalFormatting>
  <conditionalFormatting sqref="I101">
    <cfRule type="cellIs" dxfId="29" priority="260" operator="equal">
      <formula>0</formula>
    </cfRule>
  </conditionalFormatting>
  <conditionalFormatting sqref="I103">
    <cfRule type="cellIs" dxfId="28" priority="258" operator="equal">
      <formula>0</formula>
    </cfRule>
  </conditionalFormatting>
  <conditionalFormatting sqref="I112:I113">
    <cfRule type="cellIs" dxfId="27" priority="10" operator="equal">
      <formula>0</formula>
    </cfRule>
  </conditionalFormatting>
  <conditionalFormatting sqref="I117">
    <cfRule type="cellIs" dxfId="26" priority="246" operator="equal">
      <formula>0</formula>
    </cfRule>
  </conditionalFormatting>
  <conditionalFormatting sqref="I120">
    <cfRule type="cellIs" dxfId="25" priority="244" operator="equal">
      <formula>0</formula>
    </cfRule>
  </conditionalFormatting>
  <conditionalFormatting sqref="I123">
    <cfRule type="cellIs" dxfId="24" priority="250" operator="equal">
      <formula>0</formula>
    </cfRule>
  </conditionalFormatting>
  <conditionalFormatting sqref="I126:I127">
    <cfRule type="cellIs" dxfId="23" priority="242" operator="equal">
      <formula>0</formula>
    </cfRule>
  </conditionalFormatting>
  <conditionalFormatting sqref="I129">
    <cfRule type="cellIs" dxfId="22" priority="240" operator="equal">
      <formula>0</formula>
    </cfRule>
  </conditionalFormatting>
  <conditionalFormatting sqref="I137">
    <cfRule type="cellIs" dxfId="21" priority="230" operator="equal">
      <formula>0</formula>
    </cfRule>
  </conditionalFormatting>
  <conditionalFormatting sqref="I140">
    <cfRule type="cellIs" dxfId="20" priority="228" operator="equal">
      <formula>0</formula>
    </cfRule>
  </conditionalFormatting>
  <conditionalFormatting sqref="I144">
    <cfRule type="cellIs" dxfId="19" priority="198" operator="equal">
      <formula>0</formula>
    </cfRule>
  </conditionalFormatting>
  <conditionalFormatting sqref="I151">
    <cfRule type="cellIs" dxfId="18" priority="196" operator="equal">
      <formula>0</formula>
    </cfRule>
  </conditionalFormatting>
  <conditionalFormatting sqref="I155">
    <cfRule type="cellIs" dxfId="17" priority="194" operator="equal">
      <formula>0</formula>
    </cfRule>
  </conditionalFormatting>
  <conditionalFormatting sqref="I161">
    <cfRule type="cellIs" dxfId="16" priority="192" operator="equal">
      <formula>0</formula>
    </cfRule>
  </conditionalFormatting>
  <conditionalFormatting sqref="I165">
    <cfRule type="cellIs" dxfId="15" priority="190" operator="equal">
      <formula>0</formula>
    </cfRule>
  </conditionalFormatting>
  <conditionalFormatting sqref="I169">
    <cfRule type="cellIs" dxfId="14" priority="188" operator="equal">
      <formula>0</formula>
    </cfRule>
  </conditionalFormatting>
  <conditionalFormatting sqref="I173">
    <cfRule type="cellIs" dxfId="13" priority="186" operator="equal">
      <formula>0</formula>
    </cfRule>
  </conditionalFormatting>
  <conditionalFormatting sqref="I177">
    <cfRule type="cellIs" dxfId="12" priority="184" operator="equal">
      <formula>0</formula>
    </cfRule>
  </conditionalFormatting>
  <conditionalFormatting sqref="I181">
    <cfRule type="cellIs" dxfId="11" priority="182" operator="equal">
      <formula>0</formula>
    </cfRule>
  </conditionalFormatting>
  <conditionalFormatting sqref="I189">
    <cfRule type="cellIs" dxfId="10" priority="180" operator="equal">
      <formula>0</formula>
    </cfRule>
  </conditionalFormatting>
  <conditionalFormatting sqref="I193">
    <cfRule type="cellIs" dxfId="9" priority="178" operator="equal">
      <formula>0</formula>
    </cfRule>
  </conditionalFormatting>
  <conditionalFormatting sqref="I201">
    <cfRule type="cellIs" dxfId="8" priority="176" operator="equal">
      <formula>0</formula>
    </cfRule>
  </conditionalFormatting>
  <conditionalFormatting sqref="I205">
    <cfRule type="cellIs" dxfId="7" priority="174" operator="equal">
      <formula>0</formula>
    </cfRule>
  </conditionalFormatting>
  <conditionalFormatting sqref="I209">
    <cfRule type="cellIs" dxfId="6" priority="172" operator="equal">
      <formula>0</formula>
    </cfRule>
  </conditionalFormatting>
  <conditionalFormatting sqref="I213">
    <cfRule type="cellIs" dxfId="5" priority="170" operator="equal">
      <formula>0</formula>
    </cfRule>
  </conditionalFormatting>
  <conditionalFormatting sqref="I224">
    <cfRule type="cellIs" dxfId="4" priority="158" operator="equal">
      <formula>0</formula>
    </cfRule>
  </conditionalFormatting>
  <conditionalFormatting sqref="I227">
    <cfRule type="cellIs" dxfId="3" priority="156" operator="equal">
      <formula>0</formula>
    </cfRule>
  </conditionalFormatting>
  <conditionalFormatting sqref="I230">
    <cfRule type="cellIs" dxfId="2" priority="168" operator="equal">
      <formula>0</formula>
    </cfRule>
  </conditionalFormatting>
  <conditionalFormatting sqref="I233">
    <cfRule type="cellIs" dxfId="1" priority="164" operator="equal">
      <formula>0</formula>
    </cfRule>
  </conditionalFormatting>
  <conditionalFormatting sqref="J9:K9">
    <cfRule type="cellIs" dxfId="0" priority="914" operator="equal">
      <formula>0</formula>
    </cfRule>
  </conditionalFormatting>
  <printOptions horizontalCentered="1"/>
  <pageMargins left="1.1811023622047245" right="0.39370078740157483" top="1.1811023622047245" bottom="0.59055118110236227" header="0" footer="0"/>
  <pageSetup paperSize="9" scale="25" fitToHeight="2" orientation="portrait" blackAndWhite="1" r:id="rId1"/>
  <headerFooter>
    <oddFooter>&amp;RАркуш. &amp;P
Аркушів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6839aa-3829-4483-b1ac-3bc616d3ebb7">
      <Terms xmlns="http://schemas.microsoft.com/office/infopath/2007/PartnerControls"/>
    </lcf76f155ced4ddcb4097134ff3c332f>
    <TaxCatchAll xmlns="4f889c87-1cf5-49cf-99dd-7213ed854027" xsi:nil="true"/>
    <SharedWithUsers xmlns="4f889c87-1cf5-49cf-99dd-7213ed854027">
      <UserInfo>
        <DisplayName>Богдан Подлипский</DisplayName>
        <AccountId>534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A48280EA248E4AAA91B26A725D596D" ma:contentTypeVersion="15" ma:contentTypeDescription="Create a new document." ma:contentTypeScope="" ma:versionID="2e61657b3ede0f4f4f151d8f2818e0e1">
  <xsd:schema xmlns:xsd="http://www.w3.org/2001/XMLSchema" xmlns:xs="http://www.w3.org/2001/XMLSchema" xmlns:p="http://schemas.microsoft.com/office/2006/metadata/properties" xmlns:ns2="cc6839aa-3829-4483-b1ac-3bc616d3ebb7" xmlns:ns3="4f889c87-1cf5-49cf-99dd-7213ed854027" targetNamespace="http://schemas.microsoft.com/office/2006/metadata/properties" ma:root="true" ma:fieldsID="8956eef933da4a60b18e0ba2f219c3ca" ns2:_="" ns3:_="">
    <xsd:import namespace="cc6839aa-3829-4483-b1ac-3bc616d3ebb7"/>
    <xsd:import namespace="4f889c87-1cf5-49cf-99dd-7213ed8540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839aa-3829-4483-b1ac-3bc616d3e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89c87-1cf5-49cf-99dd-7213ed854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b26d957-b41b-446d-b21d-e160e41793ad}" ma:internalName="TaxCatchAll" ma:showField="CatchAllData" ma:web="4f889c87-1cf5-49cf-99dd-7213ed8540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DFE291-A2A1-482B-8281-F0EEF6314E6E}">
  <ds:schemaRefs>
    <ds:schemaRef ds:uri="http://schemas.microsoft.com/office/2006/metadata/properties"/>
    <ds:schemaRef ds:uri="http://schemas.microsoft.com/office/infopath/2007/PartnerControls"/>
    <ds:schemaRef ds:uri="cc6839aa-3829-4483-b1ac-3bc616d3ebb7"/>
    <ds:schemaRef ds:uri="4f889c87-1cf5-49cf-99dd-7213ed854027"/>
  </ds:schemaRefs>
</ds:datastoreItem>
</file>

<file path=customXml/itemProps2.xml><?xml version="1.0" encoding="utf-8"?>
<ds:datastoreItem xmlns:ds="http://schemas.openxmlformats.org/officeDocument/2006/customXml" ds:itemID="{7B3D2F4A-2485-44EE-ADF3-4E27D838D8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AF95A3-FBB6-4919-8838-43C6AE252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839aa-3829-4483-b1ac-3bc616d3ebb7"/>
    <ds:schemaRef ds:uri="4f889c87-1cf5-49cf-99dd-7213ed854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ТЗ м.к.</vt:lpstr>
      <vt:lpstr>'ТЗ м.к.'!Область_друку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2025-12-13T09:55:23Z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0x01010058A48280EA248E4AAA91B26A725D596D</vt:lpwstr>
  </property>
  <property fmtid="{D5CDD505-2E9C-101B-9397-08002B2CF9AE}" pid="3" name="MediaServiceImageTags">
    <vt:lpwstr/>
  </property>
</Properties>
</file>