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Замовники\ААА РОБОТІ\Еnabel\"/>
    </mc:Choice>
  </mc:AlternateContent>
  <xr:revisionPtr revIDLastSave="0" documentId="13_ncr:1_{D19F6040-F1C8-47E5-AA5A-A63AD1C1C3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Демонтаж" sheetId="3" r:id="rId1"/>
    <sheet name="DC_KK" sheetId="1" state="hidden" r:id="rId2"/>
  </sheets>
  <definedNames>
    <definedName name="_xlnm._FilterDatabase" localSheetId="1" hidden="1">DC_KK!$A$5:$I$2401</definedName>
    <definedName name="_xlnm._FilterDatabase" localSheetId="0" hidden="1">Демонтаж!$B$1:$E$28</definedName>
    <definedName name="_xlnm.Print_Titles" localSheetId="0">Демонтаж!$1:$1</definedName>
    <definedName name="_xlnm.Print_Area" localSheetId="0">Демонтаж!$B$1:$E$28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3" l="1"/>
  <c r="B3" i="3" s="1"/>
  <c r="B4" i="3" l="1"/>
  <c r="B5" i="3" l="1"/>
  <c r="B6" i="3" s="1"/>
  <c r="B7" i="3" l="1"/>
  <c r="B8" i="3" l="1"/>
  <c r="B9" i="3" l="1"/>
  <c r="B10" i="3" l="1"/>
  <c r="B11" i="3" s="1"/>
  <c r="B12" i="3" l="1"/>
  <c r="B13" i="3" l="1"/>
  <c r="B14" i="3" l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I2400" i="1"/>
  <c r="G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G2386" i="1"/>
  <c r="I2385" i="1"/>
  <c r="G2385" i="1"/>
  <c r="I2382" i="1"/>
  <c r="G2381" i="1"/>
  <c r="I2381" i="1" s="1"/>
  <c r="G2380" i="1"/>
  <c r="I2380" i="1" s="1"/>
  <c r="I2379" i="1"/>
  <c r="H2379" i="1"/>
  <c r="G2379" i="1"/>
  <c r="I2378" i="1"/>
  <c r="H2378" i="1"/>
  <c r="G2378" i="1"/>
  <c r="I2377" i="1"/>
  <c r="G2377" i="1"/>
  <c r="H2376" i="1"/>
  <c r="I2376" i="1" s="1"/>
  <c r="G2376" i="1"/>
  <c r="H2375" i="1"/>
  <c r="I2375" i="1" s="1"/>
  <c r="G2375" i="1"/>
  <c r="I2374" i="1"/>
  <c r="H2373" i="1"/>
  <c r="G2373" i="1"/>
  <c r="I2373" i="1" s="1"/>
  <c r="H2372" i="1"/>
  <c r="G2372" i="1"/>
  <c r="I2372" i="1" s="1"/>
  <c r="G2371" i="1"/>
  <c r="I2371" i="1" s="1"/>
  <c r="J2370" i="1"/>
  <c r="H2370" i="1"/>
  <c r="G2370" i="1"/>
  <c r="I2370" i="1" s="1"/>
  <c r="G2367" i="1"/>
  <c r="I2367" i="1" s="1"/>
  <c r="G2366" i="1"/>
  <c r="I2366" i="1" s="1"/>
  <c r="G2365" i="1"/>
  <c r="I2365" i="1" s="1"/>
  <c r="I2364" i="1"/>
  <c r="G2364" i="1"/>
  <c r="I2363" i="1"/>
  <c r="G2362" i="1"/>
  <c r="I2362" i="1" s="1"/>
  <c r="I2361" i="1"/>
  <c r="G2361" i="1"/>
  <c r="I2360" i="1"/>
  <c r="G2359" i="1"/>
  <c r="I2359" i="1" s="1"/>
  <c r="I2358" i="1"/>
  <c r="G2358" i="1"/>
  <c r="H2357" i="1"/>
  <c r="I2357" i="1" s="1"/>
  <c r="G2357" i="1"/>
  <c r="H2356" i="1"/>
  <c r="I2356" i="1" s="1"/>
  <c r="G2356" i="1"/>
  <c r="I2355" i="1"/>
  <c r="H2355" i="1"/>
  <c r="G2355" i="1"/>
  <c r="G2354" i="1"/>
  <c r="I2354" i="1" s="1"/>
  <c r="O2353" i="1"/>
  <c r="J2353" i="1"/>
  <c r="M2353" i="1" s="1"/>
  <c r="H2353" i="1"/>
  <c r="G2353" i="1"/>
  <c r="I2353" i="1" s="1"/>
  <c r="I2350" i="1"/>
  <c r="H2350" i="1"/>
  <c r="H2349" i="1"/>
  <c r="G2349" i="1"/>
  <c r="I2349" i="1" s="1"/>
  <c r="H2348" i="1"/>
  <c r="G2348" i="1"/>
  <c r="I2348" i="1" s="1"/>
  <c r="G2347" i="1"/>
  <c r="I2347" i="1" s="1"/>
  <c r="I2346" i="1"/>
  <c r="G2346" i="1"/>
  <c r="H2345" i="1"/>
  <c r="G2345" i="1"/>
  <c r="H2344" i="1"/>
  <c r="G2344" i="1"/>
  <c r="I2344" i="1" s="1"/>
  <c r="H2343" i="1"/>
  <c r="I2343" i="1" s="1"/>
  <c r="H2342" i="1"/>
  <c r="I2342" i="1" s="1"/>
  <c r="I2341" i="1"/>
  <c r="H2340" i="1"/>
  <c r="H2341" i="1" s="1"/>
  <c r="G2340" i="1"/>
  <c r="I2339" i="1"/>
  <c r="G2339" i="1"/>
  <c r="I2338" i="1"/>
  <c r="H2338" i="1"/>
  <c r="H2339" i="1" s="1"/>
  <c r="G2338" i="1"/>
  <c r="H2337" i="1"/>
  <c r="I2337" i="1" s="1"/>
  <c r="G2336" i="1"/>
  <c r="I2336" i="1" s="1"/>
  <c r="G2333" i="1"/>
  <c r="I2333" i="1" s="1"/>
  <c r="H2332" i="1"/>
  <c r="G2332" i="1"/>
  <c r="H2331" i="1"/>
  <c r="G2331" i="1"/>
  <c r="I2331" i="1" s="1"/>
  <c r="H2330" i="1"/>
  <c r="G2330" i="1"/>
  <c r="H2329" i="1"/>
  <c r="G2329" i="1"/>
  <c r="I2329" i="1" s="1"/>
  <c r="H2328" i="1"/>
  <c r="G2328" i="1"/>
  <c r="H2327" i="1"/>
  <c r="G2327" i="1"/>
  <c r="I2327" i="1" s="1"/>
  <c r="G2326" i="1"/>
  <c r="I2326" i="1" s="1"/>
  <c r="G2325" i="1"/>
  <c r="I2325" i="1" s="1"/>
  <c r="I2324" i="1"/>
  <c r="G2324" i="1"/>
  <c r="H2323" i="1"/>
  <c r="I2323" i="1" s="1"/>
  <c r="G2323" i="1"/>
  <c r="I2319" i="1"/>
  <c r="G2319" i="1"/>
  <c r="I2318" i="1"/>
  <c r="G2318" i="1"/>
  <c r="I2317" i="1"/>
  <c r="G2317" i="1"/>
  <c r="H2316" i="1"/>
  <c r="G2316" i="1"/>
  <c r="I2316" i="1" s="1"/>
  <c r="H2315" i="1"/>
  <c r="G2315" i="1"/>
  <c r="H2314" i="1"/>
  <c r="G2314" i="1"/>
  <c r="I2314" i="1" s="1"/>
  <c r="H2313" i="1"/>
  <c r="G2313" i="1"/>
  <c r="H2312" i="1"/>
  <c r="G2312" i="1"/>
  <c r="I2312" i="1" s="1"/>
  <c r="H2311" i="1"/>
  <c r="G2311" i="1"/>
  <c r="I2311" i="1" s="1"/>
  <c r="H2310" i="1"/>
  <c r="G2310" i="1"/>
  <c r="I2310" i="1" s="1"/>
  <c r="H2309" i="1"/>
  <c r="G2309" i="1"/>
  <c r="I2309" i="1" s="1"/>
  <c r="H2308" i="1"/>
  <c r="G2308" i="1"/>
  <c r="I2308" i="1" s="1"/>
  <c r="G2307" i="1"/>
  <c r="I2307" i="1" s="1"/>
  <c r="I2306" i="1"/>
  <c r="G2306" i="1"/>
  <c r="I2303" i="1"/>
  <c r="H2303" i="1"/>
  <c r="I2302" i="1"/>
  <c r="H2302" i="1"/>
  <c r="G2302" i="1"/>
  <c r="I2301" i="1"/>
  <c r="H2301" i="1"/>
  <c r="H2300" i="1"/>
  <c r="I2300" i="1" s="1"/>
  <c r="H2299" i="1"/>
  <c r="I2299" i="1" s="1"/>
  <c r="G2298" i="1"/>
  <c r="I2298" i="1" s="1"/>
  <c r="H2297" i="1"/>
  <c r="H2298" i="1" s="1"/>
  <c r="I2296" i="1"/>
  <c r="H2296" i="1"/>
  <c r="I2295" i="1"/>
  <c r="G2295" i="1"/>
  <c r="I2293" i="1"/>
  <c r="H2293" i="1"/>
  <c r="G2293" i="1"/>
  <c r="H2292" i="1"/>
  <c r="I2292" i="1" s="1"/>
  <c r="G2292" i="1"/>
  <c r="I2291" i="1"/>
  <c r="H2291" i="1"/>
  <c r="G2291" i="1"/>
  <c r="I2290" i="1"/>
  <c r="H2290" i="1"/>
  <c r="G2290" i="1"/>
  <c r="H2289" i="1"/>
  <c r="I2289" i="1" s="1"/>
  <c r="G2289" i="1"/>
  <c r="H2288" i="1"/>
  <c r="I2288" i="1" s="1"/>
  <c r="G2288" i="1"/>
  <c r="G2287" i="1"/>
  <c r="I2286" i="1"/>
  <c r="H2286" i="1"/>
  <c r="H2287" i="1" s="1"/>
  <c r="I2287" i="1" s="1"/>
  <c r="G2286" i="1"/>
  <c r="I2285" i="1"/>
  <c r="H2285" i="1"/>
  <c r="G2284" i="1"/>
  <c r="I2284" i="1" s="1"/>
  <c r="G2281" i="1"/>
  <c r="I2281" i="1" s="1"/>
  <c r="G2280" i="1"/>
  <c r="I2280" i="1" s="1"/>
  <c r="I2279" i="1"/>
  <c r="G2279" i="1"/>
  <c r="I2278" i="1"/>
  <c r="H2278" i="1"/>
  <c r="G2278" i="1"/>
  <c r="I2277" i="1"/>
  <c r="G2277" i="1"/>
  <c r="I2276" i="1"/>
  <c r="G2276" i="1"/>
  <c r="G2275" i="1"/>
  <c r="I2275" i="1" s="1"/>
  <c r="I2274" i="1"/>
  <c r="G2274" i="1"/>
  <c r="I2273" i="1"/>
  <c r="G2273" i="1"/>
  <c r="H2272" i="1"/>
  <c r="I2272" i="1" s="1"/>
  <c r="G2272" i="1"/>
  <c r="I2271" i="1"/>
  <c r="G2271" i="1"/>
  <c r="H2270" i="1"/>
  <c r="G2270" i="1"/>
  <c r="I2270" i="1" s="1"/>
  <c r="G2269" i="1"/>
  <c r="I2269" i="1" s="1"/>
  <c r="G2268" i="1"/>
  <c r="I2268" i="1" s="1"/>
  <c r="G2265" i="1"/>
  <c r="I2265" i="1" s="1"/>
  <c r="H2264" i="1"/>
  <c r="G2264" i="1"/>
  <c r="I2264" i="1" s="1"/>
  <c r="G2263" i="1"/>
  <c r="I2263" i="1" s="1"/>
  <c r="I2262" i="1"/>
  <c r="H2261" i="1"/>
  <c r="I2261" i="1" s="1"/>
  <c r="H2260" i="1"/>
  <c r="I2260" i="1" s="1"/>
  <c r="G2259" i="1"/>
  <c r="I2258" i="1"/>
  <c r="H2258" i="1"/>
  <c r="G2258" i="1"/>
  <c r="I2257" i="1"/>
  <c r="G2256" i="1"/>
  <c r="I2255" i="1"/>
  <c r="H2255" i="1"/>
  <c r="H2256" i="1" s="1"/>
  <c r="I2256" i="1" s="1"/>
  <c r="G2255" i="1"/>
  <c r="H2254" i="1"/>
  <c r="I2254" i="1" s="1"/>
  <c r="G2254" i="1"/>
  <c r="H2253" i="1"/>
  <c r="I2253" i="1" s="1"/>
  <c r="G2253" i="1"/>
  <c r="I2252" i="1"/>
  <c r="H2252" i="1"/>
  <c r="G2252" i="1"/>
  <c r="I2251" i="1"/>
  <c r="H2251" i="1"/>
  <c r="G2251" i="1"/>
  <c r="H2250" i="1"/>
  <c r="I2250" i="1" s="1"/>
  <c r="H2249" i="1"/>
  <c r="H2257" i="1" s="1"/>
  <c r="G2249" i="1"/>
  <c r="H2248" i="1"/>
  <c r="G2247" i="1"/>
  <c r="I2247" i="1" s="1"/>
  <c r="H2244" i="1"/>
  <c r="I2244" i="1" s="1"/>
  <c r="H2243" i="1"/>
  <c r="I2243" i="1" s="1"/>
  <c r="I2242" i="1"/>
  <c r="H2242" i="1"/>
  <c r="G2242" i="1"/>
  <c r="I2241" i="1"/>
  <c r="G2241" i="1"/>
  <c r="G2240" i="1"/>
  <c r="I2240" i="1" s="1"/>
  <c r="H2239" i="1"/>
  <c r="G2239" i="1"/>
  <c r="G2238" i="1"/>
  <c r="G2235" i="1"/>
  <c r="G2234" i="1"/>
  <c r="H2232" i="1"/>
  <c r="G2232" i="1"/>
  <c r="H2230" i="1"/>
  <c r="G2230" i="1"/>
  <c r="I2230" i="1" s="1"/>
  <c r="K2229" i="1"/>
  <c r="I2227" i="1"/>
  <c r="G2227" i="1"/>
  <c r="G2226" i="1"/>
  <c r="I2226" i="1" s="1"/>
  <c r="G2225" i="1"/>
  <c r="I2225" i="1" s="1"/>
  <c r="G2224" i="1"/>
  <c r="I2224" i="1" s="1"/>
  <c r="I2223" i="1"/>
  <c r="G2223" i="1"/>
  <c r="G2222" i="1"/>
  <c r="I2222" i="1" s="1"/>
  <c r="I2221" i="1"/>
  <c r="I2220" i="1"/>
  <c r="G2220" i="1"/>
  <c r="I2219" i="1"/>
  <c r="G2218" i="1"/>
  <c r="I2218" i="1" s="1"/>
  <c r="I2216" i="1"/>
  <c r="I2215" i="1"/>
  <c r="H2215" i="1"/>
  <c r="G2215" i="1"/>
  <c r="I2214" i="1"/>
  <c r="H2214" i="1"/>
  <c r="G2214" i="1"/>
  <c r="I2213" i="1"/>
  <c r="G2212" i="1"/>
  <c r="I2212" i="1" s="1"/>
  <c r="I2211" i="1"/>
  <c r="H2211" i="1"/>
  <c r="G2211" i="1"/>
  <c r="G2210" i="1"/>
  <c r="I2210" i="1" s="1"/>
  <c r="H2209" i="1"/>
  <c r="G2209" i="1"/>
  <c r="I2208" i="1"/>
  <c r="I2207" i="1"/>
  <c r="H2207" i="1"/>
  <c r="G2207" i="1"/>
  <c r="I2206" i="1"/>
  <c r="G2206" i="1"/>
  <c r="H2205" i="1"/>
  <c r="I2205" i="1" s="1"/>
  <c r="G2205" i="1"/>
  <c r="G2204" i="1"/>
  <c r="I2204" i="1" s="1"/>
  <c r="H2203" i="1"/>
  <c r="G2203" i="1"/>
  <c r="I2203" i="1" s="1"/>
  <c r="G2202" i="1"/>
  <c r="I2202" i="1" s="1"/>
  <c r="I2201" i="1"/>
  <c r="I2200" i="1"/>
  <c r="G2200" i="1"/>
  <c r="G2196" i="1"/>
  <c r="I2196" i="1" s="1"/>
  <c r="G2195" i="1"/>
  <c r="I2195" i="1" s="1"/>
  <c r="I2194" i="1"/>
  <c r="G2194" i="1"/>
  <c r="I2193" i="1"/>
  <c r="G2193" i="1"/>
  <c r="G2192" i="1"/>
  <c r="I2192" i="1" s="1"/>
  <c r="I2191" i="1"/>
  <c r="G2191" i="1"/>
  <c r="I2190" i="1"/>
  <c r="G2190" i="1"/>
  <c r="G2189" i="1"/>
  <c r="I2189" i="1" s="1"/>
  <c r="G2188" i="1"/>
  <c r="I2188" i="1" s="1"/>
  <c r="G2187" i="1"/>
  <c r="I2187" i="1" s="1"/>
  <c r="I2186" i="1"/>
  <c r="G2186" i="1"/>
  <c r="G2185" i="1"/>
  <c r="I2185" i="1" s="1"/>
  <c r="G2184" i="1"/>
  <c r="I2184" i="1" s="1"/>
  <c r="I2183" i="1"/>
  <c r="G2183" i="1"/>
  <c r="I2182" i="1"/>
  <c r="G2182" i="1"/>
  <c r="G2181" i="1"/>
  <c r="I2181" i="1" s="1"/>
  <c r="G2180" i="1"/>
  <c r="I2180" i="1" s="1"/>
  <c r="G2179" i="1"/>
  <c r="I2179" i="1" s="1"/>
  <c r="I2178" i="1"/>
  <c r="G2178" i="1"/>
  <c r="G2177" i="1"/>
  <c r="I2177" i="1" s="1"/>
  <c r="G2176" i="1"/>
  <c r="I2176" i="1" s="1"/>
  <c r="I2175" i="1"/>
  <c r="G2175" i="1"/>
  <c r="I2174" i="1"/>
  <c r="G2174" i="1"/>
  <c r="G2173" i="1"/>
  <c r="I2173" i="1" s="1"/>
  <c r="G2172" i="1"/>
  <c r="I2172" i="1" s="1"/>
  <c r="G2171" i="1"/>
  <c r="I2171" i="1" s="1"/>
  <c r="I2170" i="1"/>
  <c r="G2170" i="1"/>
  <c r="G2169" i="1"/>
  <c r="I2169" i="1" s="1"/>
  <c r="G2168" i="1"/>
  <c r="I2168" i="1" s="1"/>
  <c r="I2167" i="1"/>
  <c r="G2167" i="1"/>
  <c r="I2166" i="1"/>
  <c r="G2166" i="1"/>
  <c r="I2165" i="1"/>
  <c r="G2165" i="1"/>
  <c r="G2164" i="1"/>
  <c r="I2164" i="1" s="1"/>
  <c r="I2163" i="1"/>
  <c r="G2163" i="1"/>
  <c r="I2162" i="1"/>
  <c r="G2162" i="1"/>
  <c r="I2161" i="1"/>
  <c r="G2161" i="1"/>
  <c r="G2160" i="1"/>
  <c r="I2160" i="1" s="1"/>
  <c r="I2159" i="1"/>
  <c r="G2159" i="1"/>
  <c r="I2158" i="1"/>
  <c r="G2158" i="1"/>
  <c r="G2157" i="1"/>
  <c r="I2157" i="1" s="1"/>
  <c r="G2156" i="1"/>
  <c r="I2156" i="1" s="1"/>
  <c r="G2154" i="1"/>
  <c r="I2154" i="1" s="1"/>
  <c r="I2153" i="1"/>
  <c r="G2153" i="1"/>
  <c r="G2152" i="1"/>
  <c r="I2152" i="1" s="1"/>
  <c r="G2150" i="1"/>
  <c r="I2150" i="1" s="1"/>
  <c r="I2149" i="1"/>
  <c r="G2149" i="1"/>
  <c r="I2148" i="1"/>
  <c r="G2148" i="1"/>
  <c r="I2147" i="1"/>
  <c r="G2147" i="1"/>
  <c r="G2146" i="1"/>
  <c r="I2146" i="1" s="1"/>
  <c r="G2145" i="1"/>
  <c r="I2145" i="1" s="1"/>
  <c r="I2144" i="1"/>
  <c r="G2144" i="1"/>
  <c r="G2143" i="1"/>
  <c r="I2143" i="1" s="1"/>
  <c r="G2142" i="1"/>
  <c r="I2142" i="1" s="1"/>
  <c r="G2141" i="1"/>
  <c r="I2141" i="1" s="1"/>
  <c r="I2139" i="1"/>
  <c r="G2139" i="1"/>
  <c r="I2136" i="1"/>
  <c r="G2136" i="1"/>
  <c r="G2134" i="1"/>
  <c r="I2134" i="1" s="1"/>
  <c r="G2131" i="1"/>
  <c r="I2131" i="1" s="1"/>
  <c r="H2127" i="1"/>
  <c r="I2127" i="1" s="1"/>
  <c r="H2126" i="1"/>
  <c r="I2126" i="1" s="1"/>
  <c r="I2125" i="1"/>
  <c r="G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G2108" i="1"/>
  <c r="I2107" i="1"/>
  <c r="I2106" i="1"/>
  <c r="G2106" i="1"/>
  <c r="I2105" i="1"/>
  <c r="I2104" i="1"/>
  <c r="I2103" i="1"/>
  <c r="G2103" i="1"/>
  <c r="G2102" i="1"/>
  <c r="I2102" i="1" s="1"/>
  <c r="I2128" i="1" s="1"/>
  <c r="I2099" i="1"/>
  <c r="G2098" i="1"/>
  <c r="I2098" i="1" s="1"/>
  <c r="I2097" i="1"/>
  <c r="I2096" i="1"/>
  <c r="I2095" i="1"/>
  <c r="I2094" i="1"/>
  <c r="I2093" i="1"/>
  <c r="I2092" i="1"/>
  <c r="I2091" i="1"/>
  <c r="I2090" i="1"/>
  <c r="I2089" i="1"/>
  <c r="I2086" i="1"/>
  <c r="G2086" i="1"/>
  <c r="I2085" i="1"/>
  <c r="G2085" i="1"/>
  <c r="G2084" i="1"/>
  <c r="I2084" i="1" s="1"/>
  <c r="G2083" i="1"/>
  <c r="I2083" i="1" s="1"/>
  <c r="I2082" i="1"/>
  <c r="G2082" i="1"/>
  <c r="I2081" i="1"/>
  <c r="G2081" i="1"/>
  <c r="G2080" i="1"/>
  <c r="I2080" i="1" s="1"/>
  <c r="I2079" i="1"/>
  <c r="G2078" i="1"/>
  <c r="I2078" i="1" s="1"/>
  <c r="I2077" i="1"/>
  <c r="I2076" i="1"/>
  <c r="I2075" i="1"/>
  <c r="I2074" i="1"/>
  <c r="G2074" i="1"/>
  <c r="I2071" i="1"/>
  <c r="G2071" i="1"/>
  <c r="I2070" i="1"/>
  <c r="G2070" i="1"/>
  <c r="G2069" i="1"/>
  <c r="I2069" i="1" s="1"/>
  <c r="G2068" i="1"/>
  <c r="I2068" i="1" s="1"/>
  <c r="G2067" i="1"/>
  <c r="I2067" i="1" s="1"/>
  <c r="I2066" i="1"/>
  <c r="G2065" i="1"/>
  <c r="I2065" i="1" s="1"/>
  <c r="G2064" i="1"/>
  <c r="I2064" i="1" s="1"/>
  <c r="I2063" i="1"/>
  <c r="I2062" i="1"/>
  <c r="I2061" i="1"/>
  <c r="G2061" i="1"/>
  <c r="I2058" i="1"/>
  <c r="G2058" i="1"/>
  <c r="I2057" i="1"/>
  <c r="G2057" i="1"/>
  <c r="G2056" i="1"/>
  <c r="I2056" i="1" s="1"/>
  <c r="G2055" i="1"/>
  <c r="I2055" i="1" s="1"/>
  <c r="I2054" i="1"/>
  <c r="G2053" i="1"/>
  <c r="I2053" i="1" s="1"/>
  <c r="I2052" i="1"/>
  <c r="I2051" i="1"/>
  <c r="G2051" i="1"/>
  <c r="I2050" i="1"/>
  <c r="I2049" i="1"/>
  <c r="G2049" i="1"/>
  <c r="I2048" i="1"/>
  <c r="I2047" i="1"/>
  <c r="I2046" i="1"/>
  <c r="G2045" i="1"/>
  <c r="I2045" i="1" s="1"/>
  <c r="I2041" i="1"/>
  <c r="G2041" i="1"/>
  <c r="G2040" i="1"/>
  <c r="I2040" i="1" s="1"/>
  <c r="I2039" i="1"/>
  <c r="G2039" i="1"/>
  <c r="I2038" i="1"/>
  <c r="G2038" i="1"/>
  <c r="I2037" i="1"/>
  <c r="G2037" i="1"/>
  <c r="G2036" i="1"/>
  <c r="I2036" i="1" s="1"/>
  <c r="I2035" i="1"/>
  <c r="G2035" i="1"/>
  <c r="I2034" i="1"/>
  <c r="G2034" i="1"/>
  <c r="I2033" i="1"/>
  <c r="I2032" i="1"/>
  <c r="G2032" i="1"/>
  <c r="I2031" i="1"/>
  <c r="G2031" i="1"/>
  <c r="I2030" i="1"/>
  <c r="G2030" i="1"/>
  <c r="G2029" i="1"/>
  <c r="I2029" i="1" s="1"/>
  <c r="I2028" i="1"/>
  <c r="G2028" i="1"/>
  <c r="I2027" i="1"/>
  <c r="G2027" i="1"/>
  <c r="G2026" i="1"/>
  <c r="I2026" i="1" s="1"/>
  <c r="G2025" i="1"/>
  <c r="I2025" i="1" s="1"/>
  <c r="G2024" i="1"/>
  <c r="I2024" i="1" s="1"/>
  <c r="G2023" i="1"/>
  <c r="I2023" i="1" s="1"/>
  <c r="I2022" i="1"/>
  <c r="G2022" i="1"/>
  <c r="I2021" i="1"/>
  <c r="G2021" i="1"/>
  <c r="G2020" i="1"/>
  <c r="I2020" i="1" s="1"/>
  <c r="I2019" i="1"/>
  <c r="G2019" i="1"/>
  <c r="I2018" i="1"/>
  <c r="G2018" i="1"/>
  <c r="G2016" i="1"/>
  <c r="I2016" i="1" s="1"/>
  <c r="G2015" i="1"/>
  <c r="I2015" i="1" s="1"/>
  <c r="G2014" i="1"/>
  <c r="I2014" i="1" s="1"/>
  <c r="I2013" i="1"/>
  <c r="G2013" i="1"/>
  <c r="I2012" i="1"/>
  <c r="G2012" i="1"/>
  <c r="G2011" i="1"/>
  <c r="I2011" i="1" s="1"/>
  <c r="I2010" i="1"/>
  <c r="G2010" i="1"/>
  <c r="I2009" i="1"/>
  <c r="I2042" i="1" s="1"/>
  <c r="G2009" i="1"/>
  <c r="I2005" i="1"/>
  <c r="I2004" i="1"/>
  <c r="I2003" i="1"/>
  <c r="I2002" i="1"/>
  <c r="I2001" i="1"/>
  <c r="I2000" i="1"/>
  <c r="G2000" i="1"/>
  <c r="G1999" i="1"/>
  <c r="I1999" i="1" s="1"/>
  <c r="I1998" i="1"/>
  <c r="G1998" i="1"/>
  <c r="I1997" i="1"/>
  <c r="G1997" i="1"/>
  <c r="H1996" i="1"/>
  <c r="I1996" i="1" s="1"/>
  <c r="G1996" i="1"/>
  <c r="I1995" i="1"/>
  <c r="I1994" i="1"/>
  <c r="I1993" i="1"/>
  <c r="I1992" i="1"/>
  <c r="G1992" i="1"/>
  <c r="I1991" i="1"/>
  <c r="H1991" i="1"/>
  <c r="G1991" i="1"/>
  <c r="I1990" i="1"/>
  <c r="G1990" i="1"/>
  <c r="I1989" i="1"/>
  <c r="G1989" i="1"/>
  <c r="G1988" i="1"/>
  <c r="I1988" i="1" s="1"/>
  <c r="I1987" i="1"/>
  <c r="G1987" i="1"/>
  <c r="I1986" i="1"/>
  <c r="G1986" i="1"/>
  <c r="I1985" i="1"/>
  <c r="I1984" i="1"/>
  <c r="G1984" i="1"/>
  <c r="I1983" i="1"/>
  <c r="G1983" i="1"/>
  <c r="G1982" i="1"/>
  <c r="I1982" i="1" s="1"/>
  <c r="G1981" i="1"/>
  <c r="I1981" i="1" s="1"/>
  <c r="G1980" i="1"/>
  <c r="I1980" i="1" s="1"/>
  <c r="I1979" i="1"/>
  <c r="G1979" i="1"/>
  <c r="I1978" i="1"/>
  <c r="G1978" i="1"/>
  <c r="G1977" i="1"/>
  <c r="I1977" i="1" s="1"/>
  <c r="I1976" i="1"/>
  <c r="G1976" i="1"/>
  <c r="I1975" i="1"/>
  <c r="G1975" i="1"/>
  <c r="G1974" i="1"/>
  <c r="I1974" i="1" s="1"/>
  <c r="I1971" i="1"/>
  <c r="I1970" i="1"/>
  <c r="I1969" i="1"/>
  <c r="I1968" i="1"/>
  <c r="I1967" i="1"/>
  <c r="I1966" i="1"/>
  <c r="G1965" i="1"/>
  <c r="I1965" i="1" s="1"/>
  <c r="I1962" i="1"/>
  <c r="G1962" i="1"/>
  <c r="G1961" i="1"/>
  <c r="I1961" i="1" s="1"/>
  <c r="I1960" i="1"/>
  <c r="G1960" i="1"/>
  <c r="I1959" i="1"/>
  <c r="G1959" i="1"/>
  <c r="G1958" i="1"/>
  <c r="I1958" i="1" s="1"/>
  <c r="G1957" i="1"/>
  <c r="I1957" i="1" s="1"/>
  <c r="G1956" i="1"/>
  <c r="I1956" i="1" s="1"/>
  <c r="I1955" i="1"/>
  <c r="G1955" i="1"/>
  <c r="I1954" i="1"/>
  <c r="G1953" i="1"/>
  <c r="I1953" i="1" s="1"/>
  <c r="I1952" i="1"/>
  <c r="I1951" i="1"/>
  <c r="I1950" i="1"/>
  <c r="G1949" i="1"/>
  <c r="I1949" i="1" s="1"/>
  <c r="I1948" i="1"/>
  <c r="I1947" i="1"/>
  <c r="I1946" i="1"/>
  <c r="I1945" i="1"/>
  <c r="I1944" i="1"/>
  <c r="G1944" i="1"/>
  <c r="I1943" i="1"/>
  <c r="G1943" i="1"/>
  <c r="G1942" i="1"/>
  <c r="I1942" i="1" s="1"/>
  <c r="G1941" i="1"/>
  <c r="I1941" i="1" s="1"/>
  <c r="I1939" i="1"/>
  <c r="I1938" i="1"/>
  <c r="I1937" i="1"/>
  <c r="G1937" i="1"/>
  <c r="I1935" i="1"/>
  <c r="G1935" i="1"/>
  <c r="G1934" i="1"/>
  <c r="I1934" i="1" s="1"/>
  <c r="G1933" i="1"/>
  <c r="I1933" i="1" s="1"/>
  <c r="I1932" i="1"/>
  <c r="I1931" i="1"/>
  <c r="I1930" i="1"/>
  <c r="G1930" i="1"/>
  <c r="I1929" i="1"/>
  <c r="G1929" i="1"/>
  <c r="G1926" i="1"/>
  <c r="I1926" i="1" s="1"/>
  <c r="G1925" i="1"/>
  <c r="I1925" i="1" s="1"/>
  <c r="G1924" i="1"/>
  <c r="I1924" i="1" s="1"/>
  <c r="I1923" i="1"/>
  <c r="G1923" i="1"/>
  <c r="G1922" i="1"/>
  <c r="I1922" i="1" s="1"/>
  <c r="G1921" i="1"/>
  <c r="I1921" i="1" s="1"/>
  <c r="I1920" i="1"/>
  <c r="G1920" i="1"/>
  <c r="I1919" i="1"/>
  <c r="G1918" i="1"/>
  <c r="I1918" i="1" s="1"/>
  <c r="I1917" i="1"/>
  <c r="G1917" i="1"/>
  <c r="I1916" i="1"/>
  <c r="G1916" i="1"/>
  <c r="I1913" i="1"/>
  <c r="G1913" i="1"/>
  <c r="I1912" i="1"/>
  <c r="G1911" i="1"/>
  <c r="I1911" i="1" s="1"/>
  <c r="I1910" i="1"/>
  <c r="G1909" i="1"/>
  <c r="I1909" i="1" s="1"/>
  <c r="I1908" i="1"/>
  <c r="I1907" i="1"/>
  <c r="G1907" i="1"/>
  <c r="I1906" i="1"/>
  <c r="G1905" i="1"/>
  <c r="I1905" i="1" s="1"/>
  <c r="I1904" i="1"/>
  <c r="I1903" i="1"/>
  <c r="I1902" i="1"/>
  <c r="I1901" i="1"/>
  <c r="I1900" i="1"/>
  <c r="G1900" i="1"/>
  <c r="I1899" i="1"/>
  <c r="I1898" i="1"/>
  <c r="G1897" i="1"/>
  <c r="I1897" i="1" s="1"/>
  <c r="I1896" i="1"/>
  <c r="I1895" i="1"/>
  <c r="G1894" i="1"/>
  <c r="I1894" i="1" s="1"/>
  <c r="I1893" i="1"/>
  <c r="G1892" i="1"/>
  <c r="I1892" i="1" s="1"/>
  <c r="I1891" i="1"/>
  <c r="I1890" i="1"/>
  <c r="G1890" i="1"/>
  <c r="I1889" i="1"/>
  <c r="G1888" i="1"/>
  <c r="I1888" i="1" s="1"/>
  <c r="I1887" i="1"/>
  <c r="I1886" i="1"/>
  <c r="I1885" i="1"/>
  <c r="I1884" i="1"/>
  <c r="I1883" i="1"/>
  <c r="G1883" i="1"/>
  <c r="G1882" i="1"/>
  <c r="I1882" i="1" s="1"/>
  <c r="G1881" i="1"/>
  <c r="I1881" i="1" s="1"/>
  <c r="I1880" i="1"/>
  <c r="G1880" i="1"/>
  <c r="I1879" i="1"/>
  <c r="G1878" i="1"/>
  <c r="I1878" i="1" s="1"/>
  <c r="I1877" i="1"/>
  <c r="G1877" i="1"/>
  <c r="I1876" i="1"/>
  <c r="G1876" i="1"/>
  <c r="G1875" i="1"/>
  <c r="I1875" i="1" s="1"/>
  <c r="I1874" i="1"/>
  <c r="I1873" i="1"/>
  <c r="G1872" i="1"/>
  <c r="I1872" i="1" s="1"/>
  <c r="I1870" i="1"/>
  <c r="I1869" i="1"/>
  <c r="G1868" i="1"/>
  <c r="I1868" i="1" s="1"/>
  <c r="G1865" i="1"/>
  <c r="I1865" i="1" s="1"/>
  <c r="G1864" i="1"/>
  <c r="I1864" i="1" s="1"/>
  <c r="I1863" i="1"/>
  <c r="G1863" i="1"/>
  <c r="I1862" i="1"/>
  <c r="G1861" i="1"/>
  <c r="I1861" i="1" s="1"/>
  <c r="I1860" i="1"/>
  <c r="G1860" i="1"/>
  <c r="I1857" i="1"/>
  <c r="I1856" i="1"/>
  <c r="I1855" i="1"/>
  <c r="I1853" i="1"/>
  <c r="G1852" i="1"/>
  <c r="I1852" i="1" s="1"/>
  <c r="G1851" i="1"/>
  <c r="I1851" i="1" s="1"/>
  <c r="I1850" i="1"/>
  <c r="G1850" i="1"/>
  <c r="I1849" i="1"/>
  <c r="G1849" i="1"/>
  <c r="I1848" i="1"/>
  <c r="G1848" i="1"/>
  <c r="I1846" i="1"/>
  <c r="I1845" i="1"/>
  <c r="G1842" i="1"/>
  <c r="I1842" i="1" s="1"/>
  <c r="G1841" i="1"/>
  <c r="I1841" i="1" s="1"/>
  <c r="I1840" i="1"/>
  <c r="I1839" i="1"/>
  <c r="I1838" i="1"/>
  <c r="I1837" i="1"/>
  <c r="H1836" i="1"/>
  <c r="G1836" i="1"/>
  <c r="I1836" i="1" s="1"/>
  <c r="I1834" i="1"/>
  <c r="I1833" i="1"/>
  <c r="I1832" i="1"/>
  <c r="I1831" i="1"/>
  <c r="I1830" i="1"/>
  <c r="I1827" i="1"/>
  <c r="I1826" i="1"/>
  <c r="I1825" i="1"/>
  <c r="I1824" i="1"/>
  <c r="I1823" i="1"/>
  <c r="I1822" i="1"/>
  <c r="I1821" i="1"/>
  <c r="G1821" i="1"/>
  <c r="I1820" i="1"/>
  <c r="I1819" i="1"/>
  <c r="I1818" i="1"/>
  <c r="G1818" i="1"/>
  <c r="I1817" i="1"/>
  <c r="G1817" i="1"/>
  <c r="G1816" i="1"/>
  <c r="I1816" i="1" s="1"/>
  <c r="I1815" i="1"/>
  <c r="G1815" i="1"/>
  <c r="I1814" i="1"/>
  <c r="G1814" i="1"/>
  <c r="G1813" i="1"/>
  <c r="I1813" i="1" s="1"/>
  <c r="G1811" i="1"/>
  <c r="I1811" i="1" s="1"/>
  <c r="G1810" i="1"/>
  <c r="I1810" i="1" s="1"/>
  <c r="I1809" i="1"/>
  <c r="G1809" i="1"/>
  <c r="G1808" i="1"/>
  <c r="I1808" i="1" s="1"/>
  <c r="G1807" i="1"/>
  <c r="I1807" i="1" s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G1777" i="1"/>
  <c r="I1777" i="1" s="1"/>
  <c r="G1776" i="1"/>
  <c r="I1776" i="1" s="1"/>
  <c r="I1775" i="1"/>
  <c r="G1775" i="1"/>
  <c r="G1774" i="1"/>
  <c r="I1774" i="1" s="1"/>
  <c r="I1773" i="1"/>
  <c r="G1773" i="1"/>
  <c r="I1772" i="1"/>
  <c r="G1772" i="1"/>
  <c r="I1771" i="1"/>
  <c r="G1771" i="1"/>
  <c r="G1770" i="1"/>
  <c r="I1770" i="1" s="1"/>
  <c r="I1769" i="1"/>
  <c r="I1768" i="1"/>
  <c r="I1767" i="1"/>
  <c r="I1766" i="1"/>
  <c r="I1765" i="1"/>
  <c r="I1764" i="1"/>
  <c r="G1763" i="1"/>
  <c r="I1763" i="1" s="1"/>
  <c r="I1762" i="1"/>
  <c r="G1762" i="1"/>
  <c r="I1761" i="1"/>
  <c r="G1761" i="1"/>
  <c r="G1760" i="1"/>
  <c r="I1760" i="1" s="1"/>
  <c r="I1759" i="1"/>
  <c r="I1758" i="1"/>
  <c r="I1757" i="1"/>
  <c r="G1757" i="1"/>
  <c r="I1756" i="1"/>
  <c r="G1756" i="1"/>
  <c r="I1754" i="1"/>
  <c r="I1753" i="1"/>
  <c r="I1752" i="1"/>
  <c r="I1751" i="1"/>
  <c r="I1750" i="1"/>
  <c r="I1749" i="1"/>
  <c r="I1748" i="1"/>
  <c r="I1778" i="1" s="1"/>
  <c r="I1747" i="1"/>
  <c r="I1744" i="1"/>
  <c r="I1743" i="1"/>
  <c r="G1743" i="1"/>
  <c r="I1742" i="1"/>
  <c r="G1741" i="1"/>
  <c r="I1741" i="1" s="1"/>
  <c r="H1740" i="1"/>
  <c r="G1740" i="1"/>
  <c r="I1740" i="1" s="1"/>
  <c r="G1739" i="1"/>
  <c r="I1739" i="1" s="1"/>
  <c r="I1738" i="1"/>
  <c r="G1738" i="1"/>
  <c r="G1737" i="1"/>
  <c r="I1737" i="1" s="1"/>
  <c r="G1736" i="1"/>
  <c r="I1736" i="1" s="1"/>
  <c r="I1735" i="1"/>
  <c r="I1734" i="1"/>
  <c r="G1733" i="1"/>
  <c r="I1733" i="1" s="1"/>
  <c r="I1732" i="1"/>
  <c r="G1732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5" i="1"/>
  <c r="I1714" i="1"/>
  <c r="I1713" i="1"/>
  <c r="G1713" i="1"/>
  <c r="I1712" i="1"/>
  <c r="H1712" i="1"/>
  <c r="G1712" i="1"/>
  <c r="I1711" i="1"/>
  <c r="G1711" i="1"/>
  <c r="I1710" i="1"/>
  <c r="G1710" i="1"/>
  <c r="G1709" i="1"/>
  <c r="I1709" i="1" s="1"/>
  <c r="I1708" i="1"/>
  <c r="G1708" i="1"/>
  <c r="I1707" i="1"/>
  <c r="G1707" i="1"/>
  <c r="G1706" i="1"/>
  <c r="I1706" i="1" s="1"/>
  <c r="I1703" i="1"/>
  <c r="G1703" i="1"/>
  <c r="G1702" i="1"/>
  <c r="I1702" i="1" s="1"/>
  <c r="G1701" i="1"/>
  <c r="I1701" i="1" s="1"/>
  <c r="I1700" i="1"/>
  <c r="I1699" i="1"/>
  <c r="I1698" i="1"/>
  <c r="I1697" i="1"/>
  <c r="G1696" i="1"/>
  <c r="I1696" i="1" s="1"/>
  <c r="I1695" i="1"/>
  <c r="H1695" i="1"/>
  <c r="G1695" i="1"/>
  <c r="I1694" i="1"/>
  <c r="I1693" i="1"/>
  <c r="I1692" i="1"/>
  <c r="G1691" i="1"/>
  <c r="I1691" i="1" s="1"/>
  <c r="I1690" i="1"/>
  <c r="G1689" i="1"/>
  <c r="I1689" i="1" s="1"/>
  <c r="G1688" i="1"/>
  <c r="I1688" i="1" s="1"/>
  <c r="I1687" i="1"/>
  <c r="G1687" i="1"/>
  <c r="I1686" i="1"/>
  <c r="G1686" i="1"/>
  <c r="G1685" i="1"/>
  <c r="I1685" i="1" s="1"/>
  <c r="G1682" i="1"/>
  <c r="I1682" i="1" s="1"/>
  <c r="I1679" i="1"/>
  <c r="G1679" i="1"/>
  <c r="I1676" i="1"/>
  <c r="I1675" i="1"/>
  <c r="I1674" i="1"/>
  <c r="I1673" i="1"/>
  <c r="G1672" i="1"/>
  <c r="I1672" i="1" s="1"/>
  <c r="I1671" i="1"/>
  <c r="I1670" i="1"/>
  <c r="I1669" i="1"/>
  <c r="G1668" i="1"/>
  <c r="I1668" i="1" s="1"/>
  <c r="G1667" i="1"/>
  <c r="I1667" i="1" s="1"/>
  <c r="I1666" i="1"/>
  <c r="G1666" i="1"/>
  <c r="I1665" i="1"/>
  <c r="G1665" i="1"/>
  <c r="G1664" i="1"/>
  <c r="I1664" i="1" s="1"/>
  <c r="I1663" i="1"/>
  <c r="I1662" i="1"/>
  <c r="I1661" i="1"/>
  <c r="I1660" i="1"/>
  <c r="G1660" i="1"/>
  <c r="I1659" i="1"/>
  <c r="I1658" i="1"/>
  <c r="I1657" i="1"/>
  <c r="I1656" i="1"/>
  <c r="I1655" i="1"/>
  <c r="I1654" i="1"/>
  <c r="H1653" i="1"/>
  <c r="I1653" i="1" s="1"/>
  <c r="G1653" i="1"/>
  <c r="I1652" i="1"/>
  <c r="I1651" i="1"/>
  <c r="I1650" i="1"/>
  <c r="G1649" i="1"/>
  <c r="I1649" i="1" s="1"/>
  <c r="I1648" i="1"/>
  <c r="G1648" i="1"/>
  <c r="G1647" i="1"/>
  <c r="I1647" i="1" s="1"/>
  <c r="G1646" i="1"/>
  <c r="I1646" i="1" s="1"/>
  <c r="I1644" i="1"/>
  <c r="G1644" i="1"/>
  <c r="I1643" i="1"/>
  <c r="G1643" i="1"/>
  <c r="I1641" i="1"/>
  <c r="I1640" i="1"/>
  <c r="I1639" i="1"/>
  <c r="I1638" i="1"/>
  <c r="I1637" i="1"/>
  <c r="H1637" i="1"/>
  <c r="I1636" i="1"/>
  <c r="I1635" i="1"/>
  <c r="I1632" i="1"/>
  <c r="I1631" i="1"/>
  <c r="G1631" i="1"/>
  <c r="I1630" i="1"/>
  <c r="I1629" i="1"/>
  <c r="I1628" i="1"/>
  <c r="G1628" i="1"/>
  <c r="I1627" i="1"/>
  <c r="I1626" i="1"/>
  <c r="G1625" i="1"/>
  <c r="I1625" i="1" s="1"/>
  <c r="I1624" i="1"/>
  <c r="I1623" i="1"/>
  <c r="I1622" i="1"/>
  <c r="I1621" i="1"/>
  <c r="I1620" i="1"/>
  <c r="I1619" i="1"/>
  <c r="I1618" i="1"/>
  <c r="I1617" i="1"/>
  <c r="H1617" i="1"/>
  <c r="G1617" i="1"/>
  <c r="I1616" i="1"/>
  <c r="G1616" i="1"/>
  <c r="G1615" i="1"/>
  <c r="I1615" i="1" s="1"/>
  <c r="G1614" i="1"/>
  <c r="I1614" i="1" s="1"/>
  <c r="H1613" i="1"/>
  <c r="G1613" i="1"/>
  <c r="I1613" i="1" s="1"/>
  <c r="I1612" i="1"/>
  <c r="G1612" i="1"/>
  <c r="I1611" i="1"/>
  <c r="G1611" i="1"/>
  <c r="H1610" i="1"/>
  <c r="I1610" i="1" s="1"/>
  <c r="G1610" i="1"/>
  <c r="I1609" i="1"/>
  <c r="G1608" i="1"/>
  <c r="I1608" i="1" s="1"/>
  <c r="I1607" i="1"/>
  <c r="G1607" i="1"/>
  <c r="G1606" i="1"/>
  <c r="I1606" i="1" s="1"/>
  <c r="I1605" i="1"/>
  <c r="I1604" i="1"/>
  <c r="G1604" i="1"/>
  <c r="I1603" i="1"/>
  <c r="G1603" i="1"/>
  <c r="H1602" i="1"/>
  <c r="G1602" i="1"/>
  <c r="I1602" i="1" s="1"/>
  <c r="G1601" i="1"/>
  <c r="I1601" i="1" s="1"/>
  <c r="I1600" i="1"/>
  <c r="I1599" i="1"/>
  <c r="G1599" i="1"/>
  <c r="G1598" i="1"/>
  <c r="I1598" i="1" s="1"/>
  <c r="G1596" i="1"/>
  <c r="I1596" i="1" s="1"/>
  <c r="I1595" i="1"/>
  <c r="G1595" i="1"/>
  <c r="I1594" i="1"/>
  <c r="G1594" i="1"/>
  <c r="G1593" i="1"/>
  <c r="I1593" i="1" s="1"/>
  <c r="I1592" i="1"/>
  <c r="G1592" i="1"/>
  <c r="I1591" i="1"/>
  <c r="G1591" i="1"/>
  <c r="I1589" i="1"/>
  <c r="I1588" i="1"/>
  <c r="I1587" i="1"/>
  <c r="I1586" i="1"/>
  <c r="I1585" i="1"/>
  <c r="I1584" i="1"/>
  <c r="I1583" i="1"/>
  <c r="I1582" i="1"/>
  <c r="I1579" i="1"/>
  <c r="I1578" i="1"/>
  <c r="I1577" i="1"/>
  <c r="G1576" i="1"/>
  <c r="I1576" i="1" s="1"/>
  <c r="G1575" i="1"/>
  <c r="I1575" i="1" s="1"/>
  <c r="G1574" i="1"/>
  <c r="I1574" i="1" s="1"/>
  <c r="I1573" i="1"/>
  <c r="H1573" i="1"/>
  <c r="G1573" i="1"/>
  <c r="I1572" i="1"/>
  <c r="G1571" i="1"/>
  <c r="I1571" i="1" s="1"/>
  <c r="I1570" i="1"/>
  <c r="G1570" i="1"/>
  <c r="I1569" i="1"/>
  <c r="G1569" i="1"/>
  <c r="I1568" i="1"/>
  <c r="G1568" i="1"/>
  <c r="G1567" i="1"/>
  <c r="I1567" i="1" s="1"/>
  <c r="I1566" i="1"/>
  <c r="I1565" i="1"/>
  <c r="I1564" i="1"/>
  <c r="I1563" i="1"/>
  <c r="H1563" i="1"/>
  <c r="G1563" i="1"/>
  <c r="I1562" i="1"/>
  <c r="G1562" i="1"/>
  <c r="G1561" i="1"/>
  <c r="I1561" i="1" s="1"/>
  <c r="I1560" i="1"/>
  <c r="G1560" i="1"/>
  <c r="I1559" i="1"/>
  <c r="G1559" i="1"/>
  <c r="I1558" i="1"/>
  <c r="G1558" i="1"/>
  <c r="G1557" i="1"/>
  <c r="I1557" i="1" s="1"/>
  <c r="I1555" i="1"/>
  <c r="G1553" i="1"/>
  <c r="I1553" i="1" s="1"/>
  <c r="G1552" i="1"/>
  <c r="I1552" i="1" s="1"/>
  <c r="I1551" i="1"/>
  <c r="G1551" i="1"/>
  <c r="I1550" i="1"/>
  <c r="G1550" i="1"/>
  <c r="G1549" i="1"/>
  <c r="I1549" i="1" s="1"/>
  <c r="I1547" i="1"/>
  <c r="G1547" i="1"/>
  <c r="G1546" i="1"/>
  <c r="I1546" i="1" s="1"/>
  <c r="I1545" i="1"/>
  <c r="G1545" i="1"/>
  <c r="I1543" i="1"/>
  <c r="I1542" i="1"/>
  <c r="I1541" i="1"/>
  <c r="G1541" i="1"/>
  <c r="I1540" i="1"/>
  <c r="G1540" i="1"/>
  <c r="G1539" i="1"/>
  <c r="I1539" i="1" s="1"/>
  <c r="I1538" i="1"/>
  <c r="G1538" i="1"/>
  <c r="I1537" i="1"/>
  <c r="G1537" i="1"/>
  <c r="G1536" i="1"/>
  <c r="I1536" i="1" s="1"/>
  <c r="I1535" i="1"/>
  <c r="I1534" i="1"/>
  <c r="I1533" i="1"/>
  <c r="I1532" i="1"/>
  <c r="G1532" i="1"/>
  <c r="G1531" i="1"/>
  <c r="I1531" i="1" s="1"/>
  <c r="G1530" i="1"/>
  <c r="I1530" i="1" s="1"/>
  <c r="I1529" i="1"/>
  <c r="G1529" i="1"/>
  <c r="I1528" i="1"/>
  <c r="G1528" i="1"/>
  <c r="I1527" i="1"/>
  <c r="G1527" i="1"/>
  <c r="I1526" i="1"/>
  <c r="I1525" i="1"/>
  <c r="G1524" i="1"/>
  <c r="I1524" i="1" s="1"/>
  <c r="I1523" i="1"/>
  <c r="G1523" i="1"/>
  <c r="I1522" i="1"/>
  <c r="G1522" i="1"/>
  <c r="I1520" i="1"/>
  <c r="I1519" i="1"/>
  <c r="G1518" i="1"/>
  <c r="I1518" i="1" s="1"/>
  <c r="G1517" i="1"/>
  <c r="I1517" i="1" s="1"/>
  <c r="I1516" i="1"/>
  <c r="G1516" i="1"/>
  <c r="I1515" i="1"/>
  <c r="G1514" i="1"/>
  <c r="I1514" i="1" s="1"/>
  <c r="I1513" i="1"/>
  <c r="G1513" i="1"/>
  <c r="I1512" i="1"/>
  <c r="G1512" i="1"/>
  <c r="G1511" i="1"/>
  <c r="I1511" i="1" s="1"/>
  <c r="G1510" i="1"/>
  <c r="I1510" i="1" s="1"/>
  <c r="G1509" i="1"/>
  <c r="I1509" i="1" s="1"/>
  <c r="I1505" i="1"/>
  <c r="G1504" i="1"/>
  <c r="I1504" i="1" s="1"/>
  <c r="I1502" i="1"/>
  <c r="I1501" i="1"/>
  <c r="I1500" i="1"/>
  <c r="I1499" i="1"/>
  <c r="I1498" i="1"/>
  <c r="I1497" i="1"/>
  <c r="I1496" i="1"/>
  <c r="I1493" i="1"/>
  <c r="G1493" i="1"/>
  <c r="I1492" i="1"/>
  <c r="G1492" i="1"/>
  <c r="I1491" i="1"/>
  <c r="G1491" i="1"/>
  <c r="G1490" i="1"/>
  <c r="I1490" i="1" s="1"/>
  <c r="I1489" i="1"/>
  <c r="G1489" i="1"/>
  <c r="I1488" i="1"/>
  <c r="G1487" i="1"/>
  <c r="I1487" i="1" s="1"/>
  <c r="I1486" i="1"/>
  <c r="G1486" i="1"/>
  <c r="I1485" i="1"/>
  <c r="I1484" i="1"/>
  <c r="I1483" i="1"/>
  <c r="G1483" i="1"/>
  <c r="G1482" i="1"/>
  <c r="I1482" i="1" s="1"/>
  <c r="I1481" i="1"/>
  <c r="I1480" i="1"/>
  <c r="I1479" i="1"/>
  <c r="I1478" i="1"/>
  <c r="G1477" i="1"/>
  <c r="I1477" i="1" s="1"/>
  <c r="I1476" i="1"/>
  <c r="I1475" i="1"/>
  <c r="I1474" i="1"/>
  <c r="I1473" i="1"/>
  <c r="G1473" i="1"/>
  <c r="I1472" i="1"/>
  <c r="I1471" i="1"/>
  <c r="I1470" i="1"/>
  <c r="I1469" i="1"/>
  <c r="G1468" i="1"/>
  <c r="I1468" i="1" s="1"/>
  <c r="I1467" i="1"/>
  <c r="G1467" i="1"/>
  <c r="I1466" i="1"/>
  <c r="G1466" i="1"/>
  <c r="G1465" i="1"/>
  <c r="I1465" i="1" s="1"/>
  <c r="G1464" i="1"/>
  <c r="I1464" i="1" s="1"/>
  <c r="I1463" i="1"/>
  <c r="G1463" i="1"/>
  <c r="I1462" i="1"/>
  <c r="G1462" i="1"/>
  <c r="I1461" i="1"/>
  <c r="I1494" i="1" s="1"/>
  <c r="G1461" i="1"/>
  <c r="G1459" i="1"/>
  <c r="I1459" i="1" s="1"/>
  <c r="I1456" i="1"/>
  <c r="I1455" i="1"/>
  <c r="G1455" i="1"/>
  <c r="I1454" i="1"/>
  <c r="G1453" i="1"/>
  <c r="I1453" i="1" s="1"/>
  <c r="I1452" i="1"/>
  <c r="G1452" i="1"/>
  <c r="I1451" i="1"/>
  <c r="I1450" i="1"/>
  <c r="I1449" i="1"/>
  <c r="G1448" i="1"/>
  <c r="I1448" i="1" s="1"/>
  <c r="G1447" i="1"/>
  <c r="I1447" i="1" s="1"/>
  <c r="I1446" i="1"/>
  <c r="G1445" i="1"/>
  <c r="I1445" i="1" s="1"/>
  <c r="I1444" i="1"/>
  <c r="I1443" i="1"/>
  <c r="I1442" i="1"/>
  <c r="I1441" i="1"/>
  <c r="I1440" i="1"/>
  <c r="I1439" i="1"/>
  <c r="I1438" i="1"/>
  <c r="I1437" i="1"/>
  <c r="G1437" i="1"/>
  <c r="I1436" i="1"/>
  <c r="H1436" i="1"/>
  <c r="G1436" i="1"/>
  <c r="I1435" i="1"/>
  <c r="I1434" i="1"/>
  <c r="I1433" i="1"/>
  <c r="G1432" i="1"/>
  <c r="I1432" i="1" s="1"/>
  <c r="I1431" i="1"/>
  <c r="G1431" i="1"/>
  <c r="I1430" i="1"/>
  <c r="G1430" i="1"/>
  <c r="I1429" i="1"/>
  <c r="G1429" i="1"/>
  <c r="I1428" i="1"/>
  <c r="G1428" i="1"/>
  <c r="I1427" i="1"/>
  <c r="G1427" i="1"/>
  <c r="G1426" i="1"/>
  <c r="I1426" i="1" s="1"/>
  <c r="G1425" i="1"/>
  <c r="I1425" i="1" s="1"/>
  <c r="I1424" i="1"/>
  <c r="G1424" i="1"/>
  <c r="G1423" i="1"/>
  <c r="I1423" i="1" s="1"/>
  <c r="I1422" i="1"/>
  <c r="G1422" i="1"/>
  <c r="I1421" i="1"/>
  <c r="G1421" i="1"/>
  <c r="I1420" i="1"/>
  <c r="G1420" i="1"/>
  <c r="G1419" i="1"/>
  <c r="I1419" i="1" s="1"/>
  <c r="H1418" i="1"/>
  <c r="G1418" i="1"/>
  <c r="I1418" i="1" s="1"/>
  <c r="I1417" i="1"/>
  <c r="G1417" i="1"/>
  <c r="I1416" i="1"/>
  <c r="G1416" i="1"/>
  <c r="G1415" i="1"/>
  <c r="I1415" i="1" s="1"/>
  <c r="I1414" i="1"/>
  <c r="G1414" i="1"/>
  <c r="G1413" i="1"/>
  <c r="I1413" i="1" s="1"/>
  <c r="G1412" i="1"/>
  <c r="I1412" i="1" s="1"/>
  <c r="I1411" i="1"/>
  <c r="G1411" i="1"/>
  <c r="I1410" i="1"/>
  <c r="G1410" i="1"/>
  <c r="G1409" i="1"/>
  <c r="I1409" i="1" s="1"/>
  <c r="I1408" i="1"/>
  <c r="G1408" i="1"/>
  <c r="I1407" i="1"/>
  <c r="G1407" i="1"/>
  <c r="I1406" i="1"/>
  <c r="G1406" i="1"/>
  <c r="H1405" i="1"/>
  <c r="I1405" i="1" s="1"/>
  <c r="I1404" i="1"/>
  <c r="I1403" i="1"/>
  <c r="I1402" i="1"/>
  <c r="I1401" i="1"/>
  <c r="I1400" i="1"/>
  <c r="I1399" i="1"/>
  <c r="I1398" i="1"/>
  <c r="G1398" i="1"/>
  <c r="I1397" i="1"/>
  <c r="I1396" i="1"/>
  <c r="I1395" i="1"/>
  <c r="I1394" i="1"/>
  <c r="I1393" i="1"/>
  <c r="I1392" i="1"/>
  <c r="G1392" i="1"/>
  <c r="I1391" i="1"/>
  <c r="I1390" i="1"/>
  <c r="I1389" i="1"/>
  <c r="I1388" i="1"/>
  <c r="I1387" i="1"/>
  <c r="I1386" i="1"/>
  <c r="I1385" i="1"/>
  <c r="I1384" i="1"/>
  <c r="I1383" i="1"/>
  <c r="G1383" i="1"/>
  <c r="I1380" i="1"/>
  <c r="I1379" i="1"/>
  <c r="G1379" i="1"/>
  <c r="G1378" i="1"/>
  <c r="I1378" i="1" s="1"/>
  <c r="G1377" i="1"/>
  <c r="I1377" i="1" s="1"/>
  <c r="I1376" i="1"/>
  <c r="I1375" i="1"/>
  <c r="I1374" i="1"/>
  <c r="G1374" i="1"/>
  <c r="G1373" i="1"/>
  <c r="I1373" i="1" s="1"/>
  <c r="I1372" i="1"/>
  <c r="H1372" i="1"/>
  <c r="G1372" i="1"/>
  <c r="I1371" i="1"/>
  <c r="G1371" i="1"/>
  <c r="G1370" i="1"/>
  <c r="I1370" i="1" s="1"/>
  <c r="G1369" i="1"/>
  <c r="I1369" i="1" s="1"/>
  <c r="I1368" i="1"/>
  <c r="G1368" i="1"/>
  <c r="G1367" i="1"/>
  <c r="I1367" i="1" s="1"/>
  <c r="G1366" i="1"/>
  <c r="I1366" i="1" s="1"/>
  <c r="I1365" i="1"/>
  <c r="G1365" i="1"/>
  <c r="G1364" i="1"/>
  <c r="I1364" i="1" s="1"/>
  <c r="G1363" i="1"/>
  <c r="I1363" i="1" s="1"/>
  <c r="G1362" i="1"/>
  <c r="I1362" i="1" s="1"/>
  <c r="G1361" i="1"/>
  <c r="I1361" i="1" s="1"/>
  <c r="G1360" i="1"/>
  <c r="I1360" i="1" s="1"/>
  <c r="G1357" i="1"/>
  <c r="I1357" i="1" s="1"/>
  <c r="G1356" i="1"/>
  <c r="I1356" i="1" s="1"/>
  <c r="I1355" i="1"/>
  <c r="I1354" i="1"/>
  <c r="I1353" i="1"/>
  <c r="G1353" i="1"/>
  <c r="I1352" i="1"/>
  <c r="I1351" i="1"/>
  <c r="I1350" i="1"/>
  <c r="I1349" i="1"/>
  <c r="G1349" i="1"/>
  <c r="I1348" i="1"/>
  <c r="G1348" i="1"/>
  <c r="G1347" i="1"/>
  <c r="I1347" i="1" s="1"/>
  <c r="G1346" i="1"/>
  <c r="I1346" i="1" s="1"/>
  <c r="I1345" i="1"/>
  <c r="G1345" i="1"/>
  <c r="I1344" i="1"/>
  <c r="G1344" i="1"/>
  <c r="I1343" i="1"/>
  <c r="I1342" i="1"/>
  <c r="G1342" i="1"/>
  <c r="I1341" i="1"/>
  <c r="G1341" i="1"/>
  <c r="I1340" i="1"/>
  <c r="G1340" i="1"/>
  <c r="G1339" i="1"/>
  <c r="I1339" i="1" s="1"/>
  <c r="I1338" i="1"/>
  <c r="G1338" i="1"/>
  <c r="I1337" i="1"/>
  <c r="G1337" i="1"/>
  <c r="G1336" i="1"/>
  <c r="I1336" i="1" s="1"/>
  <c r="G1335" i="1"/>
  <c r="I1335" i="1" s="1"/>
  <c r="I1334" i="1"/>
  <c r="G1334" i="1"/>
  <c r="I1333" i="1"/>
  <c r="G1333" i="1"/>
  <c r="I1332" i="1"/>
  <c r="G1332" i="1"/>
  <c r="G1331" i="1"/>
  <c r="I1331" i="1" s="1"/>
  <c r="G1330" i="1"/>
  <c r="I1330" i="1" s="1"/>
  <c r="I1329" i="1"/>
  <c r="G1329" i="1"/>
  <c r="G1328" i="1"/>
  <c r="I1328" i="1" s="1"/>
  <c r="G1327" i="1"/>
  <c r="I1327" i="1" s="1"/>
  <c r="I1326" i="1"/>
  <c r="G1326" i="1"/>
  <c r="I1325" i="1"/>
  <c r="G1325" i="1"/>
  <c r="I1324" i="1"/>
  <c r="G1324" i="1"/>
  <c r="G1323" i="1"/>
  <c r="I1323" i="1" s="1"/>
  <c r="G1322" i="1"/>
  <c r="I1322" i="1" s="1"/>
  <c r="I1321" i="1"/>
  <c r="G1320" i="1"/>
  <c r="I1320" i="1" s="1"/>
  <c r="G1319" i="1"/>
  <c r="I1319" i="1" s="1"/>
  <c r="I1318" i="1"/>
  <c r="G1318" i="1"/>
  <c r="G1315" i="1"/>
  <c r="I1315" i="1" s="1"/>
  <c r="I1314" i="1"/>
  <c r="G1314" i="1"/>
  <c r="G1313" i="1"/>
  <c r="I1313" i="1" s="1"/>
  <c r="G1312" i="1"/>
  <c r="I1312" i="1" s="1"/>
  <c r="I1311" i="1"/>
  <c r="G1311" i="1"/>
  <c r="I1310" i="1"/>
  <c r="G1310" i="1"/>
  <c r="I1309" i="1"/>
  <c r="G1309" i="1"/>
  <c r="G1308" i="1"/>
  <c r="I1308" i="1" s="1"/>
  <c r="I1307" i="1"/>
  <c r="I1306" i="1"/>
  <c r="G1306" i="1"/>
  <c r="G1305" i="1"/>
  <c r="I1305" i="1" s="1"/>
  <c r="G1304" i="1"/>
  <c r="I1304" i="1" s="1"/>
  <c r="I1303" i="1"/>
  <c r="G1303" i="1"/>
  <c r="G1302" i="1"/>
  <c r="I1302" i="1" s="1"/>
  <c r="G1301" i="1"/>
  <c r="I1301" i="1" s="1"/>
  <c r="I1300" i="1"/>
  <c r="G1300" i="1"/>
  <c r="I1299" i="1"/>
  <c r="G1299" i="1"/>
  <c r="I1298" i="1"/>
  <c r="H1298" i="1"/>
  <c r="G1298" i="1"/>
  <c r="G1297" i="1"/>
  <c r="I1297" i="1" s="1"/>
  <c r="G1296" i="1"/>
  <c r="I1296" i="1" s="1"/>
  <c r="I1295" i="1"/>
  <c r="G1295" i="1"/>
  <c r="I1294" i="1"/>
  <c r="G1294" i="1"/>
  <c r="I1293" i="1"/>
  <c r="H1293" i="1"/>
  <c r="G1293" i="1"/>
  <c r="I1292" i="1"/>
  <c r="G1292" i="1"/>
  <c r="I1291" i="1"/>
  <c r="I1290" i="1"/>
  <c r="G1290" i="1"/>
  <c r="G1289" i="1"/>
  <c r="I1289" i="1" s="1"/>
  <c r="G1288" i="1"/>
  <c r="I1288" i="1" s="1"/>
  <c r="I1287" i="1"/>
  <c r="G1286" i="1"/>
  <c r="I1286" i="1" s="1"/>
  <c r="G1285" i="1"/>
  <c r="I1285" i="1" s="1"/>
  <c r="G1284" i="1"/>
  <c r="I1284" i="1" s="1"/>
  <c r="I1283" i="1"/>
  <c r="G1282" i="1"/>
  <c r="I1282" i="1" s="1"/>
  <c r="G1281" i="1"/>
  <c r="I1281" i="1" s="1"/>
  <c r="I1280" i="1"/>
  <c r="G1280" i="1"/>
  <c r="I1279" i="1"/>
  <c r="I1278" i="1"/>
  <c r="G1278" i="1"/>
  <c r="I1277" i="1"/>
  <c r="G1277" i="1"/>
  <c r="I1276" i="1"/>
  <c r="G1276" i="1"/>
  <c r="I1275" i="1"/>
  <c r="I1274" i="1"/>
  <c r="G1274" i="1"/>
  <c r="I1273" i="1"/>
  <c r="G1273" i="1"/>
  <c r="G1272" i="1"/>
  <c r="I1272" i="1" s="1"/>
  <c r="G1271" i="1"/>
  <c r="I1271" i="1" s="1"/>
  <c r="I1270" i="1"/>
  <c r="G1270" i="1"/>
  <c r="G1269" i="1"/>
  <c r="I1269" i="1" s="1"/>
  <c r="G1268" i="1"/>
  <c r="I1268" i="1" s="1"/>
  <c r="G1267" i="1"/>
  <c r="I1267" i="1" s="1"/>
  <c r="I1266" i="1"/>
  <c r="G1266" i="1"/>
  <c r="I1265" i="1"/>
  <c r="G1265" i="1"/>
  <c r="G1264" i="1"/>
  <c r="I1264" i="1" s="1"/>
  <c r="I1263" i="1"/>
  <c r="I1262" i="1"/>
  <c r="I1261" i="1"/>
  <c r="I1260" i="1"/>
  <c r="G1260" i="1"/>
  <c r="H1259" i="1"/>
  <c r="G1259" i="1"/>
  <c r="I1259" i="1" s="1"/>
  <c r="G1258" i="1"/>
  <c r="I1258" i="1" s="1"/>
  <c r="G1257" i="1"/>
  <c r="I1257" i="1" s="1"/>
  <c r="I1256" i="1"/>
  <c r="I1255" i="1"/>
  <c r="I1254" i="1"/>
  <c r="I1253" i="1"/>
  <c r="I1252" i="1"/>
  <c r="G1252" i="1"/>
  <c r="I1251" i="1"/>
  <c r="G1251" i="1"/>
  <c r="G1250" i="1"/>
  <c r="I1250" i="1" s="1"/>
  <c r="G1249" i="1"/>
  <c r="I1249" i="1" s="1"/>
  <c r="I1248" i="1"/>
  <c r="H1248" i="1"/>
  <c r="G1248" i="1"/>
  <c r="I1247" i="1"/>
  <c r="G1247" i="1"/>
  <c r="I1246" i="1"/>
  <c r="G1246" i="1"/>
  <c r="G1245" i="1"/>
  <c r="I1245" i="1" s="1"/>
  <c r="I1244" i="1"/>
  <c r="I1243" i="1"/>
  <c r="I1242" i="1"/>
  <c r="I1241" i="1"/>
  <c r="H1240" i="1"/>
  <c r="G1240" i="1"/>
  <c r="I1240" i="1" s="1"/>
  <c r="I1239" i="1"/>
  <c r="G1239" i="1"/>
  <c r="I1238" i="1"/>
  <c r="G1238" i="1"/>
  <c r="G1237" i="1"/>
  <c r="I1237" i="1" s="1"/>
  <c r="G1236" i="1"/>
  <c r="I1236" i="1" s="1"/>
  <c r="G1235" i="1"/>
  <c r="I1235" i="1" s="1"/>
  <c r="I1234" i="1"/>
  <c r="G1234" i="1"/>
  <c r="G1233" i="1"/>
  <c r="I1233" i="1" s="1"/>
  <c r="H1232" i="1"/>
  <c r="G1232" i="1"/>
  <c r="G1231" i="1"/>
  <c r="I1231" i="1" s="1"/>
  <c r="G1230" i="1"/>
  <c r="I1230" i="1" s="1"/>
  <c r="I1229" i="1"/>
  <c r="G1229" i="1"/>
  <c r="I1228" i="1"/>
  <c r="G1228" i="1"/>
  <c r="G1227" i="1"/>
  <c r="I1227" i="1" s="1"/>
  <c r="I1226" i="1"/>
  <c r="G1226" i="1"/>
  <c r="I1225" i="1"/>
  <c r="G1225" i="1"/>
  <c r="G1224" i="1"/>
  <c r="I1224" i="1" s="1"/>
  <c r="G1223" i="1"/>
  <c r="I1223" i="1" s="1"/>
  <c r="I1220" i="1"/>
  <c r="I1219" i="1"/>
  <c r="I1218" i="1"/>
  <c r="I1217" i="1"/>
  <c r="I1216" i="1"/>
  <c r="I1215" i="1"/>
  <c r="I1214" i="1"/>
  <c r="G1213" i="1"/>
  <c r="I1213" i="1" s="1"/>
  <c r="G1212" i="1"/>
  <c r="I1212" i="1" s="1"/>
  <c r="I1211" i="1"/>
  <c r="G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H1194" i="1"/>
  <c r="I1193" i="1"/>
  <c r="I1192" i="1"/>
  <c r="G1191" i="1"/>
  <c r="I1191" i="1" s="1"/>
  <c r="G1190" i="1"/>
  <c r="I1190" i="1" s="1"/>
  <c r="I1189" i="1"/>
  <c r="H1189" i="1"/>
  <c r="G1189" i="1"/>
  <c r="I1188" i="1"/>
  <c r="G1188" i="1"/>
  <c r="I1187" i="1"/>
  <c r="G1187" i="1"/>
  <c r="H1186" i="1"/>
  <c r="G1186" i="1"/>
  <c r="I1185" i="1"/>
  <c r="I1184" i="1"/>
  <c r="G1183" i="1"/>
  <c r="I1183" i="1" s="1"/>
  <c r="G1182" i="1"/>
  <c r="I1182" i="1" s="1"/>
  <c r="I1179" i="1"/>
  <c r="G1179" i="1"/>
  <c r="G1178" i="1"/>
  <c r="I1178" i="1" s="1"/>
  <c r="G1177" i="1"/>
  <c r="I1177" i="1" s="1"/>
  <c r="I1174" i="1"/>
  <c r="I1173" i="1"/>
  <c r="I1172" i="1"/>
  <c r="I1171" i="1"/>
  <c r="I1170" i="1"/>
  <c r="I1169" i="1"/>
  <c r="I1168" i="1"/>
  <c r="I1167" i="1"/>
  <c r="I1175" i="1" s="1"/>
  <c r="I1164" i="1"/>
  <c r="I1163" i="1"/>
  <c r="I1162" i="1"/>
  <c r="I1161" i="1"/>
  <c r="I1160" i="1"/>
  <c r="I1159" i="1"/>
  <c r="I1158" i="1"/>
  <c r="I1157" i="1"/>
  <c r="I1165" i="1" s="1"/>
  <c r="I1156" i="1"/>
  <c r="I1155" i="1"/>
  <c r="G1153" i="1"/>
  <c r="I1152" i="1"/>
  <c r="I1151" i="1"/>
  <c r="I1150" i="1"/>
  <c r="I1149" i="1"/>
  <c r="I1148" i="1"/>
  <c r="I1147" i="1"/>
  <c r="I1146" i="1"/>
  <c r="G1146" i="1"/>
  <c r="G1145" i="1"/>
  <c r="I1145" i="1" s="1"/>
  <c r="I1144" i="1"/>
  <c r="I1143" i="1"/>
  <c r="G1143" i="1"/>
  <c r="G1142" i="1"/>
  <c r="I1142" i="1" s="1"/>
  <c r="I1141" i="1"/>
  <c r="I1140" i="1"/>
  <c r="G1140" i="1"/>
  <c r="I1139" i="1"/>
  <c r="G1139" i="1"/>
  <c r="G1138" i="1"/>
  <c r="I1138" i="1" s="1"/>
  <c r="I1137" i="1"/>
  <c r="G1137" i="1"/>
  <c r="I1136" i="1"/>
  <c r="G1136" i="1"/>
  <c r="I1135" i="1"/>
  <c r="G1135" i="1"/>
  <c r="I1132" i="1"/>
  <c r="G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G1103" i="1"/>
  <c r="I1102" i="1"/>
  <c r="I1101" i="1"/>
  <c r="G1100" i="1"/>
  <c r="I1100" i="1" s="1"/>
  <c r="G1099" i="1"/>
  <c r="I1099" i="1" s="1"/>
  <c r="I1098" i="1"/>
  <c r="I1097" i="1"/>
  <c r="I1096" i="1"/>
  <c r="H1096" i="1"/>
  <c r="G1096" i="1"/>
  <c r="I1095" i="1"/>
  <c r="G1095" i="1"/>
  <c r="I1094" i="1"/>
  <c r="I1093" i="1"/>
  <c r="H1092" i="1"/>
  <c r="I1092" i="1" s="1"/>
  <c r="G1092" i="1"/>
  <c r="I1091" i="1"/>
  <c r="I1090" i="1"/>
  <c r="I1089" i="1"/>
  <c r="I1088" i="1"/>
  <c r="I1087" i="1"/>
  <c r="I1086" i="1"/>
  <c r="I1085" i="1"/>
  <c r="H1084" i="1"/>
  <c r="G1084" i="1"/>
  <c r="I1084" i="1" s="1"/>
  <c r="I1083" i="1"/>
  <c r="G1083" i="1"/>
  <c r="I1082" i="1"/>
  <c r="G1082" i="1"/>
  <c r="I1081" i="1"/>
  <c r="G1081" i="1"/>
  <c r="I1080" i="1"/>
  <c r="I1079" i="1"/>
  <c r="I1078" i="1"/>
  <c r="I1077" i="1"/>
  <c r="I1076" i="1"/>
  <c r="I1075" i="1"/>
  <c r="G1074" i="1"/>
  <c r="I1074" i="1" s="1"/>
  <c r="I1073" i="1"/>
  <c r="G1073" i="1"/>
  <c r="I1072" i="1"/>
  <c r="H1072" i="1"/>
  <c r="G1072" i="1"/>
  <c r="I1069" i="1"/>
  <c r="I1068" i="1"/>
  <c r="I1067" i="1"/>
  <c r="I1066" i="1"/>
  <c r="I1065" i="1"/>
  <c r="I1064" i="1"/>
  <c r="I1063" i="1"/>
  <c r="I1062" i="1"/>
  <c r="I1061" i="1"/>
  <c r="I1060" i="1"/>
  <c r="H1059" i="1"/>
  <c r="I1059" i="1" s="1"/>
  <c r="I1058" i="1"/>
  <c r="I1057" i="1"/>
  <c r="H1056" i="1"/>
  <c r="G1056" i="1"/>
  <c r="I1056" i="1" s="1"/>
  <c r="I1055" i="1"/>
  <c r="I1054" i="1"/>
  <c r="I1053" i="1"/>
  <c r="G1053" i="1"/>
  <c r="I1052" i="1"/>
  <c r="I1051" i="1"/>
  <c r="I1050" i="1"/>
  <c r="H1049" i="1"/>
  <c r="G1049" i="1"/>
  <c r="H1047" i="1"/>
  <c r="G1047" i="1"/>
  <c r="I1047" i="1" s="1"/>
  <c r="H1046" i="1"/>
  <c r="G1045" i="1"/>
  <c r="I1044" i="1"/>
  <c r="I1043" i="1"/>
  <c r="I1042" i="1"/>
  <c r="H1041" i="1"/>
  <c r="I1041" i="1" s="1"/>
  <c r="G1041" i="1"/>
  <c r="I1040" i="1"/>
  <c r="G1040" i="1"/>
  <c r="G1039" i="1"/>
  <c r="I1039" i="1" s="1"/>
  <c r="G1038" i="1"/>
  <c r="I1038" i="1" s="1"/>
  <c r="I1037" i="1"/>
  <c r="G1037" i="1"/>
  <c r="I1036" i="1"/>
  <c r="G1036" i="1"/>
  <c r="I1035" i="1"/>
  <c r="I1034" i="1"/>
  <c r="I1033" i="1"/>
  <c r="I1032" i="1"/>
  <c r="I1031" i="1"/>
  <c r="I1030" i="1"/>
  <c r="I1029" i="1"/>
  <c r="I1028" i="1"/>
  <c r="H1028" i="1"/>
  <c r="G1028" i="1"/>
  <c r="I1026" i="1"/>
  <c r="I1025" i="1"/>
  <c r="I1024" i="1"/>
  <c r="G1024" i="1"/>
  <c r="I1023" i="1"/>
  <c r="G1023" i="1"/>
  <c r="G1022" i="1"/>
  <c r="I1022" i="1" s="1"/>
  <c r="G1021" i="1"/>
  <c r="I1021" i="1" s="1"/>
  <c r="I1020" i="1"/>
  <c r="I1019" i="1"/>
  <c r="I1018" i="1"/>
  <c r="I1017" i="1"/>
  <c r="I1016" i="1"/>
  <c r="G1015" i="1"/>
  <c r="I1015" i="1" s="1"/>
  <c r="I1014" i="1"/>
  <c r="G1014" i="1"/>
  <c r="I1013" i="1"/>
  <c r="G1013" i="1"/>
  <c r="G1012" i="1"/>
  <c r="I1012" i="1" s="1"/>
  <c r="G1011" i="1"/>
  <c r="I1011" i="1" s="1"/>
  <c r="I1010" i="1"/>
  <c r="I1009" i="1"/>
  <c r="I1008" i="1"/>
  <c r="G1008" i="1"/>
  <c r="I1007" i="1"/>
  <c r="G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H992" i="1"/>
  <c r="I991" i="1"/>
  <c r="I990" i="1"/>
  <c r="G989" i="1"/>
  <c r="I989" i="1" s="1"/>
  <c r="I988" i="1"/>
  <c r="G988" i="1"/>
  <c r="I986" i="1"/>
  <c r="G986" i="1"/>
  <c r="I985" i="1"/>
  <c r="G985" i="1"/>
  <c r="G984" i="1"/>
  <c r="I984" i="1" s="1"/>
  <c r="I983" i="1"/>
  <c r="G983" i="1"/>
  <c r="I982" i="1"/>
  <c r="G982" i="1"/>
  <c r="I981" i="1"/>
  <c r="G981" i="1"/>
  <c r="G980" i="1"/>
  <c r="I980" i="1" s="1"/>
  <c r="I979" i="1"/>
  <c r="G979" i="1"/>
  <c r="I976" i="1"/>
  <c r="G976" i="1"/>
  <c r="I975" i="1"/>
  <c r="G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G945" i="1"/>
  <c r="I945" i="1" s="1"/>
  <c r="I944" i="1"/>
  <c r="G944" i="1"/>
  <c r="I943" i="1"/>
  <c r="G943" i="1"/>
  <c r="G942" i="1"/>
  <c r="I942" i="1" s="1"/>
  <c r="I941" i="1"/>
  <c r="I940" i="1"/>
  <c r="G940" i="1"/>
  <c r="I938" i="1"/>
  <c r="I937" i="1"/>
  <c r="G937" i="1"/>
  <c r="I936" i="1"/>
  <c r="G936" i="1"/>
  <c r="G935" i="1"/>
  <c r="I935" i="1" s="1"/>
  <c r="G934" i="1"/>
  <c r="I934" i="1" s="1"/>
  <c r="G933" i="1"/>
  <c r="I933" i="1" s="1"/>
  <c r="I932" i="1"/>
  <c r="G932" i="1"/>
  <c r="I931" i="1"/>
  <c r="G931" i="1"/>
  <c r="G930" i="1"/>
  <c r="I930" i="1" s="1"/>
  <c r="G929" i="1"/>
  <c r="I929" i="1" s="1"/>
  <c r="I927" i="1"/>
  <c r="G927" i="1"/>
  <c r="I926" i="1"/>
  <c r="G926" i="1"/>
  <c r="I923" i="1"/>
  <c r="G923" i="1"/>
  <c r="I922" i="1"/>
  <c r="G921" i="1"/>
  <c r="I921" i="1" s="1"/>
  <c r="I920" i="1"/>
  <c r="G920" i="1"/>
  <c r="I919" i="1"/>
  <c r="G919" i="1"/>
  <c r="I918" i="1"/>
  <c r="G918" i="1"/>
  <c r="G917" i="1"/>
  <c r="I917" i="1" s="1"/>
  <c r="G916" i="1"/>
  <c r="I916" i="1" s="1"/>
  <c r="I915" i="1"/>
  <c r="G915" i="1"/>
  <c r="G914" i="1"/>
  <c r="I914" i="1" s="1"/>
  <c r="G913" i="1"/>
  <c r="I913" i="1" s="1"/>
  <c r="I912" i="1"/>
  <c r="G912" i="1"/>
  <c r="I911" i="1"/>
  <c r="G911" i="1"/>
  <c r="I910" i="1"/>
  <c r="G910" i="1"/>
  <c r="I909" i="1"/>
  <c r="I908" i="1"/>
  <c r="I907" i="1"/>
  <c r="I906" i="1"/>
  <c r="G905" i="1"/>
  <c r="I905" i="1" s="1"/>
  <c r="I902" i="1"/>
  <c r="G902" i="1"/>
  <c r="G901" i="1"/>
  <c r="I901" i="1" s="1"/>
  <c r="I900" i="1"/>
  <c r="I899" i="1"/>
  <c r="G899" i="1"/>
  <c r="G898" i="1"/>
  <c r="I898" i="1" s="1"/>
  <c r="I897" i="1"/>
  <c r="I896" i="1"/>
  <c r="G895" i="1"/>
  <c r="I895" i="1" s="1"/>
  <c r="I894" i="1"/>
  <c r="I893" i="1"/>
  <c r="I892" i="1"/>
  <c r="G892" i="1"/>
  <c r="I891" i="1"/>
  <c r="G891" i="1"/>
  <c r="G890" i="1"/>
  <c r="I890" i="1" s="1"/>
  <c r="G889" i="1"/>
  <c r="I889" i="1" s="1"/>
  <c r="I888" i="1"/>
  <c r="G887" i="1"/>
  <c r="I887" i="1" s="1"/>
  <c r="I886" i="1"/>
  <c r="G886" i="1"/>
  <c r="I885" i="1"/>
  <c r="G885" i="1"/>
  <c r="G883" i="1"/>
  <c r="G882" i="1"/>
  <c r="I882" i="1" s="1"/>
  <c r="I881" i="1"/>
  <c r="G881" i="1"/>
  <c r="I880" i="1"/>
  <c r="G880" i="1"/>
  <c r="I879" i="1"/>
  <c r="G879" i="1"/>
  <c r="G878" i="1"/>
  <c r="I878" i="1" s="1"/>
  <c r="G877" i="1"/>
  <c r="I877" i="1" s="1"/>
  <c r="I876" i="1"/>
  <c r="I875" i="1"/>
  <c r="I874" i="1"/>
  <c r="G873" i="1"/>
  <c r="I873" i="1" s="1"/>
  <c r="G872" i="1"/>
  <c r="I872" i="1" s="1"/>
  <c r="I871" i="1"/>
  <c r="I870" i="1"/>
  <c r="I869" i="1"/>
  <c r="G868" i="1"/>
  <c r="I868" i="1" s="1"/>
  <c r="I867" i="1"/>
  <c r="G867" i="1"/>
  <c r="I866" i="1"/>
  <c r="G866" i="1"/>
  <c r="I865" i="1"/>
  <c r="G865" i="1"/>
  <c r="I864" i="1"/>
  <c r="I863" i="1"/>
  <c r="G863" i="1"/>
  <c r="I862" i="1"/>
  <c r="G862" i="1"/>
  <c r="G861" i="1"/>
  <c r="I861" i="1" s="1"/>
  <c r="I858" i="1"/>
  <c r="G858" i="1"/>
  <c r="G857" i="1"/>
  <c r="I857" i="1" s="1"/>
  <c r="I856" i="1"/>
  <c r="G856" i="1"/>
  <c r="I855" i="1"/>
  <c r="G855" i="1"/>
  <c r="G854" i="1"/>
  <c r="I854" i="1" s="1"/>
  <c r="G853" i="1"/>
  <c r="I853" i="1" s="1"/>
  <c r="I852" i="1"/>
  <c r="G852" i="1"/>
  <c r="I851" i="1"/>
  <c r="I850" i="1"/>
  <c r="I849" i="1"/>
  <c r="G849" i="1"/>
  <c r="G848" i="1"/>
  <c r="I848" i="1" s="1"/>
  <c r="G847" i="1"/>
  <c r="I847" i="1" s="1"/>
  <c r="I844" i="1"/>
  <c r="G844" i="1"/>
  <c r="G843" i="1"/>
  <c r="I843" i="1" s="1"/>
  <c r="I842" i="1"/>
  <c r="I841" i="1"/>
  <c r="I840" i="1"/>
  <c r="G840" i="1"/>
  <c r="I839" i="1"/>
  <c r="I838" i="1"/>
  <c r="I837" i="1"/>
  <c r="G837" i="1"/>
  <c r="I836" i="1"/>
  <c r="I835" i="1"/>
  <c r="I834" i="1"/>
  <c r="G834" i="1"/>
  <c r="G833" i="1"/>
  <c r="I833" i="1" s="1"/>
  <c r="I832" i="1"/>
  <c r="G832" i="1"/>
  <c r="I831" i="1"/>
  <c r="G831" i="1"/>
  <c r="I830" i="1"/>
  <c r="G830" i="1"/>
  <c r="G829" i="1"/>
  <c r="I829" i="1" s="1"/>
  <c r="I828" i="1"/>
  <c r="G828" i="1"/>
  <c r="I827" i="1"/>
  <c r="G827" i="1"/>
  <c r="G826" i="1"/>
  <c r="I826" i="1" s="1"/>
  <c r="I845" i="1" s="1"/>
  <c r="I823" i="1"/>
  <c r="G823" i="1"/>
  <c r="G822" i="1"/>
  <c r="I822" i="1" s="1"/>
  <c r="G821" i="1"/>
  <c r="I821" i="1" s="1"/>
  <c r="G820" i="1"/>
  <c r="I820" i="1" s="1"/>
  <c r="I819" i="1"/>
  <c r="G819" i="1"/>
  <c r="I818" i="1"/>
  <c r="G818" i="1"/>
  <c r="G817" i="1"/>
  <c r="I817" i="1" s="1"/>
  <c r="I816" i="1"/>
  <c r="G816" i="1"/>
  <c r="I815" i="1"/>
  <c r="G815" i="1"/>
  <c r="G814" i="1"/>
  <c r="I814" i="1" s="1"/>
  <c r="G813" i="1"/>
  <c r="I813" i="1" s="1"/>
  <c r="G812" i="1"/>
  <c r="I812" i="1" s="1"/>
  <c r="I811" i="1"/>
  <c r="G811" i="1"/>
  <c r="I810" i="1"/>
  <c r="G810" i="1"/>
  <c r="G809" i="1"/>
  <c r="I809" i="1" s="1"/>
  <c r="G808" i="1"/>
  <c r="I808" i="1" s="1"/>
  <c r="I807" i="1"/>
  <c r="G807" i="1"/>
  <c r="G806" i="1"/>
  <c r="I806" i="1" s="1"/>
  <c r="G805" i="1"/>
  <c r="I805" i="1" s="1"/>
  <c r="I804" i="1"/>
  <c r="G804" i="1"/>
  <c r="I803" i="1"/>
  <c r="G803" i="1"/>
  <c r="I800" i="1"/>
  <c r="I799" i="1"/>
  <c r="G799" i="1"/>
  <c r="G798" i="1"/>
  <c r="I798" i="1" s="1"/>
  <c r="I797" i="1"/>
  <c r="G797" i="1"/>
  <c r="I796" i="1"/>
  <c r="G796" i="1"/>
  <c r="I795" i="1"/>
  <c r="G795" i="1"/>
  <c r="G794" i="1"/>
  <c r="I794" i="1" s="1"/>
  <c r="I793" i="1"/>
  <c r="I792" i="1"/>
  <c r="I791" i="1"/>
  <c r="I790" i="1"/>
  <c r="G789" i="1"/>
  <c r="I789" i="1" s="1"/>
  <c r="I788" i="1"/>
  <c r="G788" i="1"/>
  <c r="I787" i="1"/>
  <c r="G787" i="1"/>
  <c r="G786" i="1"/>
  <c r="I786" i="1" s="1"/>
  <c r="I785" i="1"/>
  <c r="G785" i="1"/>
  <c r="I784" i="1"/>
  <c r="G784" i="1"/>
  <c r="I783" i="1"/>
  <c r="I782" i="1"/>
  <c r="G781" i="1"/>
  <c r="I781" i="1" s="1"/>
  <c r="G780" i="1"/>
  <c r="I780" i="1" s="1"/>
  <c r="I779" i="1"/>
  <c r="G779" i="1"/>
  <c r="I778" i="1"/>
  <c r="G778" i="1"/>
  <c r="I776" i="1"/>
  <c r="G776" i="1"/>
  <c r="G775" i="1"/>
  <c r="I775" i="1" s="1"/>
  <c r="G774" i="1"/>
  <c r="I774" i="1" s="1"/>
  <c r="I801" i="1" s="1"/>
  <c r="I771" i="1"/>
  <c r="G771" i="1"/>
  <c r="G770" i="1"/>
  <c r="I770" i="1" s="1"/>
  <c r="I769" i="1"/>
  <c r="G769" i="1"/>
  <c r="I768" i="1"/>
  <c r="G768" i="1"/>
  <c r="G767" i="1"/>
  <c r="I767" i="1" s="1"/>
  <c r="G766" i="1"/>
  <c r="I766" i="1" s="1"/>
  <c r="G765" i="1"/>
  <c r="I765" i="1" s="1"/>
  <c r="I764" i="1"/>
  <c r="G764" i="1"/>
  <c r="G763" i="1"/>
  <c r="I763" i="1" s="1"/>
  <c r="G762" i="1"/>
  <c r="I762" i="1" s="1"/>
  <c r="I761" i="1"/>
  <c r="I760" i="1"/>
  <c r="G759" i="1"/>
  <c r="I759" i="1" s="1"/>
  <c r="G758" i="1"/>
  <c r="I758" i="1" s="1"/>
  <c r="G757" i="1"/>
  <c r="I757" i="1" s="1"/>
  <c r="I756" i="1"/>
  <c r="G756" i="1"/>
  <c r="G755" i="1"/>
  <c r="I755" i="1" s="1"/>
  <c r="G754" i="1"/>
  <c r="I754" i="1" s="1"/>
  <c r="I753" i="1"/>
  <c r="G753" i="1"/>
  <c r="I752" i="1"/>
  <c r="G752" i="1"/>
  <c r="G751" i="1"/>
  <c r="I751" i="1" s="1"/>
  <c r="G749" i="1"/>
  <c r="I749" i="1" s="1"/>
  <c r="G748" i="1"/>
  <c r="I748" i="1" s="1"/>
  <c r="G745" i="1"/>
  <c r="I745" i="1" s="1"/>
  <c r="G744" i="1"/>
  <c r="I744" i="1" s="1"/>
  <c r="I743" i="1"/>
  <c r="G743" i="1"/>
  <c r="I742" i="1"/>
  <c r="G742" i="1"/>
  <c r="G741" i="1"/>
  <c r="I741" i="1" s="1"/>
  <c r="I740" i="1"/>
  <c r="I739" i="1"/>
  <c r="G739" i="1"/>
  <c r="G738" i="1"/>
  <c r="I738" i="1" s="1"/>
  <c r="G737" i="1"/>
  <c r="I737" i="1" s="1"/>
  <c r="I736" i="1"/>
  <c r="G736" i="1"/>
  <c r="I735" i="1"/>
  <c r="G735" i="1"/>
  <c r="G734" i="1"/>
  <c r="I734" i="1" s="1"/>
  <c r="I733" i="1"/>
  <c r="I732" i="1"/>
  <c r="G732" i="1"/>
  <c r="G731" i="1"/>
  <c r="I731" i="1" s="1"/>
  <c r="G730" i="1"/>
  <c r="I730" i="1" s="1"/>
  <c r="I729" i="1"/>
  <c r="G729" i="1"/>
  <c r="I728" i="1"/>
  <c r="G728" i="1"/>
  <c r="G727" i="1"/>
  <c r="I727" i="1" s="1"/>
  <c r="G726" i="1"/>
  <c r="I726" i="1" s="1"/>
  <c r="I725" i="1"/>
  <c r="G725" i="1"/>
  <c r="I724" i="1"/>
  <c r="G724" i="1"/>
  <c r="G723" i="1"/>
  <c r="I723" i="1" s="1"/>
  <c r="G722" i="1"/>
  <c r="I722" i="1" s="1"/>
  <c r="I721" i="1"/>
  <c r="G721" i="1"/>
  <c r="G720" i="1"/>
  <c r="I720" i="1" s="1"/>
  <c r="G719" i="1"/>
  <c r="I719" i="1" s="1"/>
  <c r="G717" i="1"/>
  <c r="I717" i="1" s="1"/>
  <c r="G716" i="1"/>
  <c r="I716" i="1" s="1"/>
  <c r="I715" i="1"/>
  <c r="G715" i="1"/>
  <c r="G712" i="1"/>
  <c r="I712" i="1" s="1"/>
  <c r="I711" i="1"/>
  <c r="G711" i="1"/>
  <c r="G710" i="1"/>
  <c r="I710" i="1" s="1"/>
  <c r="G709" i="1"/>
  <c r="I709" i="1" s="1"/>
  <c r="G708" i="1"/>
  <c r="I708" i="1" s="1"/>
  <c r="I707" i="1"/>
  <c r="G707" i="1"/>
  <c r="I706" i="1"/>
  <c r="G706" i="1"/>
  <c r="G705" i="1"/>
  <c r="I705" i="1" s="1"/>
  <c r="G704" i="1"/>
  <c r="I704" i="1" s="1"/>
  <c r="I703" i="1"/>
  <c r="G703" i="1"/>
  <c r="I702" i="1"/>
  <c r="G702" i="1"/>
  <c r="G701" i="1"/>
  <c r="I701" i="1" s="1"/>
  <c r="G700" i="1"/>
  <c r="I700" i="1" s="1"/>
  <c r="I699" i="1"/>
  <c r="G699" i="1"/>
  <c r="I698" i="1"/>
  <c r="G698" i="1"/>
  <c r="G697" i="1"/>
  <c r="I697" i="1" s="1"/>
  <c r="G696" i="1"/>
  <c r="I696" i="1" s="1"/>
  <c r="I695" i="1"/>
  <c r="G695" i="1"/>
  <c r="I694" i="1"/>
  <c r="G694" i="1"/>
  <c r="G693" i="1"/>
  <c r="I693" i="1" s="1"/>
  <c r="G692" i="1"/>
  <c r="I692" i="1" s="1"/>
  <c r="I691" i="1"/>
  <c r="G691" i="1"/>
  <c r="I690" i="1"/>
  <c r="G690" i="1"/>
  <c r="G689" i="1"/>
  <c r="I689" i="1" s="1"/>
  <c r="G687" i="1"/>
  <c r="I687" i="1" s="1"/>
  <c r="I684" i="1"/>
  <c r="I683" i="1"/>
  <c r="I682" i="1"/>
  <c r="G682" i="1"/>
  <c r="G681" i="1"/>
  <c r="I681" i="1" s="1"/>
  <c r="G680" i="1"/>
  <c r="I680" i="1" s="1"/>
  <c r="I679" i="1"/>
  <c r="G679" i="1"/>
  <c r="I678" i="1"/>
  <c r="G678" i="1"/>
  <c r="G677" i="1"/>
  <c r="I677" i="1" s="1"/>
  <c r="G676" i="1"/>
  <c r="I676" i="1" s="1"/>
  <c r="I675" i="1"/>
  <c r="G675" i="1"/>
  <c r="I674" i="1"/>
  <c r="G674" i="1"/>
  <c r="G673" i="1"/>
  <c r="I673" i="1" s="1"/>
  <c r="G672" i="1"/>
  <c r="I672" i="1" s="1"/>
  <c r="I671" i="1"/>
  <c r="G671" i="1"/>
  <c r="G670" i="1"/>
  <c r="I670" i="1" s="1"/>
  <c r="G669" i="1"/>
  <c r="I669" i="1" s="1"/>
  <c r="G668" i="1"/>
  <c r="I668" i="1" s="1"/>
  <c r="I667" i="1"/>
  <c r="G667" i="1"/>
  <c r="I666" i="1"/>
  <c r="G666" i="1"/>
  <c r="G665" i="1"/>
  <c r="I665" i="1" s="1"/>
  <c r="G664" i="1"/>
  <c r="I664" i="1" s="1"/>
  <c r="I663" i="1"/>
  <c r="G663" i="1"/>
  <c r="G662" i="1"/>
  <c r="I662" i="1" s="1"/>
  <c r="G661" i="1"/>
  <c r="I661" i="1" s="1"/>
  <c r="G659" i="1"/>
  <c r="I659" i="1" s="1"/>
  <c r="I656" i="1"/>
  <c r="G656" i="1"/>
  <c r="G655" i="1"/>
  <c r="I655" i="1" s="1"/>
  <c r="G654" i="1"/>
  <c r="I654" i="1" s="1"/>
  <c r="I653" i="1"/>
  <c r="G653" i="1"/>
  <c r="G652" i="1"/>
  <c r="I652" i="1" s="1"/>
  <c r="G651" i="1"/>
  <c r="I651" i="1" s="1"/>
  <c r="G650" i="1"/>
  <c r="I650" i="1" s="1"/>
  <c r="I649" i="1"/>
  <c r="G649" i="1"/>
  <c r="I648" i="1"/>
  <c r="G648" i="1"/>
  <c r="G647" i="1"/>
  <c r="I647" i="1" s="1"/>
  <c r="G646" i="1"/>
  <c r="I646" i="1" s="1"/>
  <c r="I645" i="1"/>
  <c r="G645" i="1"/>
  <c r="G644" i="1"/>
  <c r="I644" i="1" s="1"/>
  <c r="G643" i="1"/>
  <c r="I643" i="1" s="1"/>
  <c r="G642" i="1"/>
  <c r="I642" i="1" s="1"/>
  <c r="I641" i="1"/>
  <c r="G641" i="1"/>
  <c r="I640" i="1"/>
  <c r="G640" i="1"/>
  <c r="G639" i="1"/>
  <c r="I639" i="1" s="1"/>
  <c r="G638" i="1"/>
  <c r="I638" i="1" s="1"/>
  <c r="I637" i="1"/>
  <c r="G637" i="1"/>
  <c r="I636" i="1"/>
  <c r="G636" i="1"/>
  <c r="G635" i="1"/>
  <c r="I635" i="1" s="1"/>
  <c r="G633" i="1"/>
  <c r="I633" i="1" s="1"/>
  <c r="I630" i="1"/>
  <c r="G630" i="1"/>
  <c r="I629" i="1"/>
  <c r="I628" i="1"/>
  <c r="G628" i="1"/>
  <c r="I627" i="1"/>
  <c r="G627" i="1"/>
  <c r="G626" i="1"/>
  <c r="I626" i="1" s="1"/>
  <c r="G625" i="1"/>
  <c r="I625" i="1" s="1"/>
  <c r="I624" i="1"/>
  <c r="G624" i="1"/>
  <c r="G623" i="1"/>
  <c r="I623" i="1" s="1"/>
  <c r="G622" i="1"/>
  <c r="I622" i="1" s="1"/>
  <c r="G621" i="1"/>
  <c r="I621" i="1" s="1"/>
  <c r="I620" i="1"/>
  <c r="G620" i="1"/>
  <c r="I619" i="1"/>
  <c r="G619" i="1"/>
  <c r="G618" i="1"/>
  <c r="I618" i="1" s="1"/>
  <c r="G617" i="1"/>
  <c r="I617" i="1" s="1"/>
  <c r="I616" i="1"/>
  <c r="G616" i="1"/>
  <c r="G615" i="1"/>
  <c r="I615" i="1" s="1"/>
  <c r="G614" i="1"/>
  <c r="I614" i="1" s="1"/>
  <c r="G613" i="1"/>
  <c r="I613" i="1" s="1"/>
  <c r="I612" i="1"/>
  <c r="G612" i="1"/>
  <c r="I611" i="1"/>
  <c r="G611" i="1"/>
  <c r="G610" i="1"/>
  <c r="I610" i="1" s="1"/>
  <c r="G608" i="1"/>
  <c r="I608" i="1" s="1"/>
  <c r="G605" i="1"/>
  <c r="I605" i="1" s="1"/>
  <c r="G604" i="1"/>
  <c r="I604" i="1" s="1"/>
  <c r="G603" i="1"/>
  <c r="I603" i="1" s="1"/>
  <c r="I602" i="1"/>
  <c r="G602" i="1"/>
  <c r="I601" i="1"/>
  <c r="G601" i="1"/>
  <c r="G600" i="1"/>
  <c r="I600" i="1" s="1"/>
  <c r="G599" i="1"/>
  <c r="I599" i="1" s="1"/>
  <c r="I598" i="1"/>
  <c r="G598" i="1"/>
  <c r="G597" i="1"/>
  <c r="I597" i="1" s="1"/>
  <c r="G596" i="1"/>
  <c r="I596" i="1" s="1"/>
  <c r="I595" i="1"/>
  <c r="G594" i="1"/>
  <c r="I594" i="1" s="1"/>
  <c r="G593" i="1"/>
  <c r="I593" i="1" s="1"/>
  <c r="G592" i="1"/>
  <c r="I592" i="1" s="1"/>
  <c r="I591" i="1"/>
  <c r="G591" i="1"/>
  <c r="I590" i="1"/>
  <c r="G590" i="1"/>
  <c r="G589" i="1"/>
  <c r="I589" i="1" s="1"/>
  <c r="G588" i="1"/>
  <c r="I588" i="1" s="1"/>
  <c r="I587" i="1"/>
  <c r="G587" i="1"/>
  <c r="I586" i="1"/>
  <c r="G586" i="1"/>
  <c r="I584" i="1"/>
  <c r="G584" i="1"/>
  <c r="I581" i="1"/>
  <c r="G581" i="1"/>
  <c r="I580" i="1"/>
  <c r="G580" i="1"/>
  <c r="G579" i="1"/>
  <c r="I579" i="1" s="1"/>
  <c r="G578" i="1"/>
  <c r="I578" i="1" s="1"/>
  <c r="I577" i="1"/>
  <c r="G577" i="1"/>
  <c r="I576" i="1"/>
  <c r="G576" i="1"/>
  <c r="G575" i="1"/>
  <c r="I575" i="1" s="1"/>
  <c r="G574" i="1"/>
  <c r="I574" i="1" s="1"/>
  <c r="I573" i="1"/>
  <c r="G573" i="1"/>
  <c r="I572" i="1"/>
  <c r="G572" i="1"/>
  <c r="G571" i="1"/>
  <c r="I571" i="1" s="1"/>
  <c r="G570" i="1"/>
  <c r="I570" i="1" s="1"/>
  <c r="G568" i="1"/>
  <c r="I568" i="1" s="1"/>
  <c r="I565" i="1"/>
  <c r="I564" i="1"/>
  <c r="G564" i="1"/>
  <c r="G563" i="1"/>
  <c r="I563" i="1" s="1"/>
  <c r="G562" i="1"/>
  <c r="I562" i="1" s="1"/>
  <c r="G561" i="1"/>
  <c r="I561" i="1" s="1"/>
  <c r="I560" i="1"/>
  <c r="G559" i="1"/>
  <c r="I559" i="1" s="1"/>
  <c r="G558" i="1"/>
  <c r="I558" i="1" s="1"/>
  <c r="I557" i="1"/>
  <c r="G557" i="1"/>
  <c r="I556" i="1"/>
  <c r="G556" i="1"/>
  <c r="G555" i="1"/>
  <c r="I555" i="1" s="1"/>
  <c r="G554" i="1"/>
  <c r="I554" i="1" s="1"/>
  <c r="I553" i="1"/>
  <c r="G553" i="1"/>
  <c r="G552" i="1"/>
  <c r="I552" i="1" s="1"/>
  <c r="I551" i="1"/>
  <c r="I550" i="1"/>
  <c r="G550" i="1"/>
  <c r="I549" i="1"/>
  <c r="G549" i="1"/>
  <c r="G548" i="1"/>
  <c r="I548" i="1" s="1"/>
  <c r="G547" i="1"/>
  <c r="I547" i="1" s="1"/>
  <c r="I546" i="1"/>
  <c r="G546" i="1"/>
  <c r="I545" i="1"/>
  <c r="G545" i="1"/>
  <c r="G544" i="1"/>
  <c r="I544" i="1" s="1"/>
  <c r="G543" i="1"/>
  <c r="I543" i="1" s="1"/>
  <c r="G541" i="1"/>
  <c r="I541" i="1" s="1"/>
  <c r="K536" i="1"/>
  <c r="J536" i="1"/>
  <c r="I536" i="1"/>
  <c r="G536" i="1"/>
  <c r="I535" i="1"/>
  <c r="H535" i="1"/>
  <c r="G535" i="1"/>
  <c r="I534" i="1"/>
  <c r="G534" i="1"/>
  <c r="G533" i="1"/>
  <c r="I533" i="1" s="1"/>
  <c r="I532" i="1"/>
  <c r="G532" i="1"/>
  <c r="I531" i="1"/>
  <c r="G531" i="1"/>
  <c r="I530" i="1"/>
  <c r="G530" i="1"/>
  <c r="G529" i="1"/>
  <c r="I529" i="1" s="1"/>
  <c r="G528" i="1"/>
  <c r="I528" i="1" s="1"/>
  <c r="I527" i="1"/>
  <c r="G527" i="1"/>
  <c r="I526" i="1"/>
  <c r="G526" i="1"/>
  <c r="G525" i="1"/>
  <c r="I525" i="1" s="1"/>
  <c r="I524" i="1"/>
  <c r="G524" i="1"/>
  <c r="I523" i="1"/>
  <c r="H523" i="1"/>
  <c r="G523" i="1"/>
  <c r="I522" i="1"/>
  <c r="G522" i="1"/>
  <c r="I521" i="1"/>
  <c r="H521" i="1"/>
  <c r="G521" i="1"/>
  <c r="G520" i="1"/>
  <c r="I520" i="1" s="1"/>
  <c r="G519" i="1"/>
  <c r="I519" i="1" s="1"/>
  <c r="G518" i="1"/>
  <c r="I518" i="1" s="1"/>
  <c r="I517" i="1"/>
  <c r="G517" i="1"/>
  <c r="K516" i="1"/>
  <c r="G516" i="1"/>
  <c r="I516" i="1" s="1"/>
  <c r="K515" i="1"/>
  <c r="I515" i="1"/>
  <c r="G515" i="1"/>
  <c r="K514" i="1"/>
  <c r="K518" i="1" s="1"/>
  <c r="G514" i="1"/>
  <c r="I514" i="1" s="1"/>
  <c r="K513" i="1"/>
  <c r="I513" i="1"/>
  <c r="G513" i="1"/>
  <c r="N512" i="1"/>
  <c r="G512" i="1"/>
  <c r="I512" i="1" s="1"/>
  <c r="I509" i="1"/>
  <c r="I508" i="1"/>
  <c r="H508" i="1"/>
  <c r="I507" i="1"/>
  <c r="G506" i="1"/>
  <c r="I506" i="1" s="1"/>
  <c r="I505" i="1"/>
  <c r="G505" i="1"/>
  <c r="I504" i="1"/>
  <c r="G504" i="1"/>
  <c r="G503" i="1"/>
  <c r="I503" i="1" s="1"/>
  <c r="G502" i="1"/>
  <c r="I502" i="1" s="1"/>
  <c r="I501" i="1"/>
  <c r="G501" i="1"/>
  <c r="I500" i="1"/>
  <c r="G500" i="1"/>
  <c r="H499" i="1"/>
  <c r="G499" i="1"/>
  <c r="G498" i="1"/>
  <c r="I498" i="1" s="1"/>
  <c r="G497" i="1"/>
  <c r="I497" i="1" s="1"/>
  <c r="I496" i="1"/>
  <c r="G496" i="1"/>
  <c r="I495" i="1"/>
  <c r="G495" i="1"/>
  <c r="G494" i="1"/>
  <c r="I494" i="1" s="1"/>
  <c r="G493" i="1"/>
  <c r="I493" i="1" s="1"/>
  <c r="I492" i="1"/>
  <c r="G492" i="1"/>
  <c r="I491" i="1"/>
  <c r="G491" i="1"/>
  <c r="G490" i="1"/>
  <c r="I490" i="1" s="1"/>
  <c r="G489" i="1"/>
  <c r="I489" i="1" s="1"/>
  <c r="I488" i="1"/>
  <c r="G488" i="1"/>
  <c r="K487" i="1"/>
  <c r="I487" i="1"/>
  <c r="G487" i="1"/>
  <c r="I486" i="1"/>
  <c r="G486" i="1"/>
  <c r="K485" i="1"/>
  <c r="K486" i="1" s="1"/>
  <c r="I485" i="1"/>
  <c r="G485" i="1"/>
  <c r="I484" i="1"/>
  <c r="G484" i="1"/>
  <c r="G483" i="1"/>
  <c r="I483" i="1" s="1"/>
  <c r="G482" i="1"/>
  <c r="I482" i="1" s="1"/>
  <c r="I481" i="1"/>
  <c r="G481" i="1"/>
  <c r="G478" i="1"/>
  <c r="I478" i="1" s="1"/>
  <c r="I477" i="1"/>
  <c r="G477" i="1"/>
  <c r="I476" i="1"/>
  <c r="G476" i="1"/>
  <c r="G475" i="1"/>
  <c r="I475" i="1" s="1"/>
  <c r="G474" i="1"/>
  <c r="I474" i="1" s="1"/>
  <c r="I473" i="1"/>
  <c r="G473" i="1"/>
  <c r="G472" i="1"/>
  <c r="I472" i="1" s="1"/>
  <c r="G471" i="1"/>
  <c r="I471" i="1" s="1"/>
  <c r="G470" i="1"/>
  <c r="I470" i="1" s="1"/>
  <c r="I469" i="1"/>
  <c r="G469" i="1"/>
  <c r="I468" i="1"/>
  <c r="G468" i="1"/>
  <c r="G467" i="1"/>
  <c r="I467" i="1" s="1"/>
  <c r="G466" i="1"/>
  <c r="I466" i="1" s="1"/>
  <c r="I465" i="1"/>
  <c r="G465" i="1"/>
  <c r="G464" i="1"/>
  <c r="I464" i="1" s="1"/>
  <c r="G463" i="1"/>
  <c r="I463" i="1" s="1"/>
  <c r="G462" i="1"/>
  <c r="I462" i="1" s="1"/>
  <c r="I461" i="1"/>
  <c r="G461" i="1"/>
  <c r="I460" i="1"/>
  <c r="G460" i="1"/>
  <c r="G459" i="1"/>
  <c r="I459" i="1" s="1"/>
  <c r="I458" i="1"/>
  <c r="G458" i="1"/>
  <c r="I457" i="1"/>
  <c r="G457" i="1"/>
  <c r="H455" i="1"/>
  <c r="I455" i="1" s="1"/>
  <c r="G455" i="1"/>
  <c r="I454" i="1"/>
  <c r="G454" i="1"/>
  <c r="H452" i="1"/>
  <c r="G452" i="1"/>
  <c r="G451" i="1"/>
  <c r="I451" i="1" s="1"/>
  <c r="G450" i="1"/>
  <c r="I450" i="1" s="1"/>
  <c r="I449" i="1"/>
  <c r="G449" i="1"/>
  <c r="I448" i="1"/>
  <c r="G448" i="1"/>
  <c r="G447" i="1"/>
  <c r="I447" i="1" s="1"/>
  <c r="I446" i="1"/>
  <c r="G446" i="1"/>
  <c r="I445" i="1"/>
  <c r="G445" i="1"/>
  <c r="I444" i="1"/>
  <c r="G444" i="1"/>
  <c r="G443" i="1"/>
  <c r="I443" i="1" s="1"/>
  <c r="G442" i="1"/>
  <c r="I442" i="1" s="1"/>
  <c r="I441" i="1"/>
  <c r="G441" i="1"/>
  <c r="I440" i="1"/>
  <c r="G440" i="1"/>
  <c r="G439" i="1"/>
  <c r="I439" i="1" s="1"/>
  <c r="G437" i="1"/>
  <c r="I437" i="1" s="1"/>
  <c r="I436" i="1"/>
  <c r="G436" i="1"/>
  <c r="G435" i="1"/>
  <c r="I435" i="1" s="1"/>
  <c r="G434" i="1"/>
  <c r="I434" i="1" s="1"/>
  <c r="G433" i="1"/>
  <c r="I433" i="1" s="1"/>
  <c r="I432" i="1"/>
  <c r="G432" i="1"/>
  <c r="I431" i="1"/>
  <c r="G431" i="1"/>
  <c r="G430" i="1"/>
  <c r="I430" i="1" s="1"/>
  <c r="G429" i="1"/>
  <c r="I429" i="1" s="1"/>
  <c r="I428" i="1"/>
  <c r="G428" i="1"/>
  <c r="G427" i="1"/>
  <c r="I427" i="1" s="1"/>
  <c r="H425" i="1"/>
  <c r="G425" i="1"/>
  <c r="G424" i="1"/>
  <c r="I424" i="1" s="1"/>
  <c r="J423" i="1"/>
  <c r="H423" i="1"/>
  <c r="G423" i="1"/>
  <c r="J422" i="1"/>
  <c r="I422" i="1"/>
  <c r="H422" i="1"/>
  <c r="G422" i="1"/>
  <c r="J421" i="1"/>
  <c r="I421" i="1"/>
  <c r="H421" i="1"/>
  <c r="G421" i="1"/>
  <c r="I420" i="1"/>
  <c r="G420" i="1"/>
  <c r="J419" i="1"/>
  <c r="I419" i="1"/>
  <c r="H419" i="1"/>
  <c r="G419" i="1"/>
  <c r="I418" i="1"/>
  <c r="G418" i="1"/>
  <c r="I417" i="1"/>
  <c r="G417" i="1"/>
  <c r="G416" i="1"/>
  <c r="I416" i="1" s="1"/>
  <c r="H414" i="1"/>
  <c r="G414" i="1"/>
  <c r="I414" i="1" s="1"/>
  <c r="G413" i="1"/>
  <c r="I413" i="1" s="1"/>
  <c r="I412" i="1"/>
  <c r="H412" i="1"/>
  <c r="G412" i="1"/>
  <c r="J411" i="1"/>
  <c r="I411" i="1"/>
  <c r="G411" i="1"/>
  <c r="J410" i="1"/>
  <c r="H410" i="1"/>
  <c r="G410" i="1"/>
  <c r="I410" i="1" s="1"/>
  <c r="J409" i="1"/>
  <c r="G409" i="1"/>
  <c r="I409" i="1" s="1"/>
  <c r="G408" i="1"/>
  <c r="I408" i="1" s="1"/>
  <c r="I407" i="1"/>
  <c r="G407" i="1"/>
  <c r="G405" i="1"/>
  <c r="I405" i="1" s="1"/>
  <c r="G404" i="1"/>
  <c r="I404" i="1" s="1"/>
  <c r="I403" i="1"/>
  <c r="G403" i="1"/>
  <c r="I402" i="1"/>
  <c r="G402" i="1"/>
  <c r="I401" i="1"/>
  <c r="G401" i="1"/>
  <c r="G400" i="1"/>
  <c r="I400" i="1" s="1"/>
  <c r="I399" i="1"/>
  <c r="G399" i="1"/>
  <c r="I398" i="1"/>
  <c r="G398" i="1"/>
  <c r="G397" i="1"/>
  <c r="I397" i="1" s="1"/>
  <c r="G396" i="1"/>
  <c r="I396" i="1" s="1"/>
  <c r="I395" i="1"/>
  <c r="G395" i="1"/>
  <c r="I394" i="1"/>
  <c r="G394" i="1"/>
  <c r="I393" i="1"/>
  <c r="G393" i="1"/>
  <c r="G392" i="1"/>
  <c r="I392" i="1" s="1"/>
  <c r="G391" i="1"/>
  <c r="I391" i="1" s="1"/>
  <c r="I390" i="1"/>
  <c r="G390" i="1"/>
  <c r="H388" i="1"/>
  <c r="I388" i="1" s="1"/>
  <c r="G388" i="1"/>
  <c r="I387" i="1"/>
  <c r="G387" i="1"/>
  <c r="G386" i="1"/>
  <c r="I386" i="1" s="1"/>
  <c r="I385" i="1"/>
  <c r="G385" i="1"/>
  <c r="I384" i="1"/>
  <c r="G384" i="1"/>
  <c r="I383" i="1"/>
  <c r="H383" i="1"/>
  <c r="G383" i="1"/>
  <c r="I382" i="1"/>
  <c r="H382" i="1"/>
  <c r="G382" i="1"/>
  <c r="G381" i="1"/>
  <c r="I381" i="1" s="1"/>
  <c r="G380" i="1"/>
  <c r="I380" i="1" s="1"/>
  <c r="H379" i="1"/>
  <c r="G379" i="1"/>
  <c r="I379" i="1" s="1"/>
  <c r="I378" i="1"/>
  <c r="G378" i="1"/>
  <c r="I377" i="1"/>
  <c r="H377" i="1"/>
  <c r="G377" i="1"/>
  <c r="I376" i="1"/>
  <c r="G376" i="1"/>
  <c r="I375" i="1"/>
  <c r="G375" i="1"/>
  <c r="G374" i="1"/>
  <c r="I374" i="1" s="1"/>
  <c r="H373" i="1"/>
  <c r="G373" i="1"/>
  <c r="I373" i="1" s="1"/>
  <c r="H372" i="1"/>
  <c r="G372" i="1"/>
  <c r="I372" i="1" s="1"/>
  <c r="H371" i="1"/>
  <c r="G371" i="1"/>
  <c r="I371" i="1" s="1"/>
  <c r="H369" i="1"/>
  <c r="G369" i="1"/>
  <c r="I369" i="1" s="1"/>
  <c r="I368" i="1"/>
  <c r="G368" i="1"/>
  <c r="I367" i="1"/>
  <c r="G367" i="1"/>
  <c r="I366" i="1"/>
  <c r="G366" i="1"/>
  <c r="G365" i="1"/>
  <c r="I365" i="1" s="1"/>
  <c r="G364" i="1"/>
  <c r="I364" i="1" s="1"/>
  <c r="I363" i="1"/>
  <c r="G363" i="1"/>
  <c r="I362" i="1"/>
  <c r="G362" i="1"/>
  <c r="G361" i="1"/>
  <c r="I361" i="1" s="1"/>
  <c r="H360" i="1"/>
  <c r="G360" i="1"/>
  <c r="I360" i="1" s="1"/>
  <c r="G359" i="1"/>
  <c r="I359" i="1" s="1"/>
  <c r="I358" i="1"/>
  <c r="H358" i="1"/>
  <c r="G358" i="1"/>
  <c r="I357" i="1"/>
  <c r="G357" i="1"/>
  <c r="I356" i="1"/>
  <c r="G356" i="1"/>
  <c r="G355" i="1"/>
  <c r="I355" i="1" s="1"/>
  <c r="H354" i="1"/>
  <c r="G354" i="1"/>
  <c r="I354" i="1" s="1"/>
  <c r="H353" i="1"/>
  <c r="G353" i="1"/>
  <c r="I353" i="1" s="1"/>
  <c r="H352" i="1"/>
  <c r="G352" i="1"/>
  <c r="I352" i="1" s="1"/>
  <c r="H350" i="1"/>
  <c r="G350" i="1"/>
  <c r="I350" i="1" s="1"/>
  <c r="G349" i="1"/>
  <c r="I349" i="1" s="1"/>
  <c r="I348" i="1"/>
  <c r="G348" i="1"/>
  <c r="I347" i="1"/>
  <c r="G347" i="1"/>
  <c r="G346" i="1"/>
  <c r="I346" i="1" s="1"/>
  <c r="G345" i="1"/>
  <c r="I345" i="1" s="1"/>
  <c r="I344" i="1"/>
  <c r="H344" i="1"/>
  <c r="G344" i="1"/>
  <c r="I343" i="1"/>
  <c r="G343" i="1"/>
  <c r="I342" i="1"/>
  <c r="H342" i="1"/>
  <c r="G342" i="1"/>
  <c r="I341" i="1"/>
  <c r="G341" i="1"/>
  <c r="G340" i="1"/>
  <c r="I340" i="1" s="1"/>
  <c r="G339" i="1"/>
  <c r="I339" i="1" s="1"/>
  <c r="I338" i="1"/>
  <c r="H338" i="1"/>
  <c r="G338" i="1"/>
  <c r="H337" i="1"/>
  <c r="G337" i="1"/>
  <c r="I337" i="1" s="1"/>
  <c r="I336" i="1"/>
  <c r="H336" i="1"/>
  <c r="G336" i="1"/>
  <c r="M334" i="1"/>
  <c r="K334" i="1"/>
  <c r="G333" i="1"/>
  <c r="I333" i="1" s="1"/>
  <c r="I332" i="1"/>
  <c r="G332" i="1"/>
  <c r="G331" i="1"/>
  <c r="I331" i="1" s="1"/>
  <c r="I330" i="1"/>
  <c r="G330" i="1"/>
  <c r="G329" i="1"/>
  <c r="I329" i="1" s="1"/>
  <c r="I328" i="1"/>
  <c r="G328" i="1"/>
  <c r="I327" i="1"/>
  <c r="G327" i="1"/>
  <c r="I326" i="1"/>
  <c r="G326" i="1"/>
  <c r="G324" i="1"/>
  <c r="I324" i="1" s="1"/>
  <c r="G323" i="1"/>
  <c r="I323" i="1" s="1"/>
  <c r="G322" i="1"/>
  <c r="I322" i="1" s="1"/>
  <c r="G321" i="1"/>
  <c r="I321" i="1" s="1"/>
  <c r="G320" i="1"/>
  <c r="I320" i="1" s="1"/>
  <c r="I319" i="1"/>
  <c r="I318" i="1"/>
  <c r="G318" i="1"/>
  <c r="I317" i="1"/>
  <c r="G316" i="1"/>
  <c r="I316" i="1" s="1"/>
  <c r="I315" i="1"/>
  <c r="G315" i="1"/>
  <c r="G314" i="1"/>
  <c r="I314" i="1" s="1"/>
  <c r="I313" i="1"/>
  <c r="G313" i="1"/>
  <c r="I312" i="1"/>
  <c r="G312" i="1"/>
  <c r="I311" i="1"/>
  <c r="G311" i="1"/>
  <c r="G310" i="1"/>
  <c r="I310" i="1" s="1"/>
  <c r="I309" i="1"/>
  <c r="G309" i="1"/>
  <c r="G308" i="1"/>
  <c r="I308" i="1" s="1"/>
  <c r="I307" i="1"/>
  <c r="G307" i="1"/>
  <c r="G306" i="1"/>
  <c r="I306" i="1" s="1"/>
  <c r="G305" i="1"/>
  <c r="I305" i="1" s="1"/>
  <c r="I304" i="1"/>
  <c r="G304" i="1"/>
  <c r="I303" i="1"/>
  <c r="G303" i="1"/>
  <c r="G302" i="1"/>
  <c r="I302" i="1" s="1"/>
  <c r="G301" i="1"/>
  <c r="I301" i="1" s="1"/>
  <c r="G299" i="1"/>
  <c r="I299" i="1" s="1"/>
  <c r="G298" i="1"/>
  <c r="I298" i="1" s="1"/>
  <c r="G297" i="1"/>
  <c r="I297" i="1" s="1"/>
  <c r="G296" i="1"/>
  <c r="I296" i="1" s="1"/>
  <c r="I293" i="1"/>
  <c r="H293" i="1"/>
  <c r="G293" i="1"/>
  <c r="G292" i="1"/>
  <c r="I292" i="1" s="1"/>
  <c r="G291" i="1"/>
  <c r="I291" i="1" s="1"/>
  <c r="G289" i="1"/>
  <c r="I289" i="1" s="1"/>
  <c r="I288" i="1"/>
  <c r="G288" i="1"/>
  <c r="I287" i="1"/>
  <c r="G287" i="1"/>
  <c r="G286" i="1"/>
  <c r="I286" i="1" s="1"/>
  <c r="G285" i="1"/>
  <c r="I285" i="1" s="1"/>
  <c r="I284" i="1"/>
  <c r="G284" i="1"/>
  <c r="G283" i="1"/>
  <c r="I283" i="1" s="1"/>
  <c r="G282" i="1"/>
  <c r="I282" i="1" s="1"/>
  <c r="G281" i="1"/>
  <c r="I281" i="1" s="1"/>
  <c r="I280" i="1"/>
  <c r="G280" i="1"/>
  <c r="I279" i="1"/>
  <c r="G279" i="1"/>
  <c r="G278" i="1"/>
  <c r="I278" i="1" s="1"/>
  <c r="G277" i="1"/>
  <c r="I277" i="1" s="1"/>
  <c r="I276" i="1"/>
  <c r="G276" i="1"/>
  <c r="I275" i="1"/>
  <c r="G275" i="1"/>
  <c r="G274" i="1"/>
  <c r="I274" i="1" s="1"/>
  <c r="G273" i="1"/>
  <c r="I273" i="1" s="1"/>
  <c r="I272" i="1"/>
  <c r="G272" i="1"/>
  <c r="I271" i="1"/>
  <c r="G271" i="1"/>
  <c r="G270" i="1"/>
  <c r="I270" i="1" s="1"/>
  <c r="I269" i="1"/>
  <c r="G269" i="1"/>
  <c r="I268" i="1"/>
  <c r="G268" i="1"/>
  <c r="I267" i="1"/>
  <c r="G267" i="1"/>
  <c r="G266" i="1"/>
  <c r="I266" i="1" s="1"/>
  <c r="G265" i="1"/>
  <c r="I265" i="1" s="1"/>
  <c r="I263" i="1"/>
  <c r="G263" i="1"/>
  <c r="I262" i="1"/>
  <c r="G262" i="1"/>
  <c r="G261" i="1"/>
  <c r="I261" i="1" s="1"/>
  <c r="G260" i="1"/>
  <c r="I260" i="1" s="1"/>
  <c r="I259" i="1"/>
  <c r="G259" i="1"/>
  <c r="I258" i="1"/>
  <c r="G258" i="1"/>
  <c r="I255" i="1"/>
  <c r="G255" i="1"/>
  <c r="G254" i="1"/>
  <c r="I254" i="1" s="1"/>
  <c r="G253" i="1"/>
  <c r="I253" i="1" s="1"/>
  <c r="H252" i="1"/>
  <c r="G252" i="1"/>
  <c r="I252" i="1" s="1"/>
  <c r="H251" i="1"/>
  <c r="G251" i="1"/>
  <c r="I251" i="1" s="1"/>
  <c r="H250" i="1"/>
  <c r="H249" i="1" s="1"/>
  <c r="G250" i="1"/>
  <c r="I250" i="1" s="1"/>
  <c r="G249" i="1"/>
  <c r="I249" i="1" s="1"/>
  <c r="G248" i="1"/>
  <c r="I248" i="1" s="1"/>
  <c r="I247" i="1"/>
  <c r="H247" i="1"/>
  <c r="G247" i="1"/>
  <c r="H246" i="1"/>
  <c r="G246" i="1"/>
  <c r="I246" i="1" s="1"/>
  <c r="I245" i="1"/>
  <c r="H245" i="1"/>
  <c r="G245" i="1"/>
  <c r="H244" i="1"/>
  <c r="G244" i="1"/>
  <c r="I244" i="1" s="1"/>
  <c r="I243" i="1"/>
  <c r="H243" i="1"/>
  <c r="G243" i="1"/>
  <c r="H242" i="1"/>
  <c r="G242" i="1"/>
  <c r="I242" i="1" s="1"/>
  <c r="I241" i="1"/>
  <c r="H241" i="1"/>
  <c r="I240" i="1"/>
  <c r="H240" i="1"/>
  <c r="J239" i="1"/>
  <c r="I237" i="1"/>
  <c r="I236" i="1"/>
  <c r="I235" i="1"/>
  <c r="H234" i="1"/>
  <c r="I234" i="1" s="1"/>
  <c r="G233" i="1"/>
  <c r="I233" i="1" s="1"/>
  <c r="G232" i="1"/>
  <c r="I232" i="1" s="1"/>
  <c r="I231" i="1"/>
  <c r="H231" i="1"/>
  <c r="I230" i="1"/>
  <c r="G229" i="1"/>
  <c r="I229" i="1" s="1"/>
  <c r="I228" i="1"/>
  <c r="H228" i="1"/>
  <c r="G228" i="1"/>
  <c r="H227" i="1"/>
  <c r="I227" i="1" s="1"/>
  <c r="I226" i="1"/>
  <c r="H226" i="1"/>
  <c r="H225" i="1"/>
  <c r="G225" i="1"/>
  <c r="I225" i="1" s="1"/>
  <c r="H224" i="1"/>
  <c r="I224" i="1" s="1"/>
  <c r="I223" i="1"/>
  <c r="H223" i="1"/>
  <c r="H222" i="1"/>
  <c r="I222" i="1" s="1"/>
  <c r="I219" i="1"/>
  <c r="H219" i="1"/>
  <c r="I218" i="1"/>
  <c r="H218" i="1"/>
  <c r="I217" i="1"/>
  <c r="G216" i="1"/>
  <c r="I216" i="1" s="1"/>
  <c r="H215" i="1"/>
  <c r="G215" i="1"/>
  <c r="I215" i="1" s="1"/>
  <c r="H214" i="1"/>
  <c r="G214" i="1"/>
  <c r="I214" i="1" s="1"/>
  <c r="H213" i="1"/>
  <c r="G213" i="1"/>
  <c r="I213" i="1" s="1"/>
  <c r="H212" i="1"/>
  <c r="H216" i="1" s="1"/>
  <c r="G212" i="1"/>
  <c r="I212" i="1" s="1"/>
  <c r="H211" i="1"/>
  <c r="G211" i="1"/>
  <c r="I211" i="1" s="1"/>
  <c r="H210" i="1"/>
  <c r="G210" i="1"/>
  <c r="I210" i="1" s="1"/>
  <c r="H209" i="1"/>
  <c r="G209" i="1"/>
  <c r="I209" i="1" s="1"/>
  <c r="H208" i="1"/>
  <c r="G208" i="1"/>
  <c r="I208" i="1" s="1"/>
  <c r="H207" i="1"/>
  <c r="G207" i="1"/>
  <c r="I207" i="1" s="1"/>
  <c r="H206" i="1"/>
  <c r="G206" i="1"/>
  <c r="I206" i="1" s="1"/>
  <c r="H205" i="1"/>
  <c r="G205" i="1"/>
  <c r="I205" i="1" s="1"/>
  <c r="H204" i="1"/>
  <c r="G204" i="1"/>
  <c r="I204" i="1" s="1"/>
  <c r="G202" i="1"/>
  <c r="I202" i="1" s="1"/>
  <c r="I201" i="1"/>
  <c r="G201" i="1"/>
  <c r="I200" i="1"/>
  <c r="G200" i="1"/>
  <c r="G199" i="1"/>
  <c r="I199" i="1" s="1"/>
  <c r="H198" i="1"/>
  <c r="G198" i="1"/>
  <c r="I198" i="1" s="1"/>
  <c r="G197" i="1"/>
  <c r="I197" i="1" s="1"/>
  <c r="I196" i="1"/>
  <c r="G196" i="1"/>
  <c r="I195" i="1"/>
  <c r="G195" i="1"/>
  <c r="I192" i="1"/>
  <c r="H192" i="1"/>
  <c r="G192" i="1"/>
  <c r="H191" i="1"/>
  <c r="I191" i="1" s="1"/>
  <c r="I190" i="1"/>
  <c r="G190" i="1"/>
  <c r="G189" i="1"/>
  <c r="I189" i="1" s="1"/>
  <c r="H188" i="1"/>
  <c r="G188" i="1"/>
  <c r="I188" i="1" s="1"/>
  <c r="G187" i="1"/>
  <c r="I187" i="1" s="1"/>
  <c r="I185" i="1"/>
  <c r="G184" i="1"/>
  <c r="I184" i="1" s="1"/>
  <c r="G183" i="1"/>
  <c r="I183" i="1" s="1"/>
  <c r="G182" i="1"/>
  <c r="I182" i="1" s="1"/>
  <c r="I181" i="1"/>
  <c r="G181" i="1"/>
  <c r="I180" i="1"/>
  <c r="G180" i="1"/>
  <c r="G179" i="1"/>
  <c r="I179" i="1" s="1"/>
  <c r="G178" i="1"/>
  <c r="I178" i="1" s="1"/>
  <c r="I177" i="1"/>
  <c r="G177" i="1"/>
  <c r="I176" i="1"/>
  <c r="G176" i="1"/>
  <c r="G175" i="1"/>
  <c r="I175" i="1" s="1"/>
  <c r="G174" i="1"/>
  <c r="I174" i="1" s="1"/>
  <c r="I173" i="1"/>
  <c r="G173" i="1"/>
  <c r="I172" i="1"/>
  <c r="G172" i="1"/>
  <c r="G171" i="1"/>
  <c r="I171" i="1" s="1"/>
  <c r="G170" i="1"/>
  <c r="I170" i="1" s="1"/>
  <c r="I169" i="1"/>
  <c r="G169" i="1"/>
  <c r="G168" i="1"/>
  <c r="I168" i="1" s="1"/>
  <c r="G167" i="1"/>
  <c r="I167" i="1" s="1"/>
  <c r="G166" i="1"/>
  <c r="I166" i="1" s="1"/>
  <c r="I165" i="1"/>
  <c r="G165" i="1"/>
  <c r="I164" i="1"/>
  <c r="G164" i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I157" i="1"/>
  <c r="G157" i="1"/>
  <c r="I156" i="1"/>
  <c r="G156" i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I149" i="1"/>
  <c r="G149" i="1"/>
  <c r="I148" i="1"/>
  <c r="G148" i="1"/>
  <c r="I147" i="1"/>
  <c r="G147" i="1"/>
  <c r="G146" i="1"/>
  <c r="I146" i="1" s="1"/>
  <c r="G145" i="1"/>
  <c r="I145" i="1" s="1"/>
  <c r="G144" i="1"/>
  <c r="I144" i="1" s="1"/>
  <c r="G143" i="1"/>
  <c r="I143" i="1" s="1"/>
  <c r="I142" i="1"/>
  <c r="G142" i="1"/>
  <c r="I141" i="1"/>
  <c r="G141" i="1"/>
  <c r="I140" i="1"/>
  <c r="G140" i="1"/>
  <c r="I139" i="1"/>
  <c r="G139" i="1"/>
  <c r="G138" i="1"/>
  <c r="I138" i="1" s="1"/>
  <c r="G137" i="1"/>
  <c r="I137" i="1" s="1"/>
  <c r="G134" i="1"/>
  <c r="I134" i="1" s="1"/>
  <c r="G133" i="1"/>
  <c r="I133" i="1" s="1"/>
  <c r="G132" i="1"/>
  <c r="I132" i="1" s="1"/>
  <c r="G131" i="1"/>
  <c r="I131" i="1" s="1"/>
  <c r="I130" i="1"/>
  <c r="G130" i="1"/>
  <c r="I129" i="1"/>
  <c r="G129" i="1"/>
  <c r="I128" i="1"/>
  <c r="G128" i="1"/>
  <c r="I127" i="1"/>
  <c r="G127" i="1"/>
  <c r="G126" i="1"/>
  <c r="I126" i="1" s="1"/>
  <c r="G125" i="1"/>
  <c r="I125" i="1" s="1"/>
  <c r="G124" i="1"/>
  <c r="I124" i="1" s="1"/>
  <c r="G123" i="1"/>
  <c r="I123" i="1" s="1"/>
  <c r="G122" i="1"/>
  <c r="I122" i="1" s="1"/>
  <c r="I121" i="1"/>
  <c r="G121" i="1"/>
  <c r="I120" i="1"/>
  <c r="G120" i="1"/>
  <c r="I119" i="1"/>
  <c r="G119" i="1"/>
  <c r="G118" i="1"/>
  <c r="I118" i="1" s="1"/>
  <c r="G117" i="1"/>
  <c r="I117" i="1" s="1"/>
  <c r="G116" i="1"/>
  <c r="I116" i="1" s="1"/>
  <c r="G115" i="1"/>
  <c r="I115" i="1" s="1"/>
  <c r="G114" i="1"/>
  <c r="I114" i="1" s="1"/>
  <c r="I113" i="1"/>
  <c r="G113" i="1"/>
  <c r="I110" i="1"/>
  <c r="G110" i="1"/>
  <c r="I109" i="1"/>
  <c r="G109" i="1"/>
  <c r="I108" i="1"/>
  <c r="G108" i="1"/>
  <c r="I107" i="1"/>
  <c r="G107" i="1"/>
  <c r="G106" i="1"/>
  <c r="I106" i="1" s="1"/>
  <c r="G105" i="1"/>
  <c r="I105" i="1" s="1"/>
  <c r="G104" i="1"/>
  <c r="I104" i="1" s="1"/>
  <c r="G103" i="1"/>
  <c r="I103" i="1" s="1"/>
  <c r="G102" i="1"/>
  <c r="I102" i="1" s="1"/>
  <c r="I111" i="1" s="1"/>
  <c r="I101" i="1"/>
  <c r="G101" i="1"/>
  <c r="I100" i="1"/>
  <c r="G100" i="1"/>
  <c r="N97" i="1"/>
  <c r="G97" i="1"/>
  <c r="I97" i="1" s="1"/>
  <c r="G96" i="1"/>
  <c r="I96" i="1" s="1"/>
  <c r="G95" i="1"/>
  <c r="I95" i="1" s="1"/>
  <c r="G94" i="1"/>
  <c r="I94" i="1" s="1"/>
  <c r="I93" i="1"/>
  <c r="H93" i="1"/>
  <c r="G93" i="1"/>
  <c r="N92" i="1"/>
  <c r="G92" i="1"/>
  <c r="I92" i="1" s="1"/>
  <c r="I98" i="1" s="1"/>
  <c r="G89" i="1"/>
  <c r="I89" i="1" s="1"/>
  <c r="G88" i="1"/>
  <c r="I88" i="1" s="1"/>
  <c r="G87" i="1"/>
  <c r="I87" i="1" s="1"/>
  <c r="I86" i="1"/>
  <c r="H86" i="1"/>
  <c r="G86" i="1"/>
  <c r="H85" i="1"/>
  <c r="G85" i="1"/>
  <c r="I82" i="1"/>
  <c r="I81" i="1"/>
  <c r="G81" i="1"/>
  <c r="I80" i="1"/>
  <c r="H80" i="1"/>
  <c r="G80" i="1"/>
  <c r="G79" i="1"/>
  <c r="I79" i="1" s="1"/>
  <c r="H78" i="1"/>
  <c r="I78" i="1" s="1"/>
  <c r="G78" i="1"/>
  <c r="I77" i="1"/>
  <c r="G77" i="1"/>
  <c r="G76" i="1"/>
  <c r="I76" i="1" s="1"/>
  <c r="G75" i="1"/>
  <c r="I75" i="1" s="1"/>
  <c r="G74" i="1"/>
  <c r="I74" i="1" s="1"/>
  <c r="H73" i="1"/>
  <c r="I73" i="1" s="1"/>
  <c r="G73" i="1"/>
  <c r="H72" i="1"/>
  <c r="G72" i="1"/>
  <c r="I72" i="1" s="1"/>
  <c r="I69" i="1"/>
  <c r="G69" i="1"/>
  <c r="I68" i="1"/>
  <c r="I67" i="1"/>
  <c r="G67" i="1"/>
  <c r="I66" i="1"/>
  <c r="G66" i="1"/>
  <c r="G65" i="1"/>
  <c r="I65" i="1" s="1"/>
  <c r="G64" i="1"/>
  <c r="I64" i="1" s="1"/>
  <c r="G63" i="1"/>
  <c r="I63" i="1" s="1"/>
  <c r="G62" i="1"/>
  <c r="I62" i="1" s="1"/>
  <c r="I61" i="1"/>
  <c r="G61" i="1"/>
  <c r="I60" i="1"/>
  <c r="G60" i="1"/>
  <c r="I59" i="1"/>
  <c r="H59" i="1"/>
  <c r="G59" i="1"/>
  <c r="J58" i="1"/>
  <c r="I58" i="1"/>
  <c r="G58" i="1"/>
  <c r="I57" i="1"/>
  <c r="G57" i="1"/>
  <c r="I56" i="1"/>
  <c r="G56" i="1"/>
  <c r="G55" i="1"/>
  <c r="I55" i="1" s="1"/>
  <c r="H54" i="1"/>
  <c r="G54" i="1"/>
  <c r="I54" i="1" s="1"/>
  <c r="J53" i="1"/>
  <c r="G53" i="1"/>
  <c r="I53" i="1" s="1"/>
  <c r="G52" i="1"/>
  <c r="I52" i="1" s="1"/>
  <c r="G51" i="1"/>
  <c r="I51" i="1" s="1"/>
  <c r="G50" i="1"/>
  <c r="I50" i="1" s="1"/>
  <c r="I49" i="1"/>
  <c r="G49" i="1"/>
  <c r="I46" i="1"/>
  <c r="G46" i="1"/>
  <c r="I45" i="1"/>
  <c r="G45" i="1"/>
  <c r="I44" i="1"/>
  <c r="G44" i="1"/>
  <c r="G43" i="1"/>
  <c r="I43" i="1" s="1"/>
  <c r="G41" i="1"/>
  <c r="I41" i="1" s="1"/>
  <c r="G40" i="1"/>
  <c r="I40" i="1" s="1"/>
  <c r="G39" i="1"/>
  <c r="I39" i="1" s="1"/>
  <c r="G38" i="1"/>
  <c r="I38" i="1" s="1"/>
  <c r="I37" i="1"/>
  <c r="G37" i="1"/>
  <c r="I36" i="1"/>
  <c r="G36" i="1"/>
  <c r="I34" i="1"/>
  <c r="G34" i="1"/>
  <c r="G33" i="1"/>
  <c r="I33" i="1" s="1"/>
  <c r="G32" i="1"/>
  <c r="I32" i="1" s="1"/>
  <c r="G31" i="1"/>
  <c r="I31" i="1" s="1"/>
  <c r="G30" i="1"/>
  <c r="I30" i="1" s="1"/>
  <c r="I29" i="1"/>
  <c r="G29" i="1"/>
  <c r="I27" i="1"/>
  <c r="G27" i="1"/>
  <c r="I26" i="1"/>
  <c r="G26" i="1"/>
  <c r="I25" i="1"/>
  <c r="G25" i="1"/>
  <c r="G24" i="1"/>
  <c r="I24" i="1" s="1"/>
  <c r="G23" i="1"/>
  <c r="I23" i="1" s="1"/>
  <c r="G22" i="1"/>
  <c r="I22" i="1" s="1"/>
  <c r="H20" i="1"/>
  <c r="I20" i="1" s="1"/>
  <c r="G20" i="1"/>
  <c r="I19" i="1"/>
  <c r="G19" i="1"/>
  <c r="G18" i="1"/>
  <c r="I18" i="1" s="1"/>
  <c r="G17" i="1"/>
  <c r="I17" i="1" s="1"/>
  <c r="G15" i="1"/>
  <c r="I15" i="1" s="1"/>
  <c r="I13" i="1"/>
  <c r="G13" i="1"/>
  <c r="I12" i="1"/>
  <c r="G12" i="1"/>
  <c r="G11" i="1"/>
  <c r="I11" i="1" s="1"/>
  <c r="A11" i="1"/>
  <c r="A12" i="1" s="1"/>
  <c r="A13" i="1" s="1"/>
  <c r="A14" i="1" s="1"/>
  <c r="A15" i="1" s="1"/>
  <c r="A17" i="1" s="1"/>
  <c r="A18" i="1" s="1"/>
  <c r="A19" i="1" s="1"/>
  <c r="A20" i="1" s="1"/>
  <c r="A22" i="1" s="1"/>
  <c r="A23" i="1" s="1"/>
  <c r="A24" i="1" s="1"/>
  <c r="A25" i="1" s="1"/>
  <c r="A26" i="1" s="1"/>
  <c r="A27" i="1" s="1"/>
  <c r="A29" i="1" s="1"/>
  <c r="A30" i="1" s="1"/>
  <c r="A31" i="1" s="1"/>
  <c r="A32" i="1" s="1"/>
  <c r="A33" i="1" s="1"/>
  <c r="A34" i="1" s="1"/>
  <c r="A36" i="1" s="1"/>
  <c r="A37" i="1" s="1"/>
  <c r="A38" i="1" s="1"/>
  <c r="A39" i="1" s="1"/>
  <c r="A40" i="1" s="1"/>
  <c r="A41" i="1" s="1"/>
  <c r="A43" i="1" s="1"/>
  <c r="A44" i="1" s="1"/>
  <c r="A45" i="1" s="1"/>
  <c r="A46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5" i="1" s="1"/>
  <c r="A86" i="1" s="1"/>
  <c r="A87" i="1" s="1"/>
  <c r="A88" i="1" s="1"/>
  <c r="A89" i="1" s="1"/>
  <c r="A90" i="1" s="1"/>
  <c r="A92" i="1" s="1"/>
  <c r="A93" i="1" s="1"/>
  <c r="A94" i="1" s="1"/>
  <c r="A95" i="1" s="1"/>
  <c r="A96" i="1" s="1"/>
  <c r="A97" i="1" s="1"/>
  <c r="A98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5" i="1" s="1"/>
  <c r="A196" i="1" s="1"/>
  <c r="A197" i="1" s="1"/>
  <c r="A198" i="1" s="1"/>
  <c r="A199" i="1" s="1"/>
  <c r="A200" i="1" s="1"/>
  <c r="A201" i="1" s="1"/>
  <c r="A202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8" i="1" s="1"/>
  <c r="A259" i="1" s="1"/>
  <c r="A260" i="1" s="1"/>
  <c r="A261" i="1" s="1"/>
  <c r="A262" i="1" s="1"/>
  <c r="A263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1" i="1" s="1"/>
  <c r="A292" i="1" s="1"/>
  <c r="A293" i="1" s="1"/>
  <c r="A294" i="1" s="1"/>
  <c r="A295" i="1" s="1"/>
  <c r="A296" i="1" s="1"/>
  <c r="A297" i="1" s="1"/>
  <c r="A298" i="1" s="1"/>
  <c r="A299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6" i="1" s="1"/>
  <c r="A327" i="1" s="1"/>
  <c r="A328" i="1" s="1"/>
  <c r="A329" i="1" s="1"/>
  <c r="A330" i="1" s="1"/>
  <c r="A331" i="1" s="1"/>
  <c r="A332" i="1" s="1"/>
  <c r="A333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7" i="1" s="1"/>
  <c r="A408" i="1" s="1"/>
  <c r="A409" i="1" s="1"/>
  <c r="A410" i="1" s="1"/>
  <c r="A411" i="1" s="1"/>
  <c r="A412" i="1" s="1"/>
  <c r="A413" i="1" s="1"/>
  <c r="A414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4" i="1" s="1"/>
  <c r="A455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40" i="1" s="1"/>
  <c r="A941" i="1" s="1"/>
  <c r="A942" i="1" s="1"/>
  <c r="A943" i="1" s="1"/>
  <c r="A944" i="1" s="1"/>
  <c r="A945" i="1" s="1"/>
  <c r="A946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9" i="1" s="1"/>
  <c r="A980" i="1" s="1"/>
  <c r="A981" i="1" s="1"/>
  <c r="A982" i="1" s="1"/>
  <c r="A983" i="1" s="1"/>
  <c r="A984" i="1" s="1"/>
  <c r="A985" i="1" s="1"/>
  <c r="A986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7" i="1" s="1"/>
  <c r="A1178" i="1" s="1"/>
  <c r="A1179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G10" i="1"/>
  <c r="I10" i="1" s="1"/>
  <c r="A10" i="1"/>
  <c r="G9" i="1"/>
  <c r="I9" i="1" s="1"/>
  <c r="A9" i="1"/>
  <c r="I90" i="1" l="1"/>
  <c r="A1318" i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16" i="1"/>
  <c r="I537" i="1"/>
  <c r="I566" i="1"/>
  <c r="I193" i="1"/>
  <c r="I713" i="1"/>
  <c r="I510" i="1"/>
  <c r="I220" i="1"/>
  <c r="I135" i="1"/>
  <c r="I85" i="1"/>
  <c r="I238" i="1"/>
  <c r="I824" i="1"/>
  <c r="I423" i="1"/>
  <c r="I479" i="1" s="1"/>
  <c r="I631" i="1"/>
  <c r="I1045" i="1"/>
  <c r="I1070" i="1" s="1"/>
  <c r="I582" i="1"/>
  <c r="I772" i="1"/>
  <c r="I657" i="1"/>
  <c r="I883" i="1"/>
  <c r="I1133" i="1"/>
  <c r="I256" i="1"/>
  <c r="I746" i="1"/>
  <c r="I924" i="1"/>
  <c r="I499" i="1"/>
  <c r="I294" i="1"/>
  <c r="I425" i="1"/>
  <c r="I452" i="1"/>
  <c r="I606" i="1"/>
  <c r="I685" i="1"/>
  <c r="I1153" i="1"/>
  <c r="I946" i="1"/>
  <c r="I859" i="1"/>
  <c r="H1045" i="1"/>
  <c r="I1046" i="1"/>
  <c r="I903" i="1"/>
  <c r="I1186" i="1"/>
  <c r="I1221" i="1" s="1"/>
  <c r="I1580" i="1"/>
  <c r="I1049" i="1"/>
  <c r="H2259" i="1"/>
  <c r="I2259" i="1" s="1"/>
  <c r="I2248" i="1"/>
  <c r="I1358" i="1"/>
  <c r="I1677" i="1"/>
  <c r="I1232" i="1"/>
  <c r="I1316" i="1" s="1"/>
  <c r="I1716" i="1"/>
  <c r="I1381" i="1"/>
  <c r="I1457" i="1"/>
  <c r="I2059" i="1"/>
  <c r="I2383" i="1"/>
  <c r="I1704" i="1"/>
  <c r="I1843" i="1"/>
  <c r="I1745" i="1"/>
  <c r="I1828" i="1"/>
  <c r="H2233" i="1"/>
  <c r="I2233" i="1" s="1"/>
  <c r="I2232" i="1"/>
  <c r="I1866" i="1"/>
  <c r="I1963" i="1"/>
  <c r="I2401" i="1"/>
  <c r="I2072" i="1"/>
  <c r="I1914" i="1"/>
  <c r="I2006" i="1"/>
  <c r="I2249" i="1"/>
  <c r="I2209" i="1"/>
  <c r="I2313" i="1"/>
  <c r="I2320" i="1" s="1"/>
  <c r="I2330" i="1"/>
  <c r="I2334" i="1" s="1"/>
  <c r="I2368" i="1"/>
  <c r="H2234" i="1"/>
  <c r="H2236" i="1"/>
  <c r="H2231" i="1"/>
  <c r="I2231" i="1" s="1"/>
  <c r="H2238" i="1"/>
  <c r="I2238" i="1" s="1"/>
  <c r="I2282" i="1"/>
  <c r="I2087" i="1"/>
  <c r="I2100" i="1"/>
  <c r="I2239" i="1"/>
  <c r="I2315" i="1"/>
  <c r="I2328" i="1"/>
  <c r="I2332" i="1"/>
  <c r="I2340" i="1"/>
  <c r="I2351" i="1" s="1"/>
  <c r="I2345" i="1"/>
  <c r="I2297" i="1"/>
  <c r="I2304" i="1" s="1"/>
  <c r="I2245" i="1" l="1"/>
  <c r="I2404" i="1"/>
  <c r="I2407" i="1" s="1"/>
  <c r="I2406" i="1" s="1"/>
  <c r="I2266" i="1"/>
  <c r="I2236" i="1"/>
  <c r="H2237" i="1"/>
  <c r="I2237" i="1" s="1"/>
  <c r="H2235" i="1"/>
  <c r="I2235" i="1" s="1"/>
  <c r="I2234" i="1"/>
  <c r="A1349" i="1"/>
  <c r="A1350" i="1"/>
  <c r="A1351" i="1" s="1"/>
  <c r="A1352" i="1" s="1"/>
  <c r="A1353" i="1" s="1"/>
  <c r="A1354" i="1" s="1"/>
  <c r="A1355" i="1" s="1"/>
  <c r="A1356" i="1" s="1"/>
  <c r="A1357" i="1" s="1"/>
  <c r="A1358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l="1"/>
  <c r="A1374" i="1"/>
  <c r="A1375" i="1" s="1"/>
  <c r="A1376" i="1" s="1"/>
  <c r="A1377" i="1" s="1"/>
  <c r="A1378" i="1" s="1"/>
  <c r="A1379" i="1" s="1"/>
  <c r="A1380" i="1" s="1"/>
  <c r="A1381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9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6" i="1" s="1"/>
  <c r="A1497" i="1" s="1"/>
  <c r="A1498" i="1" s="1"/>
  <c r="A1499" i="1" s="1"/>
  <c r="A1500" i="1" s="1"/>
  <c r="A1501" i="1" s="1"/>
  <c r="A1502" i="1" s="1"/>
  <c r="A1504" i="1" s="1"/>
  <c r="A1505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5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2" i="1" s="1"/>
  <c r="A1583" i="1" s="1"/>
  <c r="A1584" i="1" s="1"/>
  <c r="A1585" i="1" s="1"/>
  <c r="A1586" i="1" s="1"/>
  <c r="A1587" i="1" s="1"/>
  <c r="A1588" i="1" s="1"/>
  <c r="A1589" i="1" s="1"/>
  <c r="A1591" i="1" s="1"/>
  <c r="A1592" i="1" s="1"/>
  <c r="A1593" i="1" s="1"/>
  <c r="A1594" i="1" s="1"/>
  <c r="A1595" i="1" s="1"/>
  <c r="A1596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5" i="1" s="1"/>
  <c r="A1636" i="1" s="1"/>
  <c r="A1637" i="1" s="1"/>
  <c r="A1638" i="1" s="1"/>
  <c r="A1639" i="1" s="1"/>
  <c r="A1640" i="1" s="1"/>
  <c r="A1641" i="1" s="1"/>
  <c r="A1643" i="1" s="1"/>
  <c r="A1644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9" i="1" s="1"/>
  <c r="A1682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2" i="1" s="1"/>
  <c r="A1735" i="1" l="1"/>
  <c r="A1738" i="1" s="1"/>
  <c r="A1741" i="1" s="1"/>
  <c r="A1733" i="1"/>
  <c r="A1736" i="1" l="1"/>
  <c r="A1739" i="1" s="1"/>
  <c r="A1742" i="1" s="1"/>
  <c r="A1734" i="1"/>
  <c r="A1737" i="1" s="1"/>
  <c r="A1740" i="1" s="1"/>
  <c r="A1743" i="1" s="1"/>
  <c r="A1744" i="1" s="1"/>
  <c r="A1745" i="1" s="1"/>
  <c r="A1747" i="1" s="1"/>
  <c r="A1748" i="1" s="1"/>
  <c r="A1749" i="1" s="1"/>
  <c r="A1750" i="1" s="1"/>
  <c r="A1751" i="1" s="1"/>
  <c r="A1752" i="1" s="1"/>
  <c r="A1753" i="1" s="1"/>
  <c r="A1754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81" i="1" s="1"/>
  <c r="A1782" i="1" s="1"/>
  <c r="A1783" i="1" s="1"/>
  <c r="A1784" i="1" s="1"/>
  <c r="A1785" i="1" s="1"/>
  <c r="A1786" i="1" s="1"/>
  <c r="A1787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7" i="1" s="1"/>
  <c r="A1808" i="1" s="1"/>
  <c r="A1809" i="1" s="1"/>
  <c r="A1810" i="1" s="1"/>
  <c r="A1811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30" i="1" l="1"/>
  <c r="A1831" i="1" s="1"/>
  <c r="A1832" i="1" s="1"/>
  <c r="A1833" i="1" s="1"/>
  <c r="A1834" i="1" s="1"/>
  <c r="A1836" i="1" s="1"/>
  <c r="A1837" i="1" s="1"/>
  <c r="A1838" i="1" s="1"/>
  <c r="A1839" i="1" s="1"/>
  <c r="A1840" i="1" s="1"/>
  <c r="A1841" i="1" s="1"/>
  <c r="A1842" i="1" s="1"/>
  <c r="A1828" i="1"/>
  <c r="A1843" i="1" l="1"/>
  <c r="A1845" i="1"/>
  <c r="A1846" i="1" s="1"/>
  <c r="A1849" i="1" s="1"/>
  <c r="A1850" i="1" s="1"/>
  <c r="A1851" i="1" s="1"/>
  <c r="A1852" i="1" s="1"/>
  <c r="A1853" i="1" s="1"/>
  <c r="A1855" i="1" s="1"/>
  <c r="A1856" i="1" s="1"/>
  <c r="A1857" i="1" s="1"/>
  <c r="A1860" i="1" s="1"/>
  <c r="A1861" i="1" s="1"/>
  <c r="A1862" i="1" s="1"/>
  <c r="A1863" i="1" s="1"/>
  <c r="A1864" i="1" s="1"/>
  <c r="A1865" i="1" s="1"/>
  <c r="A1868" i="1" l="1"/>
  <c r="A1869" i="1" s="1"/>
  <c r="A1870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866" i="1"/>
  <c r="A1916" i="1" l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9" i="1" s="1"/>
  <c r="A1930" i="1" s="1"/>
  <c r="A1931" i="1" s="1"/>
  <c r="A1932" i="1" s="1"/>
  <c r="A1933" i="1" s="1"/>
  <c r="A1914" i="1"/>
  <c r="A1935" i="1" l="1"/>
  <c r="A1937" i="1" s="1"/>
  <c r="A1938" i="1" s="1"/>
  <c r="A1939" i="1" s="1"/>
  <c r="A1941" i="1" s="1"/>
  <c r="A1942" i="1" s="1"/>
  <c r="A1943" i="1" s="1"/>
  <c r="A1944" i="1" s="1"/>
  <c r="A1934" i="1"/>
  <c r="A1946" i="1" l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45" i="1"/>
  <c r="A1963" i="1" l="1"/>
  <c r="A1965" i="1"/>
  <c r="A1966" i="1" s="1"/>
  <c r="A1967" i="1" s="1"/>
  <c r="A1968" i="1" s="1"/>
  <c r="A1969" i="1" s="1"/>
  <c r="A1970" i="1" s="1"/>
  <c r="A1971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9" i="1" l="1"/>
  <c r="A2010" i="1" s="1"/>
  <c r="A2011" i="1" s="1"/>
  <c r="A2012" i="1" s="1"/>
  <c r="A2013" i="1" s="1"/>
  <c r="A2014" i="1" s="1"/>
  <c r="A2015" i="1" s="1"/>
  <c r="A2016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06" i="1"/>
  <c r="A2042" i="1" l="1"/>
  <c r="A2045" i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61" i="1" l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59" i="1"/>
  <c r="A2074" i="1" l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72" i="1"/>
  <c r="A2089" i="1" l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087" i="1"/>
  <c r="A2100" i="1" l="1"/>
  <c r="A2102" i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l="1"/>
  <c r="A2131" i="1"/>
  <c r="A2134" i="1" s="1"/>
  <c r="A2136" i="1" s="1"/>
  <c r="A2139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2" i="1" s="1"/>
  <c r="A2153" i="1" s="1"/>
  <c r="A2154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6" i="1" s="1"/>
  <c r="A2307" i="1" s="1"/>
  <c r="A2308" i="1" s="1"/>
  <c r="A2309" i="1" s="1"/>
  <c r="A2310" i="1" s="1"/>
  <c r="A2311" i="1" s="1"/>
  <c r="A2313" i="1" s="1"/>
  <c r="A2314" i="1" s="1"/>
  <c r="A2315" i="1" s="1"/>
  <c r="A2316" i="1" s="1"/>
  <c r="A2317" i="1" s="1"/>
  <c r="A2318" i="1" s="1"/>
  <c r="A2319" i="1" s="1"/>
  <c r="A2320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8" i="1" s="1"/>
  <c r="A2349" i="1" s="1"/>
  <c r="A2350" i="1" s="1"/>
  <c r="A2351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</calcChain>
</file>

<file path=xl/sharedStrings.xml><?xml version="1.0" encoding="utf-8"?>
<sst xmlns="http://schemas.openxmlformats.org/spreadsheetml/2006/main" count="9446" uniqueCount="3578">
  <si>
    <t>item Ref.</t>
  </si>
  <si>
    <t>Name of works and expenses</t>
  </si>
  <si>
    <t>Найменування робіт та витрат</t>
  </si>
  <si>
    <t>Одиниця
виміру</t>
  </si>
  <si>
    <t>Quantity / Кількість</t>
  </si>
  <si>
    <t>pcs</t>
  </si>
  <si>
    <t>шт</t>
  </si>
  <si>
    <t>Розбирання покриттів підлог з керамічних плиток з плінтусом з керамічної  плитки</t>
  </si>
  <si>
    <t>m2</t>
  </si>
  <si>
    <t>м2</t>
  </si>
  <si>
    <t>Демонтаж підсвісних стель з гіпсокартнону з каркасом</t>
  </si>
  <si>
    <t>Знімання плит підвісних стель "Армстронг"</t>
  </si>
  <si>
    <t>Розбирання каркасу пдвісних стель  "Армстронг"</t>
  </si>
  <si>
    <t>Розбирання цегляних перегородок</t>
  </si>
  <si>
    <t>1 м3</t>
  </si>
  <si>
    <t>Розбирання кам'яної кладки простих стін із цегли</t>
  </si>
  <si>
    <t>Розбирання кам'яної кладки простих стін із цегли (розширення отворів)</t>
  </si>
  <si>
    <t>m3</t>
  </si>
  <si>
    <t xml:space="preserve"> м3</t>
  </si>
  <si>
    <t>Демонтаж дверних коробок в кам'яних стінах з відбиванням штукатурки в укосах</t>
  </si>
  <si>
    <t>Знімання дверних полотен</t>
  </si>
  <si>
    <t xml:space="preserve"> м2</t>
  </si>
  <si>
    <t>Розбирання облицювання стін з керамічних глазурованих плиток</t>
  </si>
  <si>
    <t>Відбивання штукатурки по цеглі та бетону зі стін та стель, площа відбивання в одному місці більше 5м2</t>
  </si>
  <si>
    <t>Демонтаж електропроводки</t>
  </si>
  <si>
    <t>m</t>
  </si>
  <si>
    <t>м</t>
  </si>
  <si>
    <t>Демонтаж труб сталевих до 50мм</t>
  </si>
  <si>
    <t>Демонтаж труб пластикових до 50мм</t>
  </si>
  <si>
    <t>Демонтаж труб каналізаційних до 110мм</t>
  </si>
  <si>
    <t>Демонтаж коробів вентиляції</t>
  </si>
  <si>
    <t>Демонтаж вентиляційних решіток, анемостатів</t>
  </si>
  <si>
    <t>Демонтаж електрофурнітури</t>
  </si>
  <si>
    <t>Демонтаж світильників</t>
  </si>
  <si>
    <t>Демонтаж раковин [умивальників]</t>
  </si>
  <si>
    <t>Демонтаж унітазів зі змивними бачками</t>
  </si>
  <si>
    <t>Демонтаж запірної арматури до 50мм</t>
  </si>
  <si>
    <t>Демонтаж радіаторів опалення</t>
  </si>
  <si>
    <t>Демонтаж електричних щитків</t>
  </si>
  <si>
    <t>Демонтаж пожежних датчиків</t>
  </si>
  <si>
    <t>Демонтаж ревізійних лючків</t>
  </si>
  <si>
    <t>Демонтаж існуючого обладнання для стерилізації</t>
  </si>
  <si>
    <t>т</t>
  </si>
  <si>
    <t>м3</t>
  </si>
  <si>
    <t>kg</t>
  </si>
  <si>
    <t>кг</t>
  </si>
  <si>
    <t>Self-tapping screws</t>
  </si>
  <si>
    <t>Шурупи самонарізні</t>
  </si>
  <si>
    <t>set</t>
  </si>
  <si>
    <t>комплект</t>
  </si>
  <si>
    <t>Deep penetration primer</t>
  </si>
  <si>
    <t>Ґрунтовка глибокого проникнення</t>
  </si>
  <si>
    <t>l</t>
  </si>
  <si>
    <t>л</t>
  </si>
  <si>
    <t>Укладання плит стельових в каркас стелі</t>
  </si>
  <si>
    <t>Тяга підвісу</t>
  </si>
  <si>
    <t>1 t</t>
  </si>
  <si>
    <t>1 т</t>
  </si>
  <si>
    <t>Пісок природний, рядовий</t>
  </si>
  <si>
    <t>1t</t>
  </si>
  <si>
    <t>1т</t>
  </si>
  <si>
    <t/>
  </si>
  <si>
    <t>номер</t>
  </si>
  <si>
    <t>ящик</t>
  </si>
  <si>
    <t>клапан</t>
  </si>
  <si>
    <t>грати</t>
  </si>
  <si>
    <t>kW</t>
  </si>
  <si>
    <t>кВт</t>
  </si>
  <si>
    <t>Materials</t>
  </si>
  <si>
    <t>Матеріали</t>
  </si>
  <si>
    <t>Installation of single washbasins with cold and hot water supply</t>
  </si>
  <si>
    <t>Installing toilets with a directly connected cistern</t>
  </si>
  <si>
    <t>Установлення трапів діаметром 100 мм</t>
  </si>
  <si>
    <t>ПДВ - %</t>
  </si>
  <si>
    <t>BILL OF QUANTITIES/ Відомість об'ємів робіт та необхідних матеріалів</t>
  </si>
  <si>
    <t>Reconstruction of the Shpytky Academic Lyceum ‘Scythian’ of the Dmitrovsky village
Council, Bucha district, Kyiv region, Shpytky village, 24 Pokrovska str.</t>
  </si>
  <si>
    <t>No</t>
  </si>
  <si>
    <t>Unit / Одиниця виміру</t>
  </si>
  <si>
    <t>Unit price, UAH / Вартість одиниці, грн.</t>
  </si>
  <si>
    <t>Quantity / Загальна кількість</t>
  </si>
  <si>
    <t>Total price, UAH / Загальна вартість, грн.</t>
  </si>
  <si>
    <t>Object estimate 02-01 "Reconstruction of the Shpytki Academic Lyceum "Skif" of the Dmytrivka Village Council, Buchansky district, Kyiv region, Shpytki village, Pokrovska street, 24"</t>
  </si>
  <si>
    <t>Об'єктний кошторис 02-01 «Реконструкція Шпитьківського академічного ліцею "Скіф" Дмитрівської сільської ради, Бучанського району Київської області,  с.Шпитьки, вул. Покровська, 24»</t>
  </si>
  <si>
    <t>Local estimate 01-01-01 for Dismantling work</t>
  </si>
  <si>
    <t>Локальний кошторис 01-01-01 на
Демонтажні роботи</t>
  </si>
  <si>
    <t xml:space="preserve"> PORCHES</t>
  </si>
  <si>
    <t xml:space="preserve">ГАНКИ
</t>
  </si>
  <si>
    <t>Dismantling of stairwells from the ground base</t>
  </si>
  <si>
    <t>Розбирання сходових маршів по основі із ґрунту</t>
  </si>
  <si>
    <t>1 m2</t>
  </si>
  <si>
    <t>1м2</t>
  </si>
  <si>
    <t>Dismantling of monolithic reinforced concrete platforms using metal beams</t>
  </si>
  <si>
    <t>Розбирання монолітних залізобетонних
площадок по металевих балках</t>
  </si>
  <si>
    <t>1 м2</t>
  </si>
  <si>
    <t>Dismantling of concrete porch platforms</t>
  </si>
  <si>
    <t>Розбирання з/б площадок ганків</t>
  </si>
  <si>
    <t>(Dismantling) Arrangement of coverings from small-sized figured paving elements [FEM]</t>
  </si>
  <si>
    <t>(Демонтаж) Улаштування покриттів з
дрібнорозмірних фігурних елементів
мощення [ФЭМ]</t>
  </si>
  <si>
    <t>(Dismantling) Covering a porch canopy with siding</t>
  </si>
  <si>
    <t>(Демонтаж) Підшивка навісу ганку
сайдингом</t>
  </si>
  <si>
    <t xml:space="preserve"> OVERLAP</t>
  </si>
  <si>
    <t xml:space="preserve">ПЕРЕКРИТТЯ
</t>
  </si>
  <si>
    <t>(Dismantling) Laying of beamless floor slabs in multi-storey buildings with the largest mass of installation elements in the building up to 8 tons</t>
  </si>
  <si>
    <t>(Демонтаж) Укладання в
багатоповерхових будівлях прогонових
плит безбалкового перекриття при
найбільшій масі монтажних елементів у
будівлі до 8 т</t>
  </si>
  <si>
    <t>1pcs</t>
  </si>
  <si>
    <t>1шт</t>
  </si>
  <si>
    <t xml:space="preserve"> ROOFING</t>
  </si>
  <si>
    <t xml:space="preserve">ПОКРІВЛЛЯ
</t>
  </si>
  <si>
    <t xml:space="preserve">СТ 23 АР </t>
  </si>
  <si>
    <t>Dismantling of laths [latticework] from boards with transparencies</t>
  </si>
  <si>
    <t>Розбирання лат [решетування] з дощок з
прозорами</t>
  </si>
  <si>
    <t>(Dismantling) Installation of pitched roofs made of three layers of roofing roll materials on bitumen mastic</t>
  </si>
  <si>
    <t>(Демонтаж) Улаштування покрівель
скатних із трьох шарів покрівельних
рулонних матеріалів на бітумній мастиці</t>
  </si>
  <si>
    <t>(Dismantling) Installation of cement-sand leveling screeds 15 mm thick</t>
  </si>
  <si>
    <t>(Демонтаж) Улаштування вирівнюючих
стяжок цементно-піщаних товщиною 15
мм</t>
  </si>
  <si>
    <t>Dismantling of sheet steel roof coverings</t>
  </si>
  <si>
    <t>Розбирання покриття покрівель з
листової сталі</t>
  </si>
  <si>
    <t xml:space="preserve"> WALLS</t>
  </si>
  <si>
    <t xml:space="preserve">СТІНИ
</t>
  </si>
  <si>
    <t>Dismantling reinforced concrete walls</t>
  </si>
  <si>
    <t>Розбирання стін залізобетонних</t>
  </si>
  <si>
    <t>Dismantling brick walls</t>
  </si>
  <si>
    <t>Розбирання цегляних стін</t>
  </si>
  <si>
    <t>Punching holes in brick structures</t>
  </si>
  <si>
    <t>Пробивання прорізів в конструкціях з
цегли</t>
  </si>
  <si>
    <t>Dismantling small block walls</t>
  </si>
  <si>
    <t>Розбирання дрібноблочних стін</t>
  </si>
  <si>
    <t>Dismantling mineral wool insulation</t>
  </si>
  <si>
    <t>Розбирання ізоляції з мінеральної вати</t>
  </si>
  <si>
    <t>Peeling plaster from brick wall and ceiling surfaces</t>
  </si>
  <si>
    <t>Відбивання штукатурки з поверхонь
цегляних стін і стелі</t>
  </si>
  <si>
    <t xml:space="preserve"> FLOORS</t>
  </si>
  <si>
    <t xml:space="preserve">ПІДЛОГИ
</t>
  </si>
  <si>
    <t>Dismantling concrete floor slabs</t>
  </si>
  <si>
    <t>Розбирання бетонних плит підлоги</t>
  </si>
  <si>
    <t>Dismantling of monolithic reinforced concrete ventilation</t>
  </si>
  <si>
    <t>Розбирання монолітних залізобетонних
перекриттів вентшахти</t>
  </si>
  <si>
    <t>Dismantling the base for a concrete floor on gravel</t>
  </si>
  <si>
    <t>Розбирання основи під підлогу з бетону
на гравії</t>
  </si>
  <si>
    <t>Dismantling linoleum and relin flooring</t>
  </si>
  <si>
    <t>Розбирання покриттів підлог з лінолеуму
та реліну</t>
  </si>
  <si>
    <t>Dismantling ceramic tile floors</t>
  </si>
  <si>
    <t>Розбирання покриттів підлог з
керамічних плиток</t>
  </si>
  <si>
    <t>(Dismantling) Arrangement of expanded clay conc</t>
  </si>
  <si>
    <t>(Демонтаж) Улаштування
керамзитобетонної стяжки</t>
  </si>
  <si>
    <t xml:space="preserve"> PROSE</t>
  </si>
  <si>
    <t xml:space="preserve">ПРОЗІЗИ
</t>
  </si>
  <si>
    <t xml:space="preserve">СТ 22 АР </t>
  </si>
  <si>
    <t>Removing glazed window frames</t>
  </si>
  <si>
    <t>Знімання засклених віконних рам</t>
  </si>
  <si>
    <t>Removing wooden window sills in stone buildings</t>
  </si>
  <si>
    <t>Знімання дерев'яних підвіконних дощок в
кам'яних будівлях</t>
  </si>
  <si>
    <t>Dismantling window boxes in stone walls with plaster peeling off in the slopes</t>
  </si>
  <si>
    <t>Демонтаж віконних коробок в кам'яних
стінах з відбиванням штукатурки в укосах</t>
  </si>
  <si>
    <t>МОНТАЖ, СТ 40 АР</t>
  </si>
  <si>
    <t>Dismantling door frames in stone walls with plaster peeling off in the slopes</t>
  </si>
  <si>
    <t>Демонтаж дверних коробок в кам'яних
стінах з відбиванням штукатурки в укосах</t>
  </si>
  <si>
    <t>Removing door panels</t>
  </si>
  <si>
    <t>Removing trims</t>
  </si>
  <si>
    <t>Знімання наличників</t>
  </si>
  <si>
    <t>OTHER</t>
  </si>
  <si>
    <t>ІНШЕ</t>
  </si>
  <si>
    <t>Cleaning premises from garbage</t>
  </si>
  <si>
    <t>Очищення приміщень від сміття</t>
  </si>
  <si>
    <t>Garbage transportation up to 30 km</t>
  </si>
  <si>
    <t>Перевезення сміття до 30 км</t>
  </si>
  <si>
    <t>Manual garbage loading</t>
  </si>
  <si>
    <t>Навантаження сміття вручну</t>
  </si>
  <si>
    <t>Loading garbage onto dump trucks with excavators, excavator bucket capacity 0.25 m3.</t>
  </si>
  <si>
    <t>Навантаження сміття екскаваторами на
автомобілі-самоскиди, місткість ковша
екскаватора 0,25 м3.</t>
  </si>
  <si>
    <t>Local estimate 02-01-02 for Architectural solutions</t>
  </si>
  <si>
    <t>Локальний кошторис 02-01-02 на
Архітектурні рішення</t>
  </si>
  <si>
    <t>Section 1. Foundation plate PFm-1</t>
  </si>
  <si>
    <t>Розділ 1. Фундаментна плита  ПФм-1</t>
  </si>
  <si>
    <t>Ст. 28 КБ</t>
  </si>
  <si>
    <t>Arrangement of the base for sand foundations</t>
  </si>
  <si>
    <t>Улаштування основи під фундаменти
піщаної</t>
  </si>
  <si>
    <t>Natural, ordinary sand</t>
  </si>
  <si>
    <t>Arrangement of the base for crushed stone f</t>
  </si>
  <si>
    <t>Улаштування основи під фундаменти
щебеневої</t>
  </si>
  <si>
    <t>Natural stone crushed stone for construction work, fraction 20-40 mm, grade M600</t>
  </si>
  <si>
    <t>Щебінь із природного каменю для
будівельних робіт, фракція 20-40 мм,
марка М600</t>
  </si>
  <si>
    <t>Concrete preparation equipment</t>
  </si>
  <si>
    <t>Улаштування бетонної підготовки</t>
  </si>
  <si>
    <t>Concrete class B 7,5</t>
  </si>
  <si>
    <t>Бетон кл. В 7,5</t>
  </si>
  <si>
    <t>Waterproofing with Ceresit CR 65 mixture in one layer 2 mm thick</t>
  </si>
  <si>
    <t>Улаштування гідроізоляції сумішшю
Ceresit CR 65 в один шар товщиною 2 мм</t>
  </si>
  <si>
    <t>Add to each subsequent layer of waterproofing with Ceresit CR 65 mixture 1 mm thick</t>
  </si>
  <si>
    <t>Додавати на кожний наступний шар
гідроізоляції сумішшю Ceresit CR 65
товщиною 1 мм</t>
  </si>
  <si>
    <t>Waterproofing mixture (hard) Ceresit CR 65</t>
  </si>
  <si>
    <t>Гідроізоляційна суміш  (жорстка)  Ceresit 
CR 65</t>
  </si>
  <si>
    <t>Arrangement of flat concrete foundation slabs</t>
  </si>
  <si>
    <t>Улаштування фундаментних плит
бетонних плоских</t>
  </si>
  <si>
    <t>Concrete cl. В25 F50 W6</t>
  </si>
  <si>
    <t>Бетон кл. В25 F50 W6</t>
  </si>
  <si>
    <t>Manufacturing of ladders, ties, brackets, brake structures, etc.</t>
  </si>
  <si>
    <t>Виготовлення драбин, зв'язок,
кронштейнів, гальмових конструкцій та ін.</t>
  </si>
  <si>
    <t>Hot-rolled reinforcing steel of periodic profile, class A240C, diameter 6 mm</t>
  </si>
  <si>
    <t>Гарячекатана арматурна сталь
періодичного профілю, клас А240С,
діаметр 6 мм</t>
  </si>
  <si>
    <t>Hot-rolled reinforcing steel of periodic profile, class A500C, diameter 12 mm</t>
  </si>
  <si>
    <t>Гарячекатана арматурна сталь
періодичного профілю, клас А500С,
діаметр 12 мм</t>
  </si>
  <si>
    <t>Hot-rolled reinforcing steel of periodic profile, class A500C, diameter 25 mm</t>
  </si>
  <si>
    <t>Гарячекатана арматурна сталь
періодичного профілю, клас А500С,
діаметр 25 мм</t>
  </si>
  <si>
    <t>Hot-rolled reinforcing steel of periodic profile, class A500C, diameter 32 mm</t>
  </si>
  <si>
    <t>Гарячекатана арматурна сталь
періодичного профілю, клас А500С,
діаметр 32 мм</t>
  </si>
  <si>
    <t>Installation of reinforcing meshes and frames</t>
  </si>
  <si>
    <t>Установлення арматурних сіток і каркасів</t>
  </si>
  <si>
    <t>Arrangement of expansion joints using: cord and sealant</t>
  </si>
  <si>
    <t>Улаштування деформаційних швів із
застосуванням: шнура та герметика</t>
  </si>
  <si>
    <t>1 m of seam</t>
  </si>
  <si>
    <t>1м шва</t>
  </si>
  <si>
    <t>Polyurethane cord</t>
  </si>
  <si>
    <t>Поліурітановий шнур</t>
  </si>
  <si>
    <t>Sealant, brand 5f-13K</t>
  </si>
  <si>
    <t>Герметик, марка 5ф-13К</t>
  </si>
  <si>
    <t>Laying rubber gaskets 10 mm thick</t>
  </si>
  <si>
    <t>Укладання гумових прокладок товщиною
10 мм</t>
  </si>
  <si>
    <t>Consumables + labor</t>
  </si>
  <si>
    <t>Витратні матеріали + робота</t>
  </si>
  <si>
    <t xml:space="preserve"> комплект</t>
  </si>
  <si>
    <t>Section 2. Monolithic walls and columns</t>
  </si>
  <si>
    <t>Розділ 2. Монолітні стіни та колони</t>
  </si>
  <si>
    <t>Construction of reinforced concrete walls and partitions up to 3 m high, with a thickness of over 200 mm to 300 mm</t>
  </si>
  <si>
    <t>Улаштування залізобетонних стін і
перегородок висотою до 3 м, товщиною
понад 200 мм до 300 мм</t>
  </si>
  <si>
    <t>Concrete cl. B25</t>
  </si>
  <si>
    <t>Бетон кл. B25</t>
  </si>
  <si>
    <t>Pressure pipes made of low-pressure polyethylene, medium type, outer diameter 25 mm</t>
  </si>
  <si>
    <t>Труби напірні з поліетилену низького
тиску, тип середній, зовнішній діаметр 25
мм</t>
  </si>
  <si>
    <t>1 m</t>
  </si>
  <si>
    <t>1м</t>
  </si>
  <si>
    <t>Technical gaseous oxygen</t>
  </si>
  <si>
    <t>Кисень технічний газоподібний</t>
  </si>
  <si>
    <t>Fitting the fittings</t>
  </si>
  <si>
    <t>Установлення арматури</t>
  </si>
  <si>
    <t>Hot-rolled reinforcing steel of periodic profile, class A240C, diameter 8 mm</t>
  </si>
  <si>
    <t>Гарячекатана арматурна сталь
періодичного профілю, клас А240С,
діаметр 8 мм</t>
  </si>
  <si>
    <t>Hot-rolled reinforcing steel of periodic profile, class A500C, diameter 16 mm</t>
  </si>
  <si>
    <t>Side wall waterproofing with 1 coat of bitumen primer</t>
  </si>
  <si>
    <t>Гідроізоляція стін бокова обмазувальна в
1 шар бітумним праймером</t>
  </si>
  <si>
    <t>Bitumen primer "TechnoNIKOL No. 1"</t>
  </si>
  <si>
    <t>Бітумний праймер "Техноніколь №1"</t>
  </si>
  <si>
    <t>Section 3. Monolithic ventilation walls</t>
  </si>
  <si>
    <t>Розділ 3. Монолітні стіни вентиляційної</t>
  </si>
  <si>
    <t>СТ 33 КБ</t>
  </si>
  <si>
    <t>Concrete cl. В25</t>
  </si>
  <si>
    <t>Бетон кл. В25</t>
  </si>
  <si>
    <t>Section 4. Monolithic sections</t>
  </si>
  <si>
    <t>Розділ 4. Монолітні ділянки</t>
  </si>
  <si>
    <t>Arrangement of monolithic sections</t>
  </si>
  <si>
    <t>Улаштування монолітних ділянок</t>
  </si>
  <si>
    <t xml:space="preserve"> Section 5. Walls, partitions</t>
  </si>
  <si>
    <t xml:space="preserve">Розділ 5. Стіни, перегородки </t>
  </si>
  <si>
    <t>Masonry of internal walls made of [ceramic] bricks with a floor height of up to 4 m</t>
  </si>
  <si>
    <t>Мурування внутрішніх стін з цегли
[керамічної] при висоті поверху до 4 м</t>
  </si>
  <si>
    <t>Single full-bodied ceramic brick, dimensions 250x120x65 mm, grade M100</t>
  </si>
  <si>
    <t>Цегла керамічна одинарна повнотіла,
розміри 250х120х65 мм, марка М100</t>
  </si>
  <si>
    <t>1 pcs</t>
  </si>
  <si>
    <t>Ready-made heavy cement-limestone masonry mortar</t>
  </si>
  <si>
    <t>Розчин готовий кладковий важкий
цементно-вапняковий</t>
  </si>
  <si>
    <t>Installation of LSDP partitions on an aluminum profile</t>
  </si>
  <si>
    <t>Установлення перегородок ЛСДП на
алюмінієвому профілі</t>
  </si>
  <si>
    <t>LSDP blind rectangular partitions on an aluminum profile with doors</t>
  </si>
  <si>
    <t>Перегородки ЛСДП глухі прямокутні на
алюмінієвому профілі з дверима</t>
  </si>
  <si>
    <t>Masonry of walls made of aerated con</t>
  </si>
  <si>
    <t>Мурування стін з газобетонних блоків</t>
  </si>
  <si>
    <t>Gabion concrete blocks D500</t>
  </si>
  <si>
    <t>Блоки габобетонні D500</t>
  </si>
  <si>
    <t>Mixtures for laying blocks</t>
  </si>
  <si>
    <t>Суміші для укладання блоків</t>
  </si>
  <si>
    <t>Reinforcing brick walls with steel clips</t>
  </si>
  <si>
    <t>Підсилення цегляних стін стальними
обоймами</t>
  </si>
  <si>
    <t>Reinforcement of holes</t>
  </si>
  <si>
    <t>Підсилення отворів</t>
  </si>
  <si>
    <t>Section 6. Pm-1 cover plate and overlap</t>
  </si>
  <si>
    <t>Розділ 6. Плита покриття Пм-1 та
перекриття</t>
  </si>
  <si>
    <t>ст. 36 КБ</t>
  </si>
  <si>
    <t>Installation of beamless floors up to 200 mm thick, at a height from the support platform up to 6 m</t>
  </si>
  <si>
    <t>Улаштування перекриттів безбалкових
товщиною до 200 мм, на висоті від
опорної площадки до 6 м</t>
  </si>
  <si>
    <t>Concrete cl. B25 F50 W4</t>
  </si>
  <si>
    <t>Бетон кл. B25 F50 W4</t>
  </si>
  <si>
    <t>Manufacturing of reinforcing cages</t>
  </si>
  <si>
    <t>Виготовлення арматурних каркасів</t>
  </si>
  <si>
    <t>Hot-rolled reinforcing steel of periodic profile, class A500C, diameter 8 mm</t>
  </si>
  <si>
    <t>Гарячекатана арматурна сталь
періодичного профілю, клас А500С,
діаметр 10 мм</t>
  </si>
  <si>
    <t>Гарячекатана арматурна сталь
періодичного профілю, клас А500С,
діаметр 16 мм</t>
  </si>
  <si>
    <t>Priming the coating</t>
  </si>
  <si>
    <t>Грунтування покриття</t>
  </si>
  <si>
    <t>Horizontal gluing waterproofing in 2 layers</t>
  </si>
  <si>
    <t>Гідроізоляція горизонтальна
обклеювальна в 2 шари</t>
  </si>
  <si>
    <t>PVC studded waterproofing membrane</t>
  </si>
  <si>
    <t>Гідроізоляційна шипована мембрана ПХВ</t>
  </si>
  <si>
    <t>Arrangement of a geotextile underlayment</t>
  </si>
  <si>
    <t>Улаштування прокладного шару з
геотекстилю</t>
  </si>
  <si>
    <t>Needle-punched geotextile 200g/m2</t>
  </si>
  <si>
    <t>Геотекстиль голкопробивний 200г/м2</t>
  </si>
  <si>
    <t>Reinforcement of screed</t>
  </si>
  <si>
    <t>Армування стяжки</t>
  </si>
  <si>
    <t>Insulation of the ceiling thickness 100 mm</t>
  </si>
  <si>
    <t>Утеплення перекриття товщ 100 мм</t>
  </si>
  <si>
    <t>Expanded polystyrene "CARBON ECO" 22 kg/m3 - 100 mm</t>
  </si>
  <si>
    <t>Пінополістирол «САRBОN ЕСО» 22 кг/м3
- 100 мм</t>
  </si>
  <si>
    <t>MV mixture (for gluing and protecting plates) Ceresit CT 190</t>
  </si>
  <si>
    <t>Суміш МВ (для приклеювання та захисту
плит) Сеrеsіt СТ 190</t>
  </si>
  <si>
    <t>Plastic facade dowel, length 160 mm</t>
  </si>
  <si>
    <t>Дюбель фасадний пластмасовий довж.
160 мм</t>
  </si>
  <si>
    <t>Drilling holes</t>
  </si>
  <si>
    <t>Свердлення отворів</t>
  </si>
  <si>
    <t>Laying floor slabs 3.45 t</t>
  </si>
  <si>
    <t>Укладання плит перекриття 3,45 т</t>
  </si>
  <si>
    <t>Floor slabs P89-12</t>
  </si>
  <si>
    <t>Плити перекриття П89-12</t>
  </si>
  <si>
    <t>Chapter 7. Roofing</t>
  </si>
  <si>
    <t>Розділ 7. Покрівля</t>
  </si>
  <si>
    <t>Priming concrete or mortar substrates for waterproofing roofing felt</t>
  </si>
  <si>
    <t>Грунтування основ із бетону або розчину
під водоізоляційний покрівельний килим</t>
  </si>
  <si>
    <t>Arrangement of cement-sand leveling screeds 15 mm thick</t>
  </si>
  <si>
    <t>Улаштування вирівнюючих стяжок
цементно-піщаних товщиною 15 мм</t>
  </si>
  <si>
    <t>Arrangement of cement-sand leveling screeds for every 1 mm change in thickness</t>
  </si>
  <si>
    <t>Улаштування вирівнюючих стяжок
цементно-піщаних на кожний 1 мм зміни
товщини</t>
  </si>
  <si>
    <t>Reinforcing the screed with wire mesh</t>
  </si>
  <si>
    <t>Армування стяжки дротяною сіткою</t>
  </si>
  <si>
    <t>Reinforcing mesh Br1 diam.4 100*100</t>
  </si>
  <si>
    <t>Сітка армувальна Вр1 діам.4 100*100</t>
  </si>
  <si>
    <t>Installation of coating waterproofing in one layer</t>
  </si>
  <si>
    <t>Улаштування гідроізоляції обмазувальної
в один шар</t>
  </si>
  <si>
    <t>Arrangement of coating vapor barrier for each subsequent layer</t>
  </si>
  <si>
    <t>Улаштування пароізоляції обмазувальної
на кожний наступний шар</t>
  </si>
  <si>
    <t>Arrangement of vapor barrier of the underlay i</t>
  </si>
  <si>
    <t>Улаштування пароізоляції прокладної в
два шари</t>
  </si>
  <si>
    <t>Vapor barrier film</t>
  </si>
  <si>
    <t>Плівка пароізоляційна</t>
  </si>
  <si>
    <t>Insulation of coverings with mineral wool slabs, 100 mm thick, 1st layer</t>
  </si>
  <si>
    <t>Утеплення покриттів плитами із
мінеральної вати товщ.100 мм 1-й шар</t>
  </si>
  <si>
    <t>Technoroof Prof 100 mm (1 layer)</t>
  </si>
  <si>
    <t>Техноруф Проф 100 мм(1 шар)</t>
  </si>
  <si>
    <t>Bitumen-polymer mastic TechnoNICOL No. 41 "Eureka"</t>
  </si>
  <si>
    <t>Мастика бітумно-полімерна
ТехноНІКОЛЬ №41 "Евріка</t>
  </si>
  <si>
    <t>Insulation of coverings with mineral wool slabs, 100 mm thick, 2nd layer</t>
  </si>
  <si>
    <t>Утеплення покриттів плитами із
мінеральної вати товщ.100 мм 2 -й шар</t>
  </si>
  <si>
    <t>Technoroof Prof 100 mm (2 layers)</t>
  </si>
  <si>
    <t>Техноруф Проф 100 мм(2 шар)</t>
  </si>
  <si>
    <t>Insulation of coverings with mineral wool slabs, 100 mm thick, 3rd layer</t>
  </si>
  <si>
    <t>Утеплення покриттів плитами із
мінеральної вати товщ.100 мм 3 -й шар</t>
  </si>
  <si>
    <t>Technoroof Prof 100 mm (3 layers)</t>
  </si>
  <si>
    <t>Техноруф Проф 100 мм(3 шар)</t>
  </si>
  <si>
    <t>Telescopic dowel for fixing thermal insulation</t>
  </si>
  <si>
    <t>Дюбеля телескопічний для кріплення
теплоізоляції</t>
  </si>
  <si>
    <t>Installation of pitched roofs made of three layers of roofing roll materials on bitumen mastic</t>
  </si>
  <si>
    <t>Улаштування покрівель скатних із трьох
шарів покрівельних рулонних матеріалів
на бітумній мастиці</t>
  </si>
  <si>
    <t>Technoelast EPP 5.2 (1 layer)</t>
  </si>
  <si>
    <t>Техноэласт ЭПП  5,2 (1 шар)</t>
  </si>
  <si>
    <t>Technoelast EKP 5.5 slate gray euro roofing material (2 layers)</t>
  </si>
  <si>
    <t>Техноеласт ЕКП 5,5 сланець сірий
євроруберойд покрівельний (2 шар)</t>
  </si>
  <si>
    <t>Roof railings</t>
  </si>
  <si>
    <t>Огородження покрівель перилами</t>
  </si>
  <si>
    <t>Fence Og-1</t>
  </si>
  <si>
    <t>Огорожа Ог-1</t>
  </si>
  <si>
    <t>Priming metal surfaces in two coats with primer GF-021</t>
  </si>
  <si>
    <t>Грунтування металевих поверхонь за
два рази грунтовкою ГФ-021</t>
  </si>
  <si>
    <t>Painting metal grilles, frames, pipes with a diameter of less than 50 mm, etc. with whitewash with the addition of color in 2 coats</t>
  </si>
  <si>
    <t>Фарбування металевих грат, рам, труб
діаметром менше 50 мм тощо білилом з
додаванням колера за 2 рази</t>
  </si>
  <si>
    <t>Galvanized steel apron with polymer coating</t>
  </si>
  <si>
    <t>Фартух з оцинкованої сталі з полімерним
покриттям</t>
  </si>
  <si>
    <t>Support element for fastening</t>
  </si>
  <si>
    <t>Опорний елемент кріплення</t>
  </si>
  <si>
    <t>Apron fastening element</t>
  </si>
  <si>
    <t>Елемент кріплення фартуху</t>
  </si>
  <si>
    <t>Bolt M8x65</t>
  </si>
  <si>
    <t>Болт М8х65</t>
  </si>
  <si>
    <t>Nut/washer M16</t>
  </si>
  <si>
    <t>Гайка/шайба М16</t>
  </si>
  <si>
    <t>Metal clamp for C110-150mm pipes</t>
  </si>
  <si>
    <t>Хомут металлический для труб C110-
150мм</t>
  </si>
  <si>
    <t>Silicone penetration for pipes</t>
  </si>
  <si>
    <t>Силиконова проходка для труб</t>
  </si>
  <si>
    <t>Corner 63x63x6</t>
  </si>
  <si>
    <t>Кутик 63х63х6</t>
  </si>
  <si>
    <t>Bolt M10x75</t>
  </si>
  <si>
    <t>Болт М10х75</t>
  </si>
  <si>
    <t>Nut/washer M10</t>
  </si>
  <si>
    <t>Гайка/шайба М10</t>
  </si>
  <si>
    <t>Installation of small metal structures weighing up to 0.1 t (for ventilation umbrella)</t>
  </si>
  <si>
    <t>Монтаж дрібних металоконструкцій
вагою до 0,1 т( для вентиляційного зонту)</t>
  </si>
  <si>
    <t>Corner 50x50x4</t>
  </si>
  <si>
    <t>Кутик 50х50х4</t>
  </si>
  <si>
    <t>M12 bolt</t>
  </si>
  <si>
    <t>Болт М12</t>
  </si>
  <si>
    <t>Nut/washer M12</t>
  </si>
  <si>
    <t>Гайка/шайба М12</t>
  </si>
  <si>
    <t>Sealing of joints with bitumen sealant</t>
  </si>
  <si>
    <t>Герметизація місць примикання
битумним герметиком</t>
  </si>
  <si>
    <t>Izofast waterproofing mastic for roofing (sealant)</t>
  </si>
  <si>
    <t>Мастика гідроізоляційна для покрівлі
Izofast (герметтик)</t>
  </si>
  <si>
    <t>Arrangement of the roof connection to t</t>
  </si>
  <si>
    <t>Улаштування примикання покрівлі до
труб</t>
  </si>
  <si>
    <t>Assembly foam Ceresit TS 61 UNIVERSAL (standard), 750 ml</t>
  </si>
  <si>
    <t>Піна монтажная Ceresit TS 61
UNIVERSAL (стандартная), 750 мл</t>
  </si>
  <si>
    <t>Installation of gutters water inlet funnel and roof aerators</t>
  </si>
  <si>
    <t>Установлення водостічних лійок
водоприймальних воронок та покрівельних аераторів.(згідно зі специфікацією)</t>
  </si>
  <si>
    <t>СТ 5 АР</t>
  </si>
  <si>
    <t>Water inlet funnel and roof aerators</t>
  </si>
  <si>
    <t>Водоприймальна воронка та покрівельні аератори (згідно зі специфікацією)</t>
  </si>
  <si>
    <t>Chapter 8. Podium</t>
  </si>
  <si>
    <t>Розділ 8. Подіум</t>
  </si>
  <si>
    <t>Installation of reinforc</t>
  </si>
  <si>
    <t>Улаштування з/б подіумів</t>
  </si>
  <si>
    <t>Concrete cl. C 12/15</t>
  </si>
  <si>
    <t>Бетон кл. С12/15</t>
  </si>
  <si>
    <t>Виготовлення драбин, зв'язок,
кронштейнів, гальмових конструкцій та ін.(згідно зі специфікацією)</t>
  </si>
  <si>
    <t>Hot-rolled reinforcing steel of periodic profile, class A500C, diameter 10 mm</t>
  </si>
  <si>
    <t>Rolled metal (according to specification)</t>
  </si>
  <si>
    <t>Прокат металевий (згідно специфікації)</t>
  </si>
  <si>
    <t>Chapter 9. Elevator Pit</t>
  </si>
  <si>
    <t>Розділ 9. Ліфтовий приямок</t>
  </si>
  <si>
    <t>Бетон кл. B 7,5</t>
  </si>
  <si>
    <t>Pit arrangement</t>
  </si>
  <si>
    <t>Улаштування приямку</t>
  </si>
  <si>
    <t>Chapter 10. Porch</t>
  </si>
  <si>
    <t>Розділ 10. Ганки</t>
  </si>
  <si>
    <t>Manual soil development with reinforcement in trenches up to 2 m wide, up to 2 m deep, soil group 2</t>
  </si>
  <si>
    <t>Розробка грунту вручну з кріпленням у
траншеях шириною до 2 м, глибиною до
2 м, група грунтів 2</t>
  </si>
  <si>
    <t>Soil compaction with pneumatic rammers, soil group 1, 2</t>
  </si>
  <si>
    <t>Ущільнення грунту пневматичними
трамбівками, група грунтів 1, 2</t>
  </si>
  <si>
    <t>Arrangement of compacted subgrade sand layers with rammers</t>
  </si>
  <si>
    <t>Улаштування ущільнених трамбівками
підстилаючих піщаних шарів</t>
  </si>
  <si>
    <t>Natural sand</t>
  </si>
  <si>
    <t>Пісок природний</t>
  </si>
  <si>
    <t>Arrangement of compacted subgrade crushed stone layers</t>
  </si>
  <si>
    <t>Улаштування ущільнених трамбівками
підстилаючих щебеневих шарів</t>
  </si>
  <si>
    <t>Manufacturing of lattice structures [posts, supports, trusses, etc.]</t>
  </si>
  <si>
    <t>Виготовлення гратчастих конструкцій
[стояки, опори, ферми та ін.]</t>
  </si>
  <si>
    <t>Hot-rolled smooth reinforcing steel, class A240C, diameter 6 mm</t>
  </si>
  <si>
    <t>Гарячекатана арматурна сталь гладка,
клас А240С, діаметр 6 мм</t>
  </si>
  <si>
    <t>Hot-rolled smooth reinforcing steel, class A400C, diameter 10 mm</t>
  </si>
  <si>
    <t>Гарячекатана арматурна сталь гладка,
клас А400С, діаметр 10 мм</t>
  </si>
  <si>
    <t>Reinforcing the site with wire mesh</t>
  </si>
  <si>
    <t>Армування площадки дротяною сіткою</t>
  </si>
  <si>
    <t>Installation of monolithic reinforced concrete stairs and platforms</t>
  </si>
  <si>
    <t>Улаштування монолітних залізобетонних
сходів і площадок</t>
  </si>
  <si>
    <t>Concrete cl. C20/25 F75 W4</t>
  </si>
  <si>
    <t>Бетон кл. В25 W6 F20</t>
  </si>
  <si>
    <t xml:space="preserve">Concrete cl. В10 </t>
  </si>
  <si>
    <t xml:space="preserve">Бетон кл. В10 </t>
  </si>
  <si>
    <t>Arrangement of stair coverings (according to the specification)</t>
  </si>
  <si>
    <t>Улаштування покриттів східців
(згідно зі специфікацією)</t>
  </si>
  <si>
    <t>Installation of galvanized dirt protection grates (according to the specification)</t>
  </si>
  <si>
    <t>Улаштування решітки брудозахиснх оцинкованих (згідно зі специфікацією)</t>
  </si>
  <si>
    <t>Installation of railings for ramps and open external stairs</t>
  </si>
  <si>
    <t>Улаштування огорожі пандусів та
відкритих зовнішніх сходів</t>
  </si>
  <si>
    <t>Railings for ramps and open external stairs (according to specification)</t>
  </si>
  <si>
    <t>Огорожі для пандусів та
відкритих зовнішніх сходів згідно зі специфікацією)</t>
  </si>
  <si>
    <t>Головний вхід</t>
  </si>
  <si>
    <t>Тераси</t>
  </si>
  <si>
    <t>Chapter 11. Doors</t>
  </si>
  <si>
    <t>Розділ 11. Двері</t>
  </si>
  <si>
    <t>Filling doorways with ready-made door blocks with an area of over 2 to 3 m2 made of metal-plastic in stone walls</t>
  </si>
  <si>
    <t>Заповнення дверних прорізів готовими
дверними блоками площею понад 2 до 3
м2 з металлопластику у кам'яних стінах</t>
  </si>
  <si>
    <t>Door blocks</t>
  </si>
  <si>
    <t>Блоки дверні</t>
  </si>
  <si>
    <t>Ceresit TS 62 professional universal mounting foam</t>
  </si>
  <si>
    <t>Монтажна піна Ceresit  TS 62 професійна
універсальна</t>
  </si>
  <si>
    <t>cylinder</t>
  </si>
  <si>
    <t>балон</t>
  </si>
  <si>
    <t>Installation of metal door frames with hanging of door leaves</t>
  </si>
  <si>
    <t>Установлення металевих дверних
коробок із навішуванням дверних полотен</t>
  </si>
  <si>
    <t>Single-leaf, solid fire doors EI 30</t>
  </si>
  <si>
    <t>Двері протипожежні одностулкові, глухі
ЕІ 30</t>
  </si>
  <si>
    <t>Chapter 12. Windows</t>
  </si>
  <si>
    <t>Розділ 12. Вікна</t>
  </si>
  <si>
    <t>Filling window openings with ready-made blocks with made of metal-plastic in stone walls of residential and public buildings</t>
  </si>
  <si>
    <t>Заповнення віконних прорізів готовими
блоками з
металопластику  в кам'яних стінах
житлових і громадських будівель</t>
  </si>
  <si>
    <t>Metal-plastic windows</t>
  </si>
  <si>
    <t>Вікна металопластикові</t>
  </si>
  <si>
    <t>Dowels for fastening windows and doors</t>
  </si>
  <si>
    <t>Дюбелі для кріплення вікон, дверей</t>
  </si>
  <si>
    <t>Silicone sealant 0.28l</t>
  </si>
  <si>
    <t>Герметик силіконовий 0,28л</t>
  </si>
  <si>
    <t>Foam for assembly</t>
  </si>
  <si>
    <t>Піна монтажна</t>
  </si>
  <si>
    <t>Installation of plastic window sills</t>
  </si>
  <si>
    <t>Установлення пластикових підвіконних
дощок</t>
  </si>
  <si>
    <t>Window sill boards, plastic, width 400 mm</t>
  </si>
  <si>
    <t>Дошки підвіконні, пластикові, ширина 400
мм</t>
  </si>
  <si>
    <t>Installing window drains</t>
  </si>
  <si>
    <t>Установлення віконних зливів</t>
  </si>
  <si>
    <t>Ebb width 350 mm white</t>
  </si>
  <si>
    <t>Відлив ширин. 350 мм білий</t>
  </si>
  <si>
    <t>Installing sunshades over windows</t>
  </si>
  <si>
    <t>Установлення сонцезахистних навісів
над вікнами</t>
  </si>
  <si>
    <t>Protective canopy over windows</t>
  </si>
  <si>
    <t>Захистний навіс над вікнами</t>
  </si>
  <si>
    <t>Installation of</t>
  </si>
  <si>
    <t>Монтаж вітражів</t>
  </si>
  <si>
    <t>Stained</t>
  </si>
  <si>
    <t>Вітражі</t>
  </si>
  <si>
    <t>Dowels for fastening</t>
  </si>
  <si>
    <t>Дюбелі для кріплення</t>
  </si>
  <si>
    <t>Finishing window slopes with composite</t>
  </si>
  <si>
    <t>Опорядження віконих укосів композитом</t>
  </si>
  <si>
    <t>Base profile 150 mm</t>
  </si>
  <si>
    <t>Профіль цокольний 150 мм</t>
  </si>
  <si>
    <t xml:space="preserve"> Cassettes made of 4 mm thick aluminum composite panels</t>
  </si>
  <si>
    <t xml:space="preserve">Касети з алюмінієвих копозитних
панелей товщиною 4 мм </t>
  </si>
  <si>
    <t>Self-tapping screws 4.2x16 mm</t>
  </si>
  <si>
    <t>Гвинти самонарізні 4,2х16 мм</t>
  </si>
  <si>
    <t>Mineral wool Rockwool Frontrock Super-200 mm</t>
  </si>
  <si>
    <t>Мінеральна вата Rоkwооl Frоntrосk
Suреr-200 мм</t>
  </si>
  <si>
    <t>Plastic dowels, disc type, 150 mm</t>
  </si>
  <si>
    <t>Дюбелі пластмасові тарільчатого типу
150 мм</t>
  </si>
  <si>
    <t>Chapter 13. Canopy</t>
  </si>
  <si>
    <t>Розділ 13. Навіс</t>
  </si>
  <si>
    <t>Installation of canopy coverings</t>
  </si>
  <si>
    <t>Влаштування покриття навісів</t>
  </si>
  <si>
    <t>Sunshade over the porch (according to the specification)</t>
  </si>
  <si>
    <t>Сонцезахистний навіс над ганком  (згідно зі специфікацією)</t>
  </si>
  <si>
    <t>Metal roofing sheet C18 (according to specification)</t>
  </si>
  <si>
    <t>Профнастил С18 (згідно зі специфікацією)</t>
  </si>
  <si>
    <t>Section 14. Earthworks for foundation insulation</t>
  </si>
  <si>
    <t>Розділ 14. Земляні роботи під
влаштування утеплення фундаментів</t>
  </si>
  <si>
    <t>Manual soil development in trenches up to 2 m deep without reinforcements with slopes, soil group 2</t>
  </si>
  <si>
    <t>Розробка грунту вручну в траншеях
глибиною до 2 м без кріплень з укосами,
група грунту 2</t>
  </si>
  <si>
    <t>Manual backfilling of trenches, pits and pits, soil group 1</t>
  </si>
  <si>
    <t>Засипання вручну траншей, пазух
котлованів та ям, група грунту 1</t>
  </si>
  <si>
    <t>Soil compaction with pneumatic rammers, soil group 1-2</t>
  </si>
  <si>
    <t>Ущільнення грунту пневматичними
трамбівками, група грунту 1-2</t>
  </si>
  <si>
    <t>Chapter 15. Facade</t>
  </si>
  <si>
    <t>Розділ 15. Фасад</t>
  </si>
  <si>
    <t>Decoration of facade walls with SCANROC KLINKERSTONE BRICK facing brick</t>
  </si>
  <si>
    <t>Опорядження стін фасадів з цегли
облицювальної SCANROC
KLINKERSTONE BRICK</t>
  </si>
  <si>
    <t>Facade subsystem</t>
  </si>
  <si>
    <t>Фасадна підсистема</t>
  </si>
  <si>
    <t>Facing brick SCANROC KLINKERSTONE BRICK</t>
  </si>
  <si>
    <t>Цегла облицювальна SCANROC
KLINKERSTONE BRICK</t>
  </si>
  <si>
    <t>Mineral wool Rockwool Frontrock Super-150 mm</t>
  </si>
  <si>
    <t>Мінеральна вата Rоkwооl Frоntrосk
Suреr-150 мм</t>
  </si>
  <si>
    <t>Arrangement of a vapor barrier layer of flat surfaces made of polyethylene</t>
  </si>
  <si>
    <t>Улаштування пароізоляційного шару
плоских поверхонь з плівки
поліетиленової</t>
  </si>
  <si>
    <t>Polyethylene film</t>
  </si>
  <si>
    <t>Плівка поліетиленова</t>
  </si>
  <si>
    <t>Installing a windproof membrane layer</t>
  </si>
  <si>
    <t>Улаштування вітроізоляційного шару з
мембрани</t>
  </si>
  <si>
    <t>Windproof membrane</t>
  </si>
  <si>
    <t>Вітроізоляційна мембрана</t>
  </si>
  <si>
    <t>Improved plastering of walls on a grid without a frame</t>
  </si>
  <si>
    <t>Поліпшене штукатурення стін по сітці без
улаштування каркасу</t>
  </si>
  <si>
    <t>Arrangement of vertical waterproofing of the basement 2 times</t>
  </si>
  <si>
    <t>Улаштування вертикальної гідроізоляції
цоколю 2 рази</t>
  </si>
  <si>
    <t>Waterproofing mixture CR66</t>
  </si>
  <si>
    <t>Гідроізоляційна суміш СR66</t>
  </si>
  <si>
    <t>Pasting walls with polymer mesh</t>
  </si>
  <si>
    <t>Оклеювання стін сіткою полімерною</t>
  </si>
  <si>
    <t>Polymer mesh</t>
  </si>
  <si>
    <t>Сітка полімерна</t>
  </si>
  <si>
    <t>Glue Seresit ST 84 Ehrress</t>
  </si>
  <si>
    <t>Клей Сеrеsіt СТ 84 Ехрrеss</t>
  </si>
  <si>
    <t>Reinforcing mesh Ceresit CT 325 for Ceresit Ceretherm insulation systems</t>
  </si>
  <si>
    <t>Армуюча сітка Сеrеsіt СT 325 для систем
утеплення Сеrеsіt Сеrеthеrm</t>
  </si>
  <si>
    <t>Thermal insulation o</t>
  </si>
  <si>
    <t>Теплоізоляція цоколю</t>
  </si>
  <si>
    <t>Heat-insulating plates made of extruded polystyrene foam.</t>
  </si>
  <si>
    <t>Плити теплоізоляційні з пінопласту
екструдов.</t>
  </si>
  <si>
    <t>Chapter 16. Parapet</t>
  </si>
  <si>
    <t>Розділ 16. Парапет</t>
  </si>
  <si>
    <t>Installation of reinforced concrete parapets and stairs</t>
  </si>
  <si>
    <t>Улаштування з/б парапетів та сходів</t>
  </si>
  <si>
    <t>Concrete cl. C25/30 F150 W6</t>
  </si>
  <si>
    <t>Бетон кл. С25/30 F150 W6</t>
  </si>
  <si>
    <t>Installation of sheet steel firewalls and parapets</t>
  </si>
  <si>
    <t>Улаштування з листової сталі
брандмауерів, парапетів</t>
  </si>
  <si>
    <t>Parapet ebb made of galvanized steel (b= 580 mm)</t>
  </si>
  <si>
    <t>Парапетний відливів з оцинкованої сталі
(b= 580 мм)</t>
  </si>
  <si>
    <t>19 mm self-tapping screws</t>
  </si>
  <si>
    <t>Саморізи 19 мм</t>
  </si>
  <si>
    <t>Chapter 17. Floors</t>
  </si>
  <si>
    <t>Розділ 17. Підлоги</t>
  </si>
  <si>
    <t>різниця в між планом та фактом в проекті.</t>
  </si>
  <si>
    <t>TYPE P1</t>
  </si>
  <si>
    <t>ТИП П1</t>
  </si>
  <si>
    <t>1. Паркет - 22 мм. 2. Клей для паркету - 2 мм. 3. Гідроізоляційний паркетний грунт - 0,1 мм. 4. Цементно-піщана стяжка М 150 армована сіткою 4 Вр1 100х100 мм - 75 мм. 5. Екструдований пінополістирол щільністю 30-34 кг/м3 - 100 мм. 6. Пароізоляційна плівка 200 мкм - 0,1 мм. 7. Бетонне підготування - 50 мм. 8. Пісок ущільнений - 100 мм. 9. Ущільнений грунт - 100 мм</t>
  </si>
  <si>
    <t>Ущільнення ґрунту пневматичними
трамбівками, група ґрунтів 1, 2</t>
  </si>
  <si>
    <t>Arrangement of concrete screeds 50 mm thick</t>
  </si>
  <si>
    <t>Улаштування стяжок бетонних товщиною
50 мм</t>
  </si>
  <si>
    <t>Add or exclude for every 5 mm change in concrete screed thickness</t>
  </si>
  <si>
    <t>Додавати або виключати на кожні 5 мм
зміни товщини бетонних стяжок</t>
  </si>
  <si>
    <t>Arrangement of vapor barrier of the underlay in one layer of film</t>
  </si>
  <si>
    <t>Улаштування пароізоляції прокладної в
один шар з плівки</t>
  </si>
  <si>
    <t>Polyethylene film, thickness</t>
  </si>
  <si>
    <t>Installation of continuous heat and sound insulation from polystyrene foam boards</t>
  </si>
  <si>
    <t>Улаштування тепло- і звукоізоляції
суцільної з плит пінополістирольних</t>
  </si>
  <si>
    <t>Thermal insulation boards made of polystyrene foam</t>
  </si>
  <si>
    <t>Плити теплоізоляційні з пінопласту
полістирольного</t>
  </si>
  <si>
    <t>Arrangement of cement screeds</t>
  </si>
  <si>
    <t xml:space="preserve">Улаштування стяжок цементних
</t>
  </si>
  <si>
    <t>Add or exclude for every 5 mm change in thickness of cement screeds</t>
  </si>
  <si>
    <t>Додавати або виключати на кожні 5 мм
зміни товщини стяжок цементних</t>
  </si>
  <si>
    <t>Floor waterproofing</t>
  </si>
  <si>
    <t>Гідроізоляція підлоги</t>
  </si>
  <si>
    <t>Arrangement of parquet flooring</t>
  </si>
  <si>
    <t>Улаштування покриттів з паркету</t>
  </si>
  <si>
    <t xml:space="preserve"> Parquet</t>
  </si>
  <si>
    <t xml:space="preserve">Паркет </t>
  </si>
  <si>
    <t>TYPE P2</t>
  </si>
  <si>
    <t>ТИП П2</t>
  </si>
  <si>
    <t xml:space="preserve">
1. Керамогранітна плитка для підлоги на клею - 20 мм.
2. Грунт глибого проникнення - 0,1 мм.
3. Самовирівнюча суміш - 4 мм.
4. Цементно-піщана стяжка М 150 армована сіткою  4
Вр1 100х100 мм - 75 мм.
5. Екструдований пінополістирол щільністю 30-34
кг/м3 - 100 мм.
6. Пароізоляційна плівка 200 мкм - 0,1 мм.
7. Бетонне підготування - 50 мм.
8. Пісок ущільнений - 100 мм.
9. Ущільнений грунт - 100 м</t>
  </si>
  <si>
    <t>Плівка поліетиленова, товщина</t>
  </si>
  <si>
    <t>Arrangement of cement screeds 20 mm thick</t>
  </si>
  <si>
    <t>Улаштування стяжок цементних</t>
  </si>
  <si>
    <t>Arrangement of self-leveling screeds with a thickne</t>
  </si>
  <si>
    <t>Улаштування стяжок
самовирівнювальних товщиною 5 мм</t>
  </si>
  <si>
    <t>Primer for absorbent concrete and cement-sand substrates</t>
  </si>
  <si>
    <t>Грунтовка для вбираючих бетонних i
цементно-пiщаних основ</t>
  </si>
  <si>
    <t xml:space="preserve">Universal leveling and repair agent </t>
  </si>
  <si>
    <t xml:space="preserve">Унiверсальний засiб для вирiвнювання
та ремонту </t>
  </si>
  <si>
    <t>Ceresit DG self-leveling gypsum-cement mixture</t>
  </si>
  <si>
    <t xml:space="preserve">Самовирiвнювальна гiпсово-цементна
сумiш </t>
  </si>
  <si>
    <t>Arrangement of ceramic tile coverings on a dry adhesive mortar, the number of tiles per 1 m2 is up to 7 pieces</t>
  </si>
  <si>
    <t>Улаштування покриттів з керамічних
плиток на розчині із сухої клеючої суміші,
кількість плиток в 1 м2 до 7 шт</t>
  </si>
  <si>
    <t>Ceramic granite tiles with anti-slip surface</t>
  </si>
  <si>
    <t>Керамо -гранітна плитка з
антиковзаючою поверхнею</t>
  </si>
  <si>
    <t>TYPE P3</t>
  </si>
  <si>
    <t>ТИП П3</t>
  </si>
  <si>
    <t xml:space="preserve">
1. Спортивний паркет - 22 мм.
2. Клей для паркету - 2 мм.
3. Гідроізоляційний паркетний грунт - 0,1 мм.
4. Цементно-піщана стяжка М 150 армована сіткою  4
Вр1 100х100 мм - 75 мм.
5. Екструдований пінополістирол щільністю 30-34
кг/м3 - 100 мм.
6. Пароізоляційна плівка 200 мкм - 0,1 мм.
7. Бетонне підготування - 50 мм.
8. Пісок ущільнений - 100 мм.
9. Ущільнений грунт - 100 </t>
  </si>
  <si>
    <t>Ready-made heavy cement masonry mortar, grade M150</t>
  </si>
  <si>
    <t>Розчин готовий кладковий важкий
цементний, марка М150</t>
  </si>
  <si>
    <t>Reinforcing wire made of low-carbon steel</t>
  </si>
  <si>
    <t>Дріт арматурний із низьковуглецевої
сталі</t>
  </si>
  <si>
    <t>Waterproofing parquet primer</t>
  </si>
  <si>
    <t>Гідроізоляційний паркетний грунт</t>
  </si>
  <si>
    <t>Installation of sports parquet flooring</t>
  </si>
  <si>
    <t>Улаштування покриттів з спортиного
паркету</t>
  </si>
  <si>
    <t>Sports parquet</t>
  </si>
  <si>
    <t>Паркет спортивний</t>
  </si>
  <si>
    <t>TYPE P4</t>
  </si>
  <si>
    <t>ТИП П4</t>
  </si>
  <si>
    <t>1. Керамогранітна плитка для підлоги на клею - 20 мм.
2. Гідроізоляція елестична - полімерцементна у два
шари з заведенням на стіні по 300 мм,
гідроізолююча стрічка по кутах - 1 мм.
3. Самовирівнюча суміш - 3 мм.
4. Цементно-піщана стяжка М 150 армована сіткою  4
Вр1 100х100 мм - 75 мм.
5. Екструдований пінополістирол щільністю 30-34
кг/м3 - 100 мм.
6. Пароізоляційна плівка 200 мкм - 0,1 мм.
7. Бетонне підготування - 50 мм.
8. Пісок ущільнений - 100 мм.
9. Ущільнений грунт - 100</t>
  </si>
  <si>
    <t>Arrangement of concrete screeds 20 mm thick</t>
  </si>
  <si>
    <t>Улаштування стяжок цементних
товщиною</t>
  </si>
  <si>
    <t xml:space="preserve">Reinforcing wire made of low-carbon steel </t>
  </si>
  <si>
    <t>Installing waterproofing with a plant on the walls</t>
  </si>
  <si>
    <t>Улаштування гідроізоляції з заводом на
стіни</t>
  </si>
  <si>
    <t>TYPE P5</t>
  </si>
  <si>
    <t>ТИП П5</t>
  </si>
  <si>
    <t>1. Паркет - 22 мм.
2. Клей для паркету - 3 мм.
3. Гідроізоляційний паркетний грунт - 0,1 мм.
4. Цементно-піщана стяжка М 150 армована сіткою  4
Вр1 100х100 мм - 5</t>
  </si>
  <si>
    <t>Дріт арматурний із низьковуглецевої</t>
  </si>
  <si>
    <t>TYPE P6</t>
  </si>
  <si>
    <t>ТИП П6</t>
  </si>
  <si>
    <t xml:space="preserve">1. Керамогранітна плитка для підлоги на клею - 20 мм.
2. Грунт глибого проникнення - 0,1 мм.
3. Самовирівнюча суміш - 5 мм.
4. Цементно-піщана стяжка М 150 армована сіткою  4
Вр1 100х100 мм - </t>
  </si>
  <si>
    <t>Universal leveling and repair agent</t>
  </si>
  <si>
    <t>Унiверсальний засiб для вирiвнювання
та ремонту</t>
  </si>
  <si>
    <t>Самовирiвнювальна гiпсово-цементна
сумiш</t>
  </si>
  <si>
    <t>TYPE P7</t>
  </si>
  <si>
    <t>ТИП П7</t>
  </si>
  <si>
    <t>1. Керамогранітна плитка для підлоги на клею - 20 мм.
2. Гідроізоляція елестична - полімерцементна у два
шари з заведенням на стіні по 300 мм,
гідроізолююча стрічка по кутах - 1 мм.
3. Самовирівнюча суміш - 4 мм.
4. Цементно-піщана стяжка М 150 армована сіткою  4
Вр1 100х100 мм -</t>
  </si>
  <si>
    <t xml:space="preserve">Arrangement of cement screeds </t>
  </si>
  <si>
    <t xml:space="preserve">Дріт арматурний із низьковуглецевої
сталі </t>
  </si>
  <si>
    <t xml:space="preserve">Грунтовка для вбираючих бетонних i
цементно-пiщаних основ </t>
  </si>
  <si>
    <t>Self-leveling gypsum-cement mixture</t>
  </si>
  <si>
    <t>TYPE P8</t>
  </si>
  <si>
    <t>ТИП П8</t>
  </si>
  <si>
    <t xml:space="preserve">1. Паркет - 22 мм.
2. Клей для паркету - 2 мм.
3. Гідроізоляційний паркетний грунт - 0,1 мм.
4. Цементно-піщана стяжка М 150 армована сіткою  4
Вр1 100х100 мм - 75 мм.
5. Екструдований пінополістирол щільністю 30-34
кг/м3 - 100 мм.
6. Пароізоляційна плівка 200 мкм - 0,1 мм.
7. Залізобетон - Конструкційний </t>
  </si>
  <si>
    <t>Concrete</t>
  </si>
  <si>
    <t>Бетон</t>
  </si>
  <si>
    <t>Reinforcing wire made of low-carbon steel BP-1, diameter 4 mm</t>
  </si>
  <si>
    <t>Дріт арматурний із низьковуглецевої
сталі ВР-1, діаметр 4 мм</t>
  </si>
  <si>
    <t>TYPE P9</t>
  </si>
  <si>
    <t>ТИП П9</t>
  </si>
  <si>
    <t xml:space="preserve">
1. Керамогранітна плитка для підлоги на клею </t>
  </si>
  <si>
    <t>Chapter 18. MGN</t>
  </si>
  <si>
    <t>Розділ 18. МГН</t>
  </si>
  <si>
    <t>Installing tactile signs</t>
  </si>
  <si>
    <t>Установлення тактильних табличок</t>
  </si>
  <si>
    <t>Information tactile sign with Braille</t>
  </si>
  <si>
    <t>Інформаційна тактильна табличка со
Шрифтом Брайля</t>
  </si>
  <si>
    <t xml:space="preserve"> Tactile information sign</t>
  </si>
  <si>
    <t xml:space="preserve">Інформаційна тактильна табличка </t>
  </si>
  <si>
    <t>Key or button on the panel</t>
  </si>
  <si>
    <t>Ключ або кнопка на панелі</t>
  </si>
  <si>
    <t>Emergency call button for the disabled</t>
  </si>
  <si>
    <t>Кнопка виклику допомоги для інвалідів</t>
  </si>
  <si>
    <t>Decorating doorways with marking tape</t>
  </si>
  <si>
    <t>Опорядження дверних прорізів
маркувальною стрічкою</t>
  </si>
  <si>
    <t>m of seam</t>
  </si>
  <si>
    <t>м шва</t>
  </si>
  <si>
    <t xml:space="preserve"> Marking tape</t>
  </si>
  <si>
    <t xml:space="preserve">Маркувальна стрічка </t>
  </si>
  <si>
    <t>п.м.</t>
  </si>
  <si>
    <t>Making a tactile guide strip from MDF</t>
  </si>
  <si>
    <t>Улаштування тактильної направляючої
смуги з МДФ</t>
  </si>
  <si>
    <t>MDF tactile strip</t>
  </si>
  <si>
    <t>Тактильна смуга з МДФ</t>
  </si>
  <si>
    <t>Installation of bathroom furniture: hangers, cup holders, bath grab bars, etc.</t>
  </si>
  <si>
    <t>Установлення гарнітури туалетної:
вішалок, підстаканників, поручнів для
ванн і т.п.</t>
  </si>
  <si>
    <t>Folding toilet grab bar with paper holder and floor support</t>
  </si>
  <si>
    <t>Поручень відкідний для унітаза з
тримачем паперу та опорою в підлогу</t>
  </si>
  <si>
    <t>Handrail with additional support in the floor support in the floor</t>
  </si>
  <si>
    <t>Поручень з додатковою опорою в підлогу
опорою в підлогу</t>
  </si>
  <si>
    <t>Straight handrail 530x710x800</t>
  </si>
  <si>
    <t>Поручень прямий 530х710х800</t>
  </si>
  <si>
    <t>Installing self-closing door devices</t>
  </si>
  <si>
    <t>Установлення дверних пристроїв
самозачинення</t>
  </si>
  <si>
    <t>Hydraulic lever door closer in aluminum housing</t>
  </si>
  <si>
    <t>Зачинювач дверний гідравлічний
важільний в алюмінієвому корпусі</t>
  </si>
  <si>
    <t>Arrangement of coatings made of thermo-polyurethane tiles on mastic</t>
  </si>
  <si>
    <t>Улаштування покриттів із плиток
термополіуретанових на мастиці</t>
  </si>
  <si>
    <t>Thermopolyurethane tiles 400x400x8</t>
  </si>
  <si>
    <t>Плитки термополіуретанові 400х400х8</t>
  </si>
  <si>
    <t>Arrangement of ceramic tile coverings on a dry adhesive mortar, the number of tiles per 1 m2 is more than 7 to 12 pieces</t>
  </si>
  <si>
    <t>Улаштування покриттів з керамічних
плиток на розчині із сухої клеючої суміші,
кількість плиток в 1 м2 понад 7 до 12 шт</t>
  </si>
  <si>
    <t>Ceramic tiles for porcelain stoneware floors (tactile guide)</t>
  </si>
  <si>
    <t>Плитки керамічні для пiдлог з
керамограніту ( тектильна направляюча)</t>
  </si>
  <si>
    <t>Adhesive mixture for ceramic tiles Ceresit CM 11</t>
  </si>
  <si>
    <t>Клеюча суміш для керамічної плитки
Ceresit  СМ 11</t>
  </si>
  <si>
    <t>Colored seam 2-5mm Ceresit CE 33 SUPER</t>
  </si>
  <si>
    <t>Кольоровий шов 2-5мм  Ceresit  СЕ 33
СУПЕР</t>
  </si>
  <si>
    <t>Crosswords</t>
  </si>
  <si>
    <t>Хрестики</t>
  </si>
  <si>
    <t>Chapter 19. Walls</t>
  </si>
  <si>
    <t>Розділ 19. Стіни</t>
  </si>
  <si>
    <t>Applying a deep penetration primer</t>
  </si>
  <si>
    <t>Нанесення грунтовки глибокого
проникнення</t>
  </si>
  <si>
    <t>Фарбування акриловою фарбою 1</t>
  </si>
  <si>
    <t>Фарбування акриловою фарбою 2 без штукатурки.</t>
  </si>
  <si>
    <t>High-quality plastering of stone walls with gypsum mixtures</t>
  </si>
  <si>
    <t>Високоякісне штукатурення стін по
каменю гіпсовими сумішами</t>
  </si>
  <si>
    <t>Опорядження  вологостійкою фанерою</t>
  </si>
  <si>
    <t>Galvanized metal beacon profiles</t>
  </si>
  <si>
    <t>Маячні профілі металеві оцинковані</t>
  </si>
  <si>
    <t>Керамічна плитка</t>
  </si>
  <si>
    <t>Fiberglass plaster mesh</t>
  </si>
  <si>
    <t>Сітка штукатурна скловолокниста</t>
  </si>
  <si>
    <t>Dry plaster mixes MP-75 Knauf</t>
  </si>
  <si>
    <t>Суміші сухі штукатурні МП-75 Knаuf</t>
  </si>
  <si>
    <t>штукатурка</t>
  </si>
  <si>
    <t>Wall reinforcement</t>
  </si>
  <si>
    <t>Армування стін</t>
  </si>
  <si>
    <t>Reinforcing mesh</t>
  </si>
  <si>
    <t>Сітка армувальна</t>
  </si>
  <si>
    <t>Gluing walls with fiberglas</t>
  </si>
  <si>
    <t>Обклеювання склосіткою стін</t>
  </si>
  <si>
    <t>Glue for glass mesh</t>
  </si>
  <si>
    <t>Клей для склосітки</t>
  </si>
  <si>
    <t xml:space="preserve"> Reinforcing glass mesh</t>
  </si>
  <si>
    <t xml:space="preserve">Армуюча склосітка </t>
  </si>
  <si>
    <t>Puttying walls with mineral putty</t>
  </si>
  <si>
    <t>Шпаклювання шпаклівкою мінеральною
стін</t>
  </si>
  <si>
    <t>Cerezit CT 29 mineral putty</t>
  </si>
  <si>
    <t>Шпаклівка мінеральна  Cerezit CT 29</t>
  </si>
  <si>
    <t>Add 1 mm of putty thickness</t>
  </si>
  <si>
    <t>Додавати на 1 мм товщини шпаклівки</t>
  </si>
  <si>
    <t>Mineral putty</t>
  </si>
  <si>
    <t xml:space="preserve">Шпаклівка мінеральна  </t>
  </si>
  <si>
    <t>Improved painting of walls with polyvinyl acetate water-based emulsion mixtures on prefabricated structures prepared for painting</t>
  </si>
  <si>
    <t>Поліпшене фарбування стін
полівінілацетатними водоемульсійними
сумішами по збірних конструкціях,
підготовлених під фарбування</t>
  </si>
  <si>
    <t>Water-based acrylic paint</t>
  </si>
  <si>
    <t>Фарба водоємульсійна акрилова</t>
  </si>
  <si>
    <t>Facing of wall surfaces with ceramic tiles on a dry adhesive mortar, the number of tiles per 1 m2 is up to 7 pieces</t>
  </si>
  <si>
    <t>Облицювання  поверхонь стін
керамічними плитками  на розчині із
сухої клеючої суміші, число плиток в 1 м2
до 7 шт</t>
  </si>
  <si>
    <t>Ceramic tiles for walls</t>
  </si>
  <si>
    <t>Плитки керамічні для стін</t>
  </si>
  <si>
    <t>Crosses 3mm</t>
  </si>
  <si>
    <t>Хрестики 3мм</t>
  </si>
  <si>
    <t>Adhesive mixture for ceramic tiles</t>
  </si>
  <si>
    <t>Colored seam 2-5mm</t>
  </si>
  <si>
    <t xml:space="preserve">Кольоровий шов 2-5мм </t>
  </si>
  <si>
    <t>Plastic corner 30x30</t>
  </si>
  <si>
    <t>Кутик пластиковий 30х30</t>
  </si>
  <si>
    <t>Installation of perforated plaster corners</t>
  </si>
  <si>
    <t>Установлення перфорованих
штукатурних кутиків</t>
  </si>
  <si>
    <t>100 m</t>
  </si>
  <si>
    <t>100м</t>
  </si>
  <si>
    <t>Galvanized perforated metal plaster corners</t>
  </si>
  <si>
    <t>Кутики штукатурні металеві оцинковані
перфоровані</t>
  </si>
  <si>
    <t>Finishing the walls with moisture resistant plywood</t>
  </si>
  <si>
    <t>Опорядження  стін вологостійкою фанерою</t>
  </si>
  <si>
    <t>Moisture resistant plywood</t>
  </si>
  <si>
    <t>Вологостійка фанера</t>
  </si>
  <si>
    <t>Accessories for installation of moisture resistant plywood</t>
  </si>
  <si>
    <t>Комплектуючі для монтажу вологостійкої фанери</t>
  </si>
  <si>
    <t>набір</t>
  </si>
  <si>
    <t>Chapter 20. Ceilings</t>
  </si>
  <si>
    <t>Розділ 20. Стелі</t>
  </si>
  <si>
    <t>Installation of the frame of suspen</t>
  </si>
  <si>
    <t>Улаштування каркасу підвісних стель</t>
  </si>
  <si>
    <t>T profile for metal crossbar, length 0.6 m</t>
  </si>
  <si>
    <t>Т профіль мателевий поперечний
довжиною 0,6 м</t>
  </si>
  <si>
    <t>Очищена поверхня. Грунт глибокого
проникнення. Пофарбування акриловою
фарбою у два шари</t>
  </si>
  <si>
    <t>Suspension thrust</t>
  </si>
  <si>
    <t>Очищена поверхня. Грунт глибокого
проникнення. Підвісна стеля із перфорованого
металічного листа</t>
  </si>
  <si>
    <t>Suspension</t>
  </si>
  <si>
    <t>Підвіс</t>
  </si>
  <si>
    <t>Очищена поверхня. Грунтування. ГКЛ
водостійкий. Шпаклювання. Пофарбування
акриловою фарбою</t>
  </si>
  <si>
    <t>Profile 3700x24x38mm prim clock Albes</t>
  </si>
  <si>
    <t>Профіль 3700х24х38мм prim clock Albes</t>
  </si>
  <si>
    <t>Очищена поверхня. Грунт глибокого
проникнення. Підвісні акустичні панелі з
дерев'яного волокна</t>
  </si>
  <si>
    <t>Profile 1200x24x38mm prim clock Albes</t>
  </si>
  <si>
    <t>Профіль 1200х24х38мм prim clock Albes</t>
  </si>
  <si>
    <t>Очищена поверхня. Грунт глибокого
проникнення. Підвісна стеля типу Armstrong</t>
  </si>
  <si>
    <t>Metal wall corner</t>
  </si>
  <si>
    <t>Кутик металевий пристіний</t>
  </si>
  <si>
    <t xml:space="preserve">підвісна </t>
  </si>
  <si>
    <t>Dowels 6x40 mm</t>
  </si>
  <si>
    <t>Дюбелі 6х40 мм</t>
  </si>
  <si>
    <t>Laying ceiling tiles in the ceiling frame (perforated metal tiles)</t>
  </si>
  <si>
    <t>Укладання плит стельових в каркас стелі
(плити перфововані металеві)</t>
  </si>
  <si>
    <t>Perforated metal ceiling plates</t>
  </si>
  <si>
    <t>Плити стельові перфоровані металеві</t>
  </si>
  <si>
    <t>Laying ceiling tiles in the ceiling frame</t>
  </si>
  <si>
    <t>Armstrong ceiling tiles 600x600mm</t>
  </si>
  <si>
    <t>Плити стельові Армстронг 600х600мм</t>
  </si>
  <si>
    <t>Laying ceiling tiles in the ceiling frame (acoustic panels made of wood fiber)</t>
  </si>
  <si>
    <t>Укладання плит стельових в каркас стелі
( акустичні панелі з деревяного волокна)</t>
  </si>
  <si>
    <t>Wood fiber ceiling acoustic panels</t>
  </si>
  <si>
    <t>Плити стельові акустичні панелі з
деревяного волокна</t>
  </si>
  <si>
    <t>Installation of plasterboard and gypsum fiber sheets on transoms with screw fastening and installation of a metal frame without insulation</t>
  </si>
  <si>
    <t>Улаштування обшивки гіпсокартонними і
гіпсоволокнистими листами ригелів з
кріпленням шурупами з улаштуванням
металевого каркасу без утеплення</t>
  </si>
  <si>
    <t>Universal bracket 125</t>
  </si>
  <si>
    <t>Скоба універсальна 125</t>
  </si>
  <si>
    <t>Self-tapping screws 3.5x9.5 mm</t>
  </si>
  <si>
    <t>Саморізи 3,5х9,5 мм</t>
  </si>
  <si>
    <t>Puttying ceilings with mineral putty</t>
  </si>
  <si>
    <t>Шпаклювання шпаклівкою мінеральною
стель</t>
  </si>
  <si>
    <t>Improved painting of ceilings with polyvinyl acetate water-based emulsion mixtures on prefabricated structures prepared for painting</t>
  </si>
  <si>
    <t>Поліпшене фарбування стель
полівінілацетатними водоемульсійними
сумішами по збірних конструкціях,
підготовлених під фарбування</t>
  </si>
  <si>
    <t>Water-based acrylic paint ST42</t>
  </si>
  <si>
    <t>Фарба водоємульсійна акрилова СТ42</t>
  </si>
  <si>
    <t>Local estimate 02-01-03 for installation work of ventilation and air conditioning</t>
  </si>
  <si>
    <t>Локальний кошторис 02-01-03 на
Монтажні роботи  вентиляції і
кондиціонування</t>
  </si>
  <si>
    <t>Section 1. Ventilation</t>
  </si>
  <si>
    <t>Розділ 1. Вентиляція</t>
  </si>
  <si>
    <t>PV1 system</t>
  </si>
  <si>
    <t>Система ПВ1</t>
  </si>
  <si>
    <t>Installation of typical inlet chambers without an irrigation section with a capacity of u</t>
  </si>
  <si>
    <t>Установлення камер припливних типових
без секції зрошення продуктивністю до
10 тис.м3/год</t>
  </si>
  <si>
    <t>chamber</t>
  </si>
  <si>
    <t>камеpа</t>
  </si>
  <si>
    <t>Installation of the automat</t>
  </si>
  <si>
    <t>Монтаж компекта автоматики:</t>
  </si>
  <si>
    <t>Installing the microcontroller</t>
  </si>
  <si>
    <t>Установлення мікроконтролера</t>
  </si>
  <si>
    <t>Sensor installation</t>
  </si>
  <si>
    <t>Монтаж датчиків</t>
  </si>
  <si>
    <t>Installation of t</t>
  </si>
  <si>
    <t>Монтаж термостата</t>
  </si>
  <si>
    <t>Installation of the au</t>
  </si>
  <si>
    <t>Монтаж щита автоматики</t>
  </si>
  <si>
    <t>Installation of ceiling diffusers</t>
  </si>
  <si>
    <t>Установлення дифузорів стельових</t>
  </si>
  <si>
    <t xml:space="preserve">Ceiling diffuser with connection 125 PDK-9 </t>
  </si>
  <si>
    <t>Дифузор стельовий з підключенням ф125 ПДК-9</t>
  </si>
  <si>
    <t>Ceiling diffuser 150x150 with connection 100 PDK-6</t>
  </si>
  <si>
    <t xml:space="preserve">Дифузор стельовий 150х150 з підключенням ф100 ПДК-6 </t>
  </si>
  <si>
    <t>Connection for ceiling diffuser 125</t>
  </si>
  <si>
    <t>Підключення для стельового дифузора ф125</t>
  </si>
  <si>
    <t>Connection for ceiling diffuser 100</t>
  </si>
  <si>
    <t>Підключення для стельового дифузора ф100</t>
  </si>
  <si>
    <t>Installation of fire dampers with a perimeter of up to 16</t>
  </si>
  <si>
    <t>Установлення клапанів протипожежних
периметром до 2400 мм</t>
  </si>
  <si>
    <t>valve</t>
  </si>
  <si>
    <t>Fire valve FPD-90-700х250-O- M24-T-2F Aerostar</t>
  </si>
  <si>
    <t>Клапан протипожежний FPD-90-700х250-O-
M24-T-2F     Аеростар</t>
  </si>
  <si>
    <t>Laying of air ducts made of galvanized steel class P [dense] with a thickness of 0.7 mm, a perim</t>
  </si>
  <si>
    <t>Прокладання повітроводів з оцинкованої
сталі класу П [щільні] товщиною 0,7 мм,
периметром до 900 мм</t>
  </si>
  <si>
    <t>Laying of air ducts made of galvanized steel of class P [dense] with a thickness of 0.7 mm, a perimeter of 1000 mm</t>
  </si>
  <si>
    <t>Прокладання повітроводів з оцинкованої
сталі класу П [щільні] товщиною 0,7 мм,
периметром 1000 мм</t>
  </si>
  <si>
    <t>Laying of air ducts made of galvanized steel class P [dense] with a thickness of 0.7 mm, with a perimeter of 1100 to 1600 mm</t>
  </si>
  <si>
    <t>Прокладання повітроводів з оцинкованої
сталі класу П [щільні] товщиною 0,7 мм,
периметром від 1100 до 1600 мм</t>
  </si>
  <si>
    <t>Laying of air ducts made of galvanized steel class P [dense] with a thickness of 0.7 mm, with a peri</t>
  </si>
  <si>
    <t>Прокладання повітроводів з оцинкованої
сталі класу П [щільні] товщиною 0,7 мм,
периметром до 2400 мм</t>
  </si>
  <si>
    <t>Throttle valve DKК ф125</t>
  </si>
  <si>
    <t>Дроссель-клапан ДКК ф125</t>
  </si>
  <si>
    <t>Throttle valve DKК ф100</t>
  </si>
  <si>
    <t>Дроссель-клапан ДКК ф100</t>
  </si>
  <si>
    <t>Metal mesh, square, 10x10mm, galvanized</t>
  </si>
  <si>
    <t>Сітка металева кр. 10х10мм оцинкована</t>
  </si>
  <si>
    <t>Laying flexible heat-resistant insulated air ducts 100</t>
  </si>
  <si>
    <t>Прокладання повітропроводів гнучких термостійких ізольованих ф100</t>
  </si>
  <si>
    <t>Laying flexible heat-resistant insulated air ducts 125</t>
  </si>
  <si>
    <t>Прокладання повітропроводів гнучких термостійких ізольованих ф125</t>
  </si>
  <si>
    <t>Air duct fasteners [brackets, strips, clamps]</t>
  </si>
  <si>
    <t>Крiплення для повітропроводiв
[кронштейни, планки, хомути]</t>
  </si>
  <si>
    <t>Fireproof plaster mix FIBROGAINE b=2mm</t>
  </si>
  <si>
    <t>Вогнетривка штукатурна суміш FIBROGAINE б=2мм</t>
  </si>
  <si>
    <t>Mineral wool stitched mat b=40mm in a window frame</t>
  </si>
  <si>
    <t>Мат прошивний з мінвати б=40мм в окожушці</t>
  </si>
  <si>
    <t>P2 system</t>
  </si>
  <si>
    <t>Система П2</t>
  </si>
  <si>
    <t xml:space="preserve">Дифузор стельовий 150х150 з підключенням ф100 ПДК-6 ФОП Григоренко </t>
  </si>
  <si>
    <t>Installing the grille 200x200    3070-1Н</t>
  </si>
  <si>
    <t>Установлення грат 200x200    3070-1Н</t>
  </si>
  <si>
    <t xml:space="preserve">grilles </t>
  </si>
  <si>
    <t>Прокладання повітропроводів гнучких термостійких неізольованих ф100</t>
  </si>
  <si>
    <t>Insulation of flat surfaces with mineral wool boards on a synthetic binder</t>
  </si>
  <si>
    <t>Ізоляція плоских поверхонь плитами
мінераловатними на синтетичному
зв'язуючому</t>
  </si>
  <si>
    <t xml:space="preserve">Thermal insulation of air ducts, 40 mm thick </t>
  </si>
  <si>
    <t xml:space="preserve">Теплова ізоляція повітроводів ,
товщиною  40 мм </t>
  </si>
  <si>
    <t>PV2 system</t>
  </si>
  <si>
    <t>Система ПВ2</t>
  </si>
  <si>
    <t>Installation of the compressor-condenser</t>
  </si>
  <si>
    <t>Монтаж компресорно-конденсаторного
блока</t>
  </si>
  <si>
    <t>Ceiling diffuser 400х400 PDK 16</t>
  </si>
  <si>
    <t>Стельовий дифузор 400х400 ПДК 16</t>
  </si>
  <si>
    <t>Installing plenum adapter for diffusers</t>
  </si>
  <si>
    <t>Установлення пленум-адаптер для
дифузорів</t>
  </si>
  <si>
    <t>Plenum adapter for diffuser, connection ф200</t>
  </si>
  <si>
    <t>Пленум адаптер для дифузора, підключення ф200</t>
  </si>
  <si>
    <t>Fire valve FPD-90-600x500-O- M24-T-2F Aerostar</t>
  </si>
  <si>
    <t>Клапан протипожежний FPD-90-600x500-O-
M24-T-2F     Аеростар</t>
  </si>
  <si>
    <t>Прокладання повітроводів з оцинкованої
сталі класу П [щільні] товщиною 0,7 мм,
периметром 900 мм</t>
  </si>
  <si>
    <t>Throttle valve DKК ф200</t>
  </si>
  <si>
    <t>Дроссель-клапан ДКК ф200</t>
  </si>
  <si>
    <t>Insulation of flat surfaces with mineral wool boards on a synthetic binder K-Flex</t>
  </si>
  <si>
    <t>Ізоляція плоских поверхонь плитами
мінераловатними на синтетичному
зв'язуючому K-Flex</t>
  </si>
  <si>
    <t>PV3 system</t>
  </si>
  <si>
    <t>Система ПВ3</t>
  </si>
  <si>
    <t>Installation of round ceiling diffusers</t>
  </si>
  <si>
    <t>Установлення дифузорів стельових круглих</t>
  </si>
  <si>
    <t>Round ceiling diffuser SD 250/G</t>
  </si>
  <si>
    <t>Стельовий дифузор круглий SDф250/G</t>
  </si>
  <si>
    <t>Ceiling diffuser 150х150 PDK 6</t>
  </si>
  <si>
    <t>Стельовий дифузор 150х150 ПДК 6</t>
  </si>
  <si>
    <t>Plenum adapter for diffuser, connection ф100</t>
  </si>
  <si>
    <t>Пленум адаптер для дифузора, підключення ф100</t>
  </si>
  <si>
    <t>Single-row adjustable grille 500х500</t>
  </si>
  <si>
    <t>Решітка однорядна регулюєма 500х500</t>
  </si>
  <si>
    <t>Fire valve FPD-90-700x250-O- M24-T-2F Aerostar</t>
  </si>
  <si>
    <t>Клапан протипожежний FPD-90-700x250-O-
M24-T-2F     Аеростар</t>
  </si>
  <si>
    <t>Throttle valve DKК ф250</t>
  </si>
  <si>
    <t>Дроссель-клапан ДКК ф250</t>
  </si>
  <si>
    <t>Metal mesh kr. 10x10mm galvanized</t>
  </si>
  <si>
    <t>PV4 system</t>
  </si>
  <si>
    <t>Система ПВ4</t>
  </si>
  <si>
    <t>Ceiling diffuser PDK 9</t>
  </si>
  <si>
    <t>Стельовий дифузор ПДК 9</t>
  </si>
  <si>
    <t>Plenum adapter for diffuser, connection ф125</t>
  </si>
  <si>
    <t>Пленум адаптер для дифузора, підключення ф125</t>
  </si>
  <si>
    <t>Installation of exhaust anemostats</t>
  </si>
  <si>
    <t>Установлення витяжних анемостатів</t>
  </si>
  <si>
    <t>Exhaust Plate Anemostat DVS-100</t>
  </si>
  <si>
    <t>Витяжний тарілчатий анемостат DVS-100</t>
  </si>
  <si>
    <t>Установлення клапанів протипожежних
периметром до 1600 мм</t>
  </si>
  <si>
    <t>Fire valve FPD-90-400x250-O- M24-T-2F Aerostar</t>
  </si>
  <si>
    <t>Клапан протипожежний FPD-90-400x250-O-
M24-T-2F     Аеростар</t>
  </si>
  <si>
    <t>PV5 system</t>
  </si>
  <si>
    <t>Система ПВ5</t>
  </si>
  <si>
    <t>Ceiling diffuser 350х350 PDK 14</t>
  </si>
  <si>
    <t>Стельовий дифузор 350х350 ПДК 14</t>
  </si>
  <si>
    <t>Plenum adapter for diffuser, connection ф250</t>
  </si>
  <si>
    <t>Пленум адаптер для дифузора, підключення ф250</t>
  </si>
  <si>
    <t>Ceiling diffuser 485x485 PDK 20</t>
  </si>
  <si>
    <t>Стельовий дифузор 485x485 ПДК 20</t>
  </si>
  <si>
    <t>Fire valve FPD-90-500X250-O- M24-T-2F Aerostar</t>
  </si>
  <si>
    <t>Клапан протипожежний FPD-90-500x250-O-
M24-T-2F     Аеростар</t>
  </si>
  <si>
    <t>Throttle valve DKK ф250</t>
  </si>
  <si>
    <t>Дроссель-клапан ДКK ф250</t>
  </si>
  <si>
    <t>Refractory plaster mixture FIBROGAINE b=2mm</t>
  </si>
  <si>
    <t>Piercing mat made of mineral wool b=40mm</t>
  </si>
  <si>
    <t>Мат прошивний з мінвати б=40мм</t>
  </si>
  <si>
    <t>Galvanized steel shell</t>
  </si>
  <si>
    <t>Окожушка з оцинкованої сталі</t>
  </si>
  <si>
    <t>PV6 system</t>
  </si>
  <si>
    <t>Система ПВ6</t>
  </si>
  <si>
    <t>Installation of fire dampers with a perimeter of up to 2400</t>
  </si>
  <si>
    <t>Fire valve FPD-90-950х250-O- M24-T-2F Aerostar</t>
  </si>
  <si>
    <t>Клапан протипожежний FPD-90-950X250-O-
M24-T-2F     Аеростар</t>
  </si>
  <si>
    <t>Fire valve FPD-90-500х250-O- M24-T-2F Aerostar</t>
  </si>
  <si>
    <t>Клапан протипожежний FPD-90-500х250-O-
M24-T-2F     Аеростар</t>
  </si>
  <si>
    <t>Прокладання повітроводів з оцинкованої
сталі класу П [щільні] товщиною 0,7 мм,
периметром до 3200 мм</t>
  </si>
  <si>
    <t>Throttle valve DKК 125</t>
  </si>
  <si>
    <t>Дроссель-клапан ДКК 125</t>
  </si>
  <si>
    <t>PV7 system</t>
  </si>
  <si>
    <t>Система ПВ7</t>
  </si>
  <si>
    <t>Air curtain installation</t>
  </si>
  <si>
    <t>Монтаж повітряної завіси</t>
  </si>
  <si>
    <t>Installing the grille</t>
  </si>
  <si>
    <t>Установлення грат</t>
  </si>
  <si>
    <t>Single-row adjustable grille 200x150</t>
  </si>
  <si>
    <t>Решітка однорядна регулюєма 200х150</t>
  </si>
  <si>
    <t>Installation of external grilles</t>
  </si>
  <si>
    <t>Встановлення решіток зовнішніх</t>
  </si>
  <si>
    <t>External grille with protective mesh RAL (façade) 300x300</t>
  </si>
  <si>
    <t>Решітка зовнішня з захисною сіткою RAL(фасад) 300х300</t>
  </si>
  <si>
    <t>Fire valve FPD-90-40X20-O- M220-T-2F Aerostar</t>
  </si>
  <si>
    <t>Клапан протипожежний FPD-90-40X20-O-
M220-T-2F     Аеростар</t>
  </si>
  <si>
    <t>Throttle valve DKK100</t>
  </si>
  <si>
    <t>Дроссель-клапан ДКK 100</t>
  </si>
  <si>
    <t>Throttle valve DKK 160</t>
  </si>
  <si>
    <t>Дроссель-клапан ДКK 160</t>
  </si>
  <si>
    <t>Laying flexible air ducts DN100</t>
  </si>
  <si>
    <t>Прокладання гнучких повітропроводів Ду100</t>
  </si>
  <si>
    <t>Laying flexible air ducts DN160</t>
  </si>
  <si>
    <t>Прокладання гнучких повітропроводів Ду160</t>
  </si>
  <si>
    <t>Мат прошивний з мінеральної вати б=40мм</t>
  </si>
  <si>
    <t>PV8 system</t>
  </si>
  <si>
    <t>Система ПВ8</t>
  </si>
  <si>
    <t>Installing silencers</t>
  </si>
  <si>
    <t>Встановлення шумоглушників</t>
  </si>
  <si>
    <t>Silencer DN200 RMN 200/5</t>
  </si>
  <si>
    <t>Шумоглушник ф200 RMN 200/5</t>
  </si>
  <si>
    <t>External grille RAL (façade) 300x300 3070-1N</t>
  </si>
  <si>
    <t>Решітка зовнішня RAL (фасад) 300х300     3070-1Н</t>
  </si>
  <si>
    <t>Throttle valve DKK 125</t>
  </si>
  <si>
    <t>Дроссель-клапан ДКK 125</t>
  </si>
  <si>
    <t>Laying flexible air ducts DN125</t>
  </si>
  <si>
    <t>Прокладання гнучких повітропроводів Ду125</t>
  </si>
  <si>
    <t>P1 system</t>
  </si>
  <si>
    <t>Система П1</t>
  </si>
  <si>
    <t>Silencer SMN 60-30</t>
  </si>
  <si>
    <t>Шумоглушник SMN 60-30</t>
  </si>
  <si>
    <t>Adjustable two-row grille 300x150</t>
  </si>
  <si>
    <t>Решітка дворядна регулюєма 300х150</t>
  </si>
  <si>
    <t>Single-row adjustable grille 600x250</t>
  </si>
  <si>
    <t>Решітка однорядна регулюєма 600х250</t>
  </si>
  <si>
    <t>Non-adjustable single-row grille 150x100</t>
  </si>
  <si>
    <t>Решітка однорядна нерегулюєма 150х100</t>
  </si>
  <si>
    <t>Non-adjustable single-row grille 150x150</t>
  </si>
  <si>
    <t>Решітка однорядна нерегулюєма 150х150</t>
  </si>
  <si>
    <t>External grille 1550x530 3070-1N</t>
  </si>
  <si>
    <t>Решітка зовнішня 1550х530     3070-1Н</t>
  </si>
  <si>
    <t>Piercing mat made of mineral wool b=40mm in a shell</t>
  </si>
  <si>
    <t>Roll self-adhesive thermal insulation b=10mm K-FLEX ST DUCT ALU AD</t>
  </si>
  <si>
    <t>Рулонна самоклеюча теплоізоляція б=10мм K-FLEX ST DUCT ALU AD</t>
  </si>
  <si>
    <t>System B1, B9-B11, B15</t>
  </si>
  <si>
    <t>Система В1, В9-В11, В15</t>
  </si>
  <si>
    <t>Installation of axial fans weighing up to 0.025 t</t>
  </si>
  <si>
    <t>Установлення вентиляторів осьових
масою до 0,025 т</t>
  </si>
  <si>
    <t>Duct centrifugal fan RV 100L Aerostar</t>
  </si>
  <si>
    <t>Канальний центробіжний вентилятор
RV 100L Аеростар</t>
  </si>
  <si>
    <t>Installing flexible inserts for radial fans</t>
  </si>
  <si>
    <t>Установлення вставок гнучких до
радіальних вентиляторів</t>
  </si>
  <si>
    <t>Flexible conduit ф100</t>
  </si>
  <si>
    <t>Повтровод гнучкий ф100</t>
  </si>
  <si>
    <t>Installation of check valves with a perimeter of up to 1600 mm</t>
  </si>
  <si>
    <t>Установлення клапанів зворотних периметром до 1600 мм</t>
  </si>
  <si>
    <t>Check valve ZK100</t>
  </si>
  <si>
    <t>Клапан зворотний ЗК100</t>
  </si>
  <si>
    <t>Fire valve FPD-90-ф100-O- M24-T-2F Aerostar</t>
  </si>
  <si>
    <t>Клапан протипожежний FPD-90-ф100-O-
M24-T-2F    Аеростар</t>
  </si>
  <si>
    <t>Installation of ventilation plate silencers</t>
  </si>
  <si>
    <t>Установлення шумоглушників
вентиляційних пластинчастих</t>
  </si>
  <si>
    <t>Silencer RMN 100/5 length 500mm Aerostar</t>
  </si>
  <si>
    <t>Шумоглушник RMN 100/5  довжиною
500мм  Аеростар</t>
  </si>
  <si>
    <t>Installation of louver grilles with an opening area of up to 0.25 m2</t>
  </si>
  <si>
    <t>Установлення грат жалюзійних площею у
просвіті до 0,25 м2</t>
  </si>
  <si>
    <t xml:space="preserve">Single-row non-adjustable grille 100x100 </t>
  </si>
  <si>
    <t xml:space="preserve">Решітка однорядна нерегулюєма
100x100 </t>
  </si>
  <si>
    <t xml:space="preserve">Single-row adjustable grille 100x100 </t>
  </si>
  <si>
    <t xml:space="preserve">Решітка однорядна регулюєма
100x100 </t>
  </si>
  <si>
    <t>System B2, B14</t>
  </si>
  <si>
    <t>Система В2, В14</t>
  </si>
  <si>
    <t>Канальний центробіжний вентилятор
RV 125L Аеростар</t>
  </si>
  <si>
    <t>Silencer RMN 125/5 length 500mm Aerostar</t>
  </si>
  <si>
    <t>Шумоглушник RMN 125/5  довжиною
500мм  Аеростар</t>
  </si>
  <si>
    <t>Fire valve FPD-90-ф125-O- M24-T-2F Aerostar</t>
  </si>
  <si>
    <t>Клапан протипожежний FPD-90-ф125-O-
M24-T-2F    Аеростар</t>
  </si>
  <si>
    <t>Check valve ZK125</t>
  </si>
  <si>
    <t>Клапан зворотний ЗК125</t>
  </si>
  <si>
    <t>Installation of ceiling anemostats</t>
  </si>
  <si>
    <t>Установлення анемостатів стельових</t>
  </si>
  <si>
    <t>Installation of ventilation umbrellas</t>
  </si>
  <si>
    <t>Установлення вентиляційих зонтів</t>
  </si>
  <si>
    <t>Ventilation umbrella</t>
  </si>
  <si>
    <t>Вентиляційний зонт</t>
  </si>
  <si>
    <t>Single-row adjustable grille 150х150</t>
  </si>
  <si>
    <t xml:space="preserve">Решітка однорядна регулюєма
150x150 </t>
  </si>
  <si>
    <t>Single-row adjustable grille 150х100</t>
  </si>
  <si>
    <t xml:space="preserve">Решітка однорядна регулюєма
150x100 </t>
  </si>
  <si>
    <t>System B3</t>
  </si>
  <si>
    <t>Система В3</t>
  </si>
  <si>
    <t>Installation of roof fans weighing up to 0.05 tons</t>
  </si>
  <si>
    <t>Установлення вентиляторів дахових масою до 0,05 т</t>
  </si>
  <si>
    <t>Roof fan SRV 56/35-4D Aerostar</t>
  </si>
  <si>
    <t>Вентилятор даховий SRV 56/35-4D Аеростар</t>
  </si>
  <si>
    <t>Roof transition with check valve and silencer TRM 40/FC</t>
  </si>
  <si>
    <t>Даховий перехід із зворотним клапаном та шумоглушником TRM 40/FC</t>
  </si>
  <si>
    <t>Fire valve FPD-90-ф200-O- M24-T-2F Aerostar</t>
  </si>
  <si>
    <t>Клапан протипожежний FPD-90-ф200-O-
M24-T-2F    Аеростар</t>
  </si>
  <si>
    <t>Consumables + work</t>
  </si>
  <si>
    <t>System B4, В5, В8</t>
  </si>
  <si>
    <t>Система B4, В5, В8</t>
  </si>
  <si>
    <t>Duct centrifugal fan RV 160L Aerostar</t>
  </si>
  <si>
    <t>Канальний центробіжний вентилятор
RV 160L Аеростар</t>
  </si>
  <si>
    <t>Silencer RMN 160/5 length 500mm Aerostar</t>
  </si>
  <si>
    <t>Шумоглушник RMN 160/5  довжиною
500мм  Аеростар</t>
  </si>
  <si>
    <t>Fire valve FPD-90-ф160-O- M24-T-2F Aerostar</t>
  </si>
  <si>
    <t>Клапан протипожежний FPD-90-ф160-O-
M24-T-2F    Аеростар</t>
  </si>
  <si>
    <t>Check valve ZK160</t>
  </si>
  <si>
    <t>Клапан зворотний ЗК160</t>
  </si>
  <si>
    <t>Exhaust Plate Anemostat DVS-125</t>
  </si>
  <si>
    <t>Витяжний тарілчатий анемостат DVS-125</t>
  </si>
  <si>
    <t>Throttle valve DKK125</t>
  </si>
  <si>
    <t>Throttle valve DKK160</t>
  </si>
  <si>
    <t>External grille 250x250 3070-1N</t>
  </si>
  <si>
    <t>Решітка зовнішня 250х250      3070-1Н</t>
  </si>
  <si>
    <t>System B6, В7, В12, В13</t>
  </si>
  <si>
    <t>Система B6, В7, В12, В13</t>
  </si>
  <si>
    <t>Duct centrifugal fan RV 200L Aerostar</t>
  </si>
  <si>
    <t>Канальний центробіжний вентилятор
RV 200L Аеростар</t>
  </si>
  <si>
    <t>Silencer RMN 200/5 length 500mm Aerostar</t>
  </si>
  <si>
    <t>Шумоглушник RMN 200/5  довжиною
500мм  Аеростар</t>
  </si>
  <si>
    <t>Installing check valves with a perimeter of up to 1600 mm</t>
  </si>
  <si>
    <t>Установлення клапанів зворотних
периметром до 1600 мм</t>
  </si>
  <si>
    <t>Check valve DN200</t>
  </si>
  <si>
    <t>Клапан зворотний ЗК200</t>
  </si>
  <si>
    <t xml:space="preserve">Решітка однорядна регулюєма 150x150 </t>
  </si>
  <si>
    <t>Single-row adjustable grille 200х150</t>
  </si>
  <si>
    <t xml:space="preserve">Решітка однорядна регулюєма 200x150 </t>
  </si>
  <si>
    <t>Adjustable two-row grille 200x150</t>
  </si>
  <si>
    <t xml:space="preserve">Решітка дворядна регулюєма 200x150 </t>
  </si>
  <si>
    <t>System TX1,2,3</t>
  </si>
  <si>
    <t>Система ТХ1,2,3</t>
  </si>
  <si>
    <t>Installation of axial fans weighing up to 0.05 t</t>
  </si>
  <si>
    <t>Установлення вентиляторів осьових
масою до 0,05 т</t>
  </si>
  <si>
    <t>The fan is centrifugal in a sound-heat-insulated case with a frame, complete with a starter. (up to 120°C), Ne=0.55kW, 380V KFS-250/0.55/2-315 Aerostar</t>
  </si>
  <si>
    <t>Вентилятор відцентровий у шумо-теплоізольованому корпусі з рамою, в комплекті з пускачем. (до 120°С), Nе=0,55кВт, 380В KFS-250/0,55/2-315 Аеростар</t>
  </si>
  <si>
    <t>The fan is centrifugal in a sound-heat-insulated case with a frame, complete with a starter. (up to 120°C), Ne=1.1kW, 380V KFS-315/1.1/2-315 Aerostar</t>
  </si>
  <si>
    <t>Вентилятор відцентровий у шумо-теплоізольованому корпусі з рамою, в комплекті з пускачем. (до 120°С), Nе=1,1кВт, 380В KFS-315/1,1/2-315 Аеростар</t>
  </si>
  <si>
    <t>The fan is centrifugal in a sound-heat-insulated case with a frame, complete with a starter. (up to 120°C), Ne=2.2kW, 380V KFS-355/0.37/4-400 Aerostar</t>
  </si>
  <si>
    <t>Вентилятор відцентровий у шумо-теплоізольованому корпусі з рамою, в комплекті з пускачем. (до 120°С), Nе=2,2кВт, 380В KFS-355/0,37/4-400 Аеростар</t>
  </si>
  <si>
    <t>Throttle valve DKK200</t>
  </si>
  <si>
    <t>Дроссель-клапан ДКK 200</t>
  </si>
  <si>
    <t>Throttle valve DKK250</t>
  </si>
  <si>
    <t>Дроссель-клапан ДКK 250</t>
  </si>
  <si>
    <t>Laying of air ducts made of galvanized steel class P [dense], 0.5 mm thick, 700х250</t>
  </si>
  <si>
    <t>Прокладання повітроводів з оцинкованої
сталі класу П [щільні] товщиною 0,5 мм,
700х250</t>
  </si>
  <si>
    <t>Laying of air ducts made of galvanized steel class P [dense], 0.5 mm thick, 500х250</t>
  </si>
  <si>
    <t>Прокладання повітроводів з оцинкованої
сталі класу П [щільні] товщиною 0,5 мм,
500х250</t>
  </si>
  <si>
    <t>Laying of air ducts made of galvanized steel class P [dense], 0.5 mm thick, 400х250</t>
  </si>
  <si>
    <t>Прокладання повітроводів з оцинкованої
сталі класу П [щільні] товщиною 0,5 мм,
400х250</t>
  </si>
  <si>
    <t>Laying of air ducts made of galvanized steel class P [dense], 0.5 mm thick, 400 mm in diameter</t>
  </si>
  <si>
    <t>Прокладання повітроводів з оцинкованої
сталі класу П [щільні] товщиною 0,5 мм,
діаметром 400 мм</t>
  </si>
  <si>
    <t>Laying of air ducts made of galvanized steel class P [dense], 0.5 mm thick, 315 mm in diameter</t>
  </si>
  <si>
    <t>Прокладання повітроводів з оцинкованої
сталі класу П [щільні] товщиною 0,5 мм,
діаметром 315 мм</t>
  </si>
  <si>
    <t>Laying of air ducts made of galvanized steel class P [dense], 0.5 mm thick, 250 mm in diameter</t>
  </si>
  <si>
    <t>Прокладання повітроводів з оцинкованої
сталі класу П [щільні] товщиною 0,5 мм,
діаметром 250 мм</t>
  </si>
  <si>
    <t>Laying of air ducts made of galvanized steel class P [dense], 0.5 mm thick, 200 mm in diameter</t>
  </si>
  <si>
    <t>Прокладання повітроводів з оцинкованої
сталі класу П [щільні] товщиною 0,5 мм,
діаметром 200 мм</t>
  </si>
  <si>
    <t>Inspection hatch for round air ducts 250x150</t>
  </si>
  <si>
    <t>Лючок ревізійний для круглих повітропроводів 250х150</t>
  </si>
  <si>
    <t>Fire valve FPD-90-ф315-O- M24-T-2F Aerostar</t>
  </si>
  <si>
    <t>Клапан протипожежний FPD-90-ф315-O-
M24-T-2F    Аеростар</t>
  </si>
  <si>
    <t>Fire valve FPD-90-ф400-O- M24-T-2F Aerostar</t>
  </si>
  <si>
    <t>Клапан протипожежний FPD-90-ф400-O-
M24-T-2F    Аеростар</t>
  </si>
  <si>
    <t>Section 2. Conditioning</t>
  </si>
  <si>
    <t>Розділ 2. Кондиціонування</t>
  </si>
  <si>
    <t>Installation of the compressor-condenser unit, weight 0.31 t</t>
  </si>
  <si>
    <t>Монтаж компресорно-конденсаторного
блока, маса 0,31 т</t>
  </si>
  <si>
    <t>Installation of brackets for ventilation equipment</t>
  </si>
  <si>
    <t>Установлення кронштейнів під
вентиляційне устаткування</t>
  </si>
  <si>
    <t>Pipeline laying</t>
  </si>
  <si>
    <t>Прокладання трубопроводів</t>
  </si>
  <si>
    <t>Copper pipe pipelines for nominal pressure up to 2.5 MPa [25 kgf/cm2], external diameter 18 mm (freon pipes)</t>
  </si>
  <si>
    <t>Трубопроводи з мiдних труб на умовний
тиск до 2,5 МПа [25 кгс/см2], дiаметр
зовнiшнiй 18 мм (фреонопроводи)</t>
  </si>
  <si>
    <t>Copper pipe pipelines for nominal pressure up to 2.5 MPa [25 kgf/cm2], outer diameter 28 mm</t>
  </si>
  <si>
    <t>Трубопроводи з мідних труб на умовний
тиск до 2,5 МПа [25 кгс/см2], діаметр
зовнішній 28 мм</t>
  </si>
  <si>
    <t>Copper tube 9.52x0.81 mm</t>
  </si>
  <si>
    <t>Трубка мідна  9,52х0,81 мм</t>
  </si>
  <si>
    <t>Copper pipes 22,2x1.1 mm</t>
  </si>
  <si>
    <t>Труби мідні 22,2х1,1 мм</t>
  </si>
  <si>
    <t>Pipeline insulation with foam rubber and polyethylene tubes</t>
  </si>
  <si>
    <t>Ізоляція трубопроводів трубками зі
спіненого каучуку, поліетилену</t>
  </si>
  <si>
    <t>Thermal insulation for pipes K FLEX ST 09x010-2ST</t>
  </si>
  <si>
    <t>Термоiзоляцiя для труб     К FLEX ST
09x010-2ST</t>
  </si>
  <si>
    <t>Thermal insulation for pipes K FLEX ST 09x022-2ST</t>
  </si>
  <si>
    <t>Термоiзоляцiя для труб     К FLEX ST
09x022-2ST</t>
  </si>
  <si>
    <t>Refrigerant R 32</t>
  </si>
  <si>
    <t>Холодоагент R 32</t>
  </si>
  <si>
    <t>Refrigerant R 410 A</t>
  </si>
  <si>
    <t>Холодоагент R 410 А</t>
  </si>
  <si>
    <t>Drainage:</t>
  </si>
  <si>
    <t>Дренаж:</t>
  </si>
  <si>
    <t>Laying water supply pipelines from polyethylene [polypropylene] pressure pipes with a diameter of 20 mm</t>
  </si>
  <si>
    <t>Прокладання трубопроводів
водопостачання з труб поліетиленових
[поліпропіленових] напірних діаметром
20 мм</t>
  </si>
  <si>
    <t>Polypropylene pipes PN 20 for hot water and heating, diameter 20x3.4 mm</t>
  </si>
  <si>
    <t>Труби поліпропіленові PN 20 для гарячої
води і опалення діам. 20х3,4 мм</t>
  </si>
  <si>
    <t>Laying water supply pipelines from polyethylene [polypropylene] pressure pipes with a diameter of 32 mm</t>
  </si>
  <si>
    <t>Прокладання трубопроводів
водопостачання з труб поліетиленових
[поліпропіленових] напірних діаметром
32 мм</t>
  </si>
  <si>
    <t>Polypropylene pipes PN 20 for hot water and heating, diameter 32x5.4 mm</t>
  </si>
  <si>
    <t>Труби поліпропіленові PN 20 для гарячої
води і опалення діам. 32х5,4 мм</t>
  </si>
  <si>
    <t>Laying water supply pipelines from polyethylene [polypropylene] pressure pipes with a diameter of 40 mm</t>
  </si>
  <si>
    <t>Прокладання трубопроводів
водопостачання з труб поліетиленових
[поліпропіленових] напірних діаметром
40 мм</t>
  </si>
  <si>
    <t>Polypropylene pipes PN 20 for hot water and heating, diameter 40x6.7 mm</t>
  </si>
  <si>
    <t>Труби поліпропіленові PN 20 для гарячої
води і опалення діам. 40х6,7 мм</t>
  </si>
  <si>
    <t>Local estimate 02-01-04 for the purchase of ventilation and air conditioning equipment</t>
  </si>
  <si>
    <t>Локальний кошторис 02-01-04 на
Придбання устаткування вентиляції і
кондиціонування</t>
  </si>
  <si>
    <t>Supply and exhaust unit Aerostar GreenSTR 4 PV1</t>
  </si>
  <si>
    <t>Припливно-витяжна установка  Aerostar
GreenSTR 4 ПВ1</t>
  </si>
  <si>
    <t>Automation kit PV1</t>
  </si>
  <si>
    <t>Комплект автоматики ПВ1</t>
  </si>
  <si>
    <t>Supply and exhaust unit Aerostar GreenSTR 5 PV2</t>
  </si>
  <si>
    <t>Припливно-витяжна установка  Aerostar
GreenSTR 5 ПВ2</t>
  </si>
  <si>
    <t>Automation kit PV2</t>
  </si>
  <si>
    <t>Комплект автоматики ПВ2</t>
  </si>
  <si>
    <t>Compressor-condenser unit K2 to PV2 system Hitachi RAS-4.0 HNSKQ</t>
  </si>
  <si>
    <t>Компресорно-конденсаторний блок K2 для ПВ2
Hitachi RAS-4,0 HNSKQ</t>
  </si>
  <si>
    <t>Wired remote control HCWA10NEGQ</t>
  </si>
  <si>
    <t>Провідний пульт управління
HCWA10NEGQ</t>
  </si>
  <si>
    <t>Strapping DXF-4.0A1</t>
  </si>
  <si>
    <t>Обв'язка DXF-4.0A1</t>
  </si>
  <si>
    <t>Supply and exhaust unit Aerostar GreenSTR 3 PV3</t>
  </si>
  <si>
    <t>Припливно-витяжна установка  Aerostar
GreenSTR 3 ПВ3</t>
  </si>
  <si>
    <t>Automation kit PV3</t>
  </si>
  <si>
    <t>Комплект автоматики ПВ3</t>
  </si>
  <si>
    <t>Supply and exhaust unit Aerostar GreenSTR 3 PV4</t>
  </si>
  <si>
    <t>Припливно-витяжна установка  Aerostar
GreenSTR 3 ПВ4</t>
  </si>
  <si>
    <t>Automation kit PV4</t>
  </si>
  <si>
    <t>Комплект автоматики ПВ4</t>
  </si>
  <si>
    <t>Supply and exhaust unit Aerostar GreenSTR 7 PV5</t>
  </si>
  <si>
    <t>Припливно-витяжна установка  Aerostar
GreenSTR 7 ПВ5</t>
  </si>
  <si>
    <t>Automation kit PV5</t>
  </si>
  <si>
    <t>Комплект автоматики ПВ5</t>
  </si>
  <si>
    <t>Supply and exhaust unit Aerostar GreenSTR 5 PV6</t>
  </si>
  <si>
    <t>Припливно-витяжна установка  Aerostar
GreenSTR 5 ПВ6</t>
  </si>
  <si>
    <t>Automation kit PV6</t>
  </si>
  <si>
    <t>Комплект автоматики ПВ6</t>
  </si>
  <si>
    <t>Supply and exhaust unit Aerostar Aerostar-40-20 PV7</t>
  </si>
  <si>
    <t>Припливно-витяжна установка  Aerostar
Aerostar-40-20 ПВ7</t>
  </si>
  <si>
    <t>Automation kit PV7</t>
  </si>
  <si>
    <t>Комплект автоматики ПВ7</t>
  </si>
  <si>
    <t>Supply and exhaust unit Aerostar SlimStar 500 EC PV8</t>
  </si>
  <si>
    <t>Припливно-витяжна установка  Aerostar
SlimStar 500 EC ПВ8</t>
  </si>
  <si>
    <t>Automation kit PV8</t>
  </si>
  <si>
    <t>Комплект автоматики ПВ8</t>
  </si>
  <si>
    <t>Air supply unit Aerostar GreenSTR-5 P1</t>
  </si>
  <si>
    <t>Припливна установка Aerostar GreenSTR-5 П1</t>
  </si>
  <si>
    <t>Automation kit P1</t>
  </si>
  <si>
    <t>Комплект автоматики П1</t>
  </si>
  <si>
    <t>Air supply unit Aerostar Aerostar-160 P2</t>
  </si>
  <si>
    <t>Припливна установка Aerostar-160 П2</t>
  </si>
  <si>
    <t>Automation kit P2</t>
  </si>
  <si>
    <t>Комплект автоматики П2</t>
  </si>
  <si>
    <t>Compressor and condensing unit K1 for P1 Aerostar LC AER-85-R32-OU</t>
  </si>
  <si>
    <t>Компресорно-конденсаторний блок K1 для П1
Aerostar LC AER-85-R32-OU</t>
  </si>
  <si>
    <t>Air curtain with remote control Wing E200 EC</t>
  </si>
  <si>
    <t>Повітряна завіса з пультом керування Wing E200 EC</t>
  </si>
  <si>
    <t>Haier 1U35MEHFRA-1 K3 outdoor unit</t>
  </si>
  <si>
    <t>Зовнішній блок система 	Haier 1U35MEHFRA-1 K3</t>
  </si>
  <si>
    <t>Indoor Wall Unit AS35FL-W</t>
  </si>
  <si>
    <t>Внутрішній блок настінний AS35FL-W</t>
  </si>
  <si>
    <t>Local estimate 02-01-05 for Electrical solutions</t>
  </si>
  <si>
    <t>Локальний кошторис 02-01-05 на
Електротехнічні рішення</t>
  </si>
  <si>
    <t>Section 1. Dismantling work</t>
  </si>
  <si>
    <t>Розділ 1. Демонтажні роботи</t>
  </si>
  <si>
    <t>Dismantling of group shields</t>
  </si>
  <si>
    <t>Демонтаж групових щитків</t>
  </si>
  <si>
    <t>Dismantling of switches and</t>
  </si>
  <si>
    <t>Демонтаж вимикачів, розеток</t>
  </si>
  <si>
    <t>Dismantling of lamps with incandescent lamps</t>
  </si>
  <si>
    <t>Демонтаж світильників з лампами
розжарювання</t>
  </si>
  <si>
    <t>Dismantling hidden electrical wiring</t>
  </si>
  <si>
    <t>Демонтаж схованої електропроводки</t>
  </si>
  <si>
    <t>Dismantling of exposed electrical</t>
  </si>
  <si>
    <t>Демонтаж відкритої електропроводки</t>
  </si>
  <si>
    <t>Dismantling of pipes with a diameter of more than 25 mm to 40 mm, laid according to structures</t>
  </si>
  <si>
    <t>Демонтаж труб діаметром понад 25 мм
до 40 мм, укладених по конструкціях</t>
  </si>
  <si>
    <t>Garbage transportation up to 25 km</t>
  </si>
  <si>
    <t>Перевезення сміття до 25 км</t>
  </si>
  <si>
    <t xml:space="preserve"> Section 2. Power electrical equipment</t>
  </si>
  <si>
    <t xml:space="preserve">Розділ 2. Силове електрообладнання </t>
  </si>
  <si>
    <t>Cabinet installation and connection of cables or wires of the external network to the devices and devices of the distribution power cabinet of the VRP</t>
  </si>
  <si>
    <t>Монтаж шафи та підключення кабелів
або проводів зовнішньої мережі до
апаратів та приладів розподільної
силової шафи ВРП</t>
  </si>
  <si>
    <t>device</t>
  </si>
  <si>
    <t>пристрій</t>
  </si>
  <si>
    <t>Distribution boards VRP1</t>
  </si>
  <si>
    <t>Щити розподільчий ВРП1</t>
  </si>
  <si>
    <t>Distribution boards VRP1/1</t>
  </si>
  <si>
    <t>Щити розподільчий ВРП1/1</t>
  </si>
  <si>
    <t>Distribution boards VRP2</t>
  </si>
  <si>
    <t>Щити розподільчий ВРП2</t>
  </si>
  <si>
    <t>Installation of shields</t>
  </si>
  <si>
    <t>Монтаж щитів</t>
  </si>
  <si>
    <t>Shield ShchPM-4-1 36 UHL3 IR31</t>
  </si>
  <si>
    <t>Щит ЩПМ-4-1 36 УХЛ3 ІР31 (ЯО-1  -1 шт; ЯО-2  -1шт)</t>
  </si>
  <si>
    <t>Shield</t>
  </si>
  <si>
    <t>Щит  1ЩРп</t>
  </si>
  <si>
    <t>Щит  1ЩР</t>
  </si>
  <si>
    <t>Щит  1ЩК</t>
  </si>
  <si>
    <t>Щит  2ЩК</t>
  </si>
  <si>
    <t>Shield 2ShCR</t>
  </si>
  <si>
    <t>Щит 2ЩР</t>
  </si>
  <si>
    <t>Modular distribution board, 1SHA</t>
  </si>
  <si>
    <t>Щит 1ЩА</t>
  </si>
  <si>
    <t>Щит 2ЩА</t>
  </si>
  <si>
    <t>Shield, SHVK</t>
  </si>
  <si>
    <t>Щит,  1ЩВКк</t>
  </si>
  <si>
    <t>Shield, SHCAS</t>
  </si>
  <si>
    <t>Щит,  2ЩАС</t>
  </si>
  <si>
    <t>Щит ЩБ</t>
  </si>
  <si>
    <t>Щит 2ЩС</t>
  </si>
  <si>
    <t>Щит 2ЩСт</t>
  </si>
  <si>
    <t>Щит 1ЩЗ</t>
  </si>
  <si>
    <t>400V 25A Local Control Shield, One Feeder</t>
  </si>
  <si>
    <t>Шафа місцевого управління 400В 25А, один фідер</t>
  </si>
  <si>
    <t>400V 25A Local Control Shield, Two Feeders</t>
  </si>
  <si>
    <t>Шафа місцевого управління 400В 25А, два фідера</t>
  </si>
  <si>
    <t>Box with step-down transformer YTP-250 A</t>
  </si>
  <si>
    <t>Ящик з понижувальним
трансформатором ЯТП-250 А</t>
  </si>
  <si>
    <t>Control panels "START-STOP"</t>
  </si>
  <si>
    <t>Пульти управління "ПУСК-СТОП"</t>
  </si>
  <si>
    <t>Load switch In=20A 2R 6kA in a plastic box with IP54</t>
  </si>
  <si>
    <t>Вимикач навантаження Ін=20А 2Р 6кА в пластиковому боксі з ІР54</t>
  </si>
  <si>
    <t>Load switch In=25A 2R 6kA in a plastic box with IP54</t>
  </si>
  <si>
    <t>Вимикач навантаження Ін=25А 2Р 6кА в пластиковому боксі з ІР54</t>
  </si>
  <si>
    <t>Load switch In=25A 4R 6kA in a plastic box with IP54</t>
  </si>
  <si>
    <t>Вимикач навантаження Ін=25А 4Р 6кА в пластиковому боксі з ІР54</t>
  </si>
  <si>
    <t>Load switch In=63A 4R 6kA in a plastic box with IP54</t>
  </si>
  <si>
    <t>Вимикач навантаження Ін=63А 4Р 6кА в пластиковому боксі з ІР54</t>
  </si>
  <si>
    <t>Installation of 2- and 3-pole package switches and switches for currents over 25 A to 100 A</t>
  </si>
  <si>
    <t>Установлення вимикачів та перемикачів
пакетних 2-х і 3-х полюсних на струм
понад 25 А до 100 А</t>
  </si>
  <si>
    <t>Hermetic package circuit breaker 2 poles In=20A in housing</t>
  </si>
  <si>
    <t>Герметичний пакетний вимикач 2 полюси
Ін=20А в корпусі</t>
  </si>
  <si>
    <t>Hermetic package circuit breaker 4 poles In=16A in housing</t>
  </si>
  <si>
    <t>Герметичний пакетний вимикач 4 полюси
Ін=16А в корпусі</t>
  </si>
  <si>
    <t>Hermetic package circuit breaker 4 poles In=20A in housing</t>
  </si>
  <si>
    <t>Герметичний пакетний вимикач 4 полюси
Ін=20А в корпусі</t>
  </si>
  <si>
    <t>Hermetic package circuit breaker 4 poles In=40A in housing</t>
  </si>
  <si>
    <t>Герметичний пакетний вимикач 4 полюси
Ін=40А в корпусі</t>
  </si>
  <si>
    <t>Hermetic package circuit breaker 4 poles In=50A in housing</t>
  </si>
  <si>
    <t>Герметичний пакетний вимикач 4 полюси
Ін=50А в корпусі</t>
  </si>
  <si>
    <t>Installation of 2-pole and 3-pole package switches and circuit breakers for currents over 100 A to 250 A</t>
  </si>
  <si>
    <t>Установлення вимикачів та перемикачів пакетних 2-х і 3-х полюсних на струм понад 250 А</t>
  </si>
  <si>
    <t>Power circuit breaker 250A 3P 25kA and additional contact for signalling the position of the circuit breaker in the housing</t>
  </si>
  <si>
    <t>Силовий автоматичний вимикач 250А 3Р 25кА та додатковий контакт про сигналізацію положення автомату в корпусі</t>
  </si>
  <si>
    <t>Power circuit breaker 315A 3P 25kA and additional contact for signalling the position of the circuit breaker in the housing</t>
  </si>
  <si>
    <t>Силовий автоматичний вимикач 315А 3Р 25кА та додатковий контакт про сигналізацію положення автомату в корпусі</t>
  </si>
  <si>
    <t>Installation of 2- and 3-pole package switches and switches for currents up to 25 A</t>
  </si>
  <si>
    <t>Установлення вимикачів та перемикачів
пакетних 2-х і 3-х полюсних на струм до
25 А</t>
  </si>
  <si>
    <t>Hermetic package circuit breaker 4 poles In=25A in housing</t>
  </si>
  <si>
    <t>Герметичний пакетний вимикач 4 полюси
Ін=25А в корпусі</t>
  </si>
  <si>
    <t>Hermetic package circuit breaker 4 poles In=32A in housing</t>
  </si>
  <si>
    <t>Герметичний пакетний вимикач 4 полюси
Ін=32А в корпусі</t>
  </si>
  <si>
    <t>Section 3. Lighting equipment</t>
  </si>
  <si>
    <t>Розділ 3. Світлотехнічне обладнання</t>
  </si>
  <si>
    <t>Installation of luminaires for fluorescent lamps mounted on suspensions [rods], number of lamps up to 4</t>
  </si>
  <si>
    <t>Монтаж світильників для
люмінесцентних ламп, що
установлюються на підвісках [штангах],
кількість ламп до 4</t>
  </si>
  <si>
    <t>LED pendant lamp with a diameter of 600mm, power of 45W, 5175Lm, 4000K</t>
  </si>
  <si>
    <t>LED-світильник підвісний діаметром 600мм, потужністю 45Вт, 5175Lm, 4000К</t>
  </si>
  <si>
    <t>LED pendant lamp with a diameter of 800mm, power of 75W, 8625Lm, 4000K</t>
  </si>
  <si>
    <t>LED-світильник підвісний діаметром 800мм, потужністю 75Вт, 8625Lm, 4000К</t>
  </si>
  <si>
    <t>Built-in LED lamp with a power of 12W, 1200Lm, 4000K</t>
  </si>
  <si>
    <t>LED-світильник вбудований потужністю 12Вт, 1200Lm, 4000К</t>
  </si>
  <si>
    <t>LED lamp recessed with power of 45W, 3000Lm, 4000K</t>
  </si>
  <si>
    <t>LED-світильник вбудований потужністю 45Вт, 3000Lm, 4000К</t>
  </si>
  <si>
    <t>LED spotlight with a power of 100W, 4000K</t>
  </si>
  <si>
    <t>LED-cвітильник-прожектор потужністю 100Вт, 4000К</t>
  </si>
  <si>
    <t>Lamp - house number indicator</t>
  </si>
  <si>
    <t>Світильник - покажчик номера будинку</t>
  </si>
  <si>
    <t>Lamp - fire hydrant pointer</t>
  </si>
  <si>
    <t>Світильник - покажчикпожежного гідранту</t>
  </si>
  <si>
    <t>Motion sensor, 230V, 10A, IP55</t>
  </si>
  <si>
    <t>Датчик руху, 230В, 10А, ІР55</t>
  </si>
  <si>
    <t>Linear outdoor luminaire IP65, 4000K</t>
  </si>
  <si>
    <t>Лінійний зовнішній світильник ІР65, 4000К</t>
  </si>
  <si>
    <t>Wall/Surface Lamp 6000047L-L3B3K</t>
  </si>
  <si>
    <t>Світильник настінний/накладний 6000047L-L3B3K</t>
  </si>
  <si>
    <t>Signboard</t>
  </si>
  <si>
    <t>Вивіска</t>
  </si>
  <si>
    <t>LED pendant lamp, 47W, 4155 lm, 4000K</t>
  </si>
  <si>
    <t>LED-cвітильник підвісний потужністю
47Вт, 4155 lm, 4000К</t>
  </si>
  <si>
    <t>Installation of LED lights</t>
  </si>
  <si>
    <t>Монтаж світильників світлодіодних</t>
  </si>
  <si>
    <t>Lamp DPP07V-20-313 UHL4</t>
  </si>
  <si>
    <t>Світильник ДПП07В-20-313 УХЛ4</t>
  </si>
  <si>
    <t>Lamp DPP07V-40-313 UHL4</t>
  </si>
  <si>
    <t>Світильник ДПП07В-40-313 УХЛ4</t>
  </si>
  <si>
    <t>Світильник ДПО07В-40 УХЛ4</t>
  </si>
  <si>
    <t>Installation of fixtures for incandescent lamps: sconces and ceiling lamps with up to 2 lamps</t>
  </si>
  <si>
    <t>Монтаж світильників для ламп
розжарювання: бра і плафони з кількістю
ламп до 2</t>
  </si>
  <si>
    <t>Ceiling lamp</t>
  </si>
  <si>
    <t>Світильник типу "плафон"</t>
  </si>
  <si>
    <t>Installation of signal lights with the inscription "entrance", "exit", "entrance", "entrance", etc.</t>
  </si>
  <si>
    <t>Монтаж сигнальних ліхтарів з надписом
"вхід", "вихід", "в'їзд", "під'їзд" і т.п.</t>
  </si>
  <si>
    <t>Section 4. Installation materials</t>
  </si>
  <si>
    <t>Розділ 4. Установчі матеріали</t>
  </si>
  <si>
    <t>Installation of recessed switches with concealed wiring, 1-button</t>
  </si>
  <si>
    <t>Установлення вимикачів утопленого типу
при схованій проводці, 1-клавішних</t>
  </si>
  <si>
    <t>Single-button switch for concealed installation IP20, 220V; 10A</t>
  </si>
  <si>
    <t>Вимикач одноклавішний прихованого
встановлення ІР20, 220В; 10А</t>
  </si>
  <si>
    <t>Single-button switch, pass-through, concealed installation, IP20, 220V; 10A</t>
  </si>
  <si>
    <t>Вимикач одноклавішний прохідний
прихованого встановлення ІР20, 220В;
10А</t>
  </si>
  <si>
    <t>Key switch 220V, 10A, with increased degree IP44</t>
  </si>
  <si>
    <t xml:space="preserve">Вимикач клавішний 220В, 10А, з підвищеним ступенем ІР44 </t>
  </si>
  <si>
    <t>Installation of recessed switches with concealed wiring, 2-button</t>
  </si>
  <si>
    <t>Установлення вимикачів утопленого типу
при схованій проводці, 2-клавішних</t>
  </si>
  <si>
    <t>Two-button switch for concealed installation IP20, 220V; 10A</t>
  </si>
  <si>
    <t>Вимикач двоклавішний прихованого
встановлення ІР20, 220В; 10А</t>
  </si>
  <si>
    <t>Two-key hidden switch installation of IP20, 220V; 10A pass-through</t>
  </si>
  <si>
    <t>Вимикач двоклавішний прихованого
встановлення ІР20, 220В; 10А прохідний</t>
  </si>
  <si>
    <t>Installing the Plug Sockets recessed type with hidden wiring</t>
  </si>
  <si>
    <t>Установлення штепсельних розеток
утопленого типу при схованій проводці</t>
  </si>
  <si>
    <t>Plug socket for concealed installation 250V 16A with grounding contact</t>
  </si>
  <si>
    <t xml:space="preserve">Штепсельна розетка для схованої установки 250В 16А з заземлюючим контактом </t>
  </si>
  <si>
    <t>Plug socket for concealed installation 250V 16A with grounding contact and curtains (for water heaters)</t>
  </si>
  <si>
    <t>Штепсельна розетка для схованої установки 250В 16А з заземлюючим контактом та шторками (для водонагрівачів)</t>
  </si>
  <si>
    <t>Installing the Plug Sockets open setup</t>
  </si>
  <si>
    <t>Установлення штепсельних розеток
відкритої устаовки</t>
  </si>
  <si>
    <t>Plug socket for open installation 250V 16A</t>
  </si>
  <si>
    <t xml:space="preserve">Штепсельна розетка для відкритої установки 250В 16А  </t>
  </si>
  <si>
    <t>Plug socket, for a current of 16A, with a voltage of 250V, degree of protection against environmental influences IP44, climatic version UHL, placement category 4</t>
  </si>
  <si>
    <t xml:space="preserve">Розетка штепсельна, на струм 16А, напругою 250В, ступінь захисту від впливу навколишнього середовища IP44, кліматичного виконання УХЛ, категорії розміщення 4 </t>
  </si>
  <si>
    <t>Three-phase plug socket, for a current of 32A, with a voltage of 400V, climatic version UHL, placement category 4</t>
  </si>
  <si>
    <t xml:space="preserve">Розетка штепсельна трьохфазна, на струм 32А, напругою 400В,  кліматичного виконання УХЛ, категорії розміщення 4 </t>
  </si>
  <si>
    <t>Plug socket 250V 25A with grounding contact</t>
  </si>
  <si>
    <t xml:space="preserve">Штепсельна розетка 250В 25А з заземлюючим контактом </t>
  </si>
  <si>
    <t>HDMI socket</t>
  </si>
  <si>
    <t>Розетка HDMI</t>
  </si>
  <si>
    <t>Satellite socket</t>
  </si>
  <si>
    <t>Розетка супутникова</t>
  </si>
  <si>
    <t>Frame for 2 places</t>
  </si>
  <si>
    <t>Рамка на 2 місця</t>
  </si>
  <si>
    <t>Frame for 3 places</t>
  </si>
  <si>
    <t>Рамка на 3 місце</t>
  </si>
  <si>
    <t>Frame for 4 places</t>
  </si>
  <si>
    <t>Рамка на 4 місце</t>
  </si>
  <si>
    <t>Frame for 5 places</t>
  </si>
  <si>
    <t>Рамка на 5 місць</t>
  </si>
  <si>
    <t>Section 5. Cable and wire products</t>
  </si>
  <si>
    <t>Розділ 5. Кабельно-провідникові вироби</t>
  </si>
  <si>
    <t>Cable up to 35 kV in laid pipes, blocks and boxes, weight 1 m up to 1 kg</t>
  </si>
  <si>
    <t>Кабель до 35 кВ у прокладених трубах,
блоках і коробах, маса 1 м до 1 кг</t>
  </si>
  <si>
    <t>Cable with a cross section of 2.4,0</t>
  </si>
  <si>
    <t>Кабель перерізом 2.4,0мм2 ВВГ нгд</t>
  </si>
  <si>
    <t>Cable with a cross section of 3.1,5</t>
  </si>
  <si>
    <t>Кабель перерізом 3.1,5мм2 ВВГ нгд</t>
  </si>
  <si>
    <t>Cable with a cross section of 3.2,5</t>
  </si>
  <si>
    <t>Кабель перерізом 3.2,5мм2 ВВГнгд</t>
  </si>
  <si>
    <t>Cable with a cross section of 3.4,0</t>
  </si>
  <si>
    <t>Кабель перерізом 3.4,0мм2 ВВГнгд</t>
  </si>
  <si>
    <t>Cable with a cross section of 3x6,0</t>
  </si>
  <si>
    <t>Кабель перерізом 3х6.0мм2 ВВГнгд</t>
  </si>
  <si>
    <t>Cable with a cross section of 3x10,0</t>
  </si>
  <si>
    <t>Кабель перерізом 3.10,0мм2 ВВГнгд</t>
  </si>
  <si>
    <t>Cable with a cross section of 5х1,5</t>
  </si>
  <si>
    <t>Кабель перерізом 5.1,5мм2 ВВГ нгд</t>
  </si>
  <si>
    <t>Cable with a cross section of 5.2,5</t>
  </si>
  <si>
    <t>Кабель перерізом 5.2,5мм2 ВВГ нгд</t>
  </si>
  <si>
    <t>Cable with a cross section of 5.4,0</t>
  </si>
  <si>
    <t>Кабель перерізом 5.4мм2 ВВГ нгд</t>
  </si>
  <si>
    <t>Cable with a cross section of 5.6,0</t>
  </si>
  <si>
    <t>Кабель перерізом 5.6мм2 ВВГ нгд</t>
  </si>
  <si>
    <t>Cable with a cross section of 5.10,0</t>
  </si>
  <si>
    <t>Кабель перерізом 5.10мм2 ВВГ нгд</t>
  </si>
  <si>
    <t>Cable with copper core, halogen-free, fire resistance limit 30 min. cross-section 3х1,5 mm2 Flame-X-950 (NHXH) FE180/E30</t>
  </si>
  <si>
    <t>Кабель з мідною жилою безгалогенний,
межа вогнестійкості 30хв. переріз. 3х1,5
мм2 Flаmе-Х-950 (NHХH) FЕ180/Е30</t>
  </si>
  <si>
    <t>Cable with copper core, halogen-free, fire resistance limit 30 min. cross-section 3х2,5 mm2 Flame-X-950 (NHXH) FE180/E30</t>
  </si>
  <si>
    <t>Кабель з мідною жилою безгалогенний,
межа вогнестійкості 30хв. переріз. 3х2,5
мм2 Flаmе-Х-950 (NHХH) FЕ180/Е30</t>
  </si>
  <si>
    <t>Cable with copper core, halogen-free, fire resistance limit 30 min. cross-section 3х4,0 mm2 Flame-X-950 (NHXH) FE180/E30</t>
  </si>
  <si>
    <t>Кабель з мідною жилою безгалогенний,
межа вогнестійкості 30хв. переріз. 3х4,0
мм2 Flаmе-Х-950 (NHХH) FЕ180/Е30</t>
  </si>
  <si>
    <t>Cable with copper core, halogen-free, fire resistance limit 30 min. cross-section 3х6,0 mm2 Flame-X-950 (NHXH) FE180/E30</t>
  </si>
  <si>
    <t>Кабель з мідною жилою безгалогенний,
межа вогнестійкості 30хв. переріз. 3х6,0
мм2 Flаmе-Х-950 (NHХH) FЕ180/Е30</t>
  </si>
  <si>
    <t>Cable with copper core, halogen-free, fire resistance limit 30 min. cross-section 5х2,5 mm2 Flame-X-950 (NHXH) FE180/E30</t>
  </si>
  <si>
    <t>Кабель з мідною жилою безгалогенний,
межа вогнестійкості 30хв. переріз. 5х2,5
мм2 Flаmе-Х-950 (NHХH) FЕ180/Е30</t>
  </si>
  <si>
    <t>Cable with copper core, halogen-free, fire resistance limit 90 min. cross-section 5х2,5 mm2 Flame-X-950 (NHXH) FE180/E90</t>
  </si>
  <si>
    <t>Кабель з мідною жилою безгалогенний,
межа вогнестійкості 90хв. переріз. 5х2,5
мм2 Flаmе-Х-950 (NHХH) FЕ180/Е90</t>
  </si>
  <si>
    <t>Cable with copper core, halogen-free, fire resistance limit 90 min. cross-section 5x4 mm2 Flame-X-950 (NHXH) FE180/E90</t>
  </si>
  <si>
    <t>Кабель з мідною жилою безгалогенний,
межа вогнестійкості 90хв. переріз. 5х4,0
мм2 Flаmе-Х-950 (NHХH) FЕ180/Е90</t>
  </si>
  <si>
    <t>Cable KVVHngd 7*1.5</t>
  </si>
  <si>
    <t>Кабель КВВГнгд 7*1,5</t>
  </si>
  <si>
    <t>Cable KVVHngd 27*1.5</t>
  </si>
  <si>
    <t>Кабель КВВГнгд 27*1,5</t>
  </si>
  <si>
    <t>Cable KVVHngd 37*1.5</t>
  </si>
  <si>
    <t>Кабель КВВГнгд 37*1,5</t>
  </si>
  <si>
    <t>Cable up to 35 kV in laid pipes, blocks and boxes, weight 1 m up to 3 kg</t>
  </si>
  <si>
    <t>Кабель до 35 кВ у прокладених трубах,
блоках і коробах, маса 1 м до 3 кг</t>
  </si>
  <si>
    <t>Cable with a cross section of 5.16,0</t>
  </si>
  <si>
    <t>Кабель перерізом 5.16,0мм2 ВВГнгд</t>
  </si>
  <si>
    <t>Cable with a cross section of 5.25,0</t>
  </si>
  <si>
    <t>Кабель перерізом 5.25,0мм2 ВВГнгд</t>
  </si>
  <si>
    <t>Cable with a cross section of 4x50.0+1x25 VVGngd</t>
  </si>
  <si>
    <t>Кабель перерізом 4х50,0+1х25 ВВГнгд</t>
  </si>
  <si>
    <t>Branch box for hidden wiring</t>
  </si>
  <si>
    <t>Коробка відгалужувальна для схованої проводки</t>
  </si>
  <si>
    <t>Branch box for cable wiring (junction) KOR-73</t>
  </si>
  <si>
    <t>Коробка відгалужувальна для кабельної проводки (розпаєчна)    КОР-73</t>
  </si>
  <si>
    <t>Box for switches and plug sockets for installation in walls</t>
  </si>
  <si>
    <t>Коробка під вимикачі та штепсельні розетки для установки в стінах</t>
  </si>
  <si>
    <t>Branch box for cable wiring VAD E30</t>
  </si>
  <si>
    <t>Коробка вiдгалужувальна для кабельної проводки VAD E30</t>
  </si>
  <si>
    <t>Non-combustible substrate for sockets (insulator) (under one socket)</t>
  </si>
  <si>
    <t xml:space="preserve">Негорюча підкладка під розетки (ізолятор) (під одну розетку) </t>
  </si>
  <si>
    <t>Flexible corrugated pipe, lightweight, PVC made of non-combustible plastic diam.20</t>
  </si>
  <si>
    <t>Труба гнучка гофрована, легка, ПВХ з негорючого пластику діам.20</t>
  </si>
  <si>
    <t>Flexible corrugated pipe, lightweight, PVC made of non-combustible plastic diam.25</t>
  </si>
  <si>
    <t>Труба гнучка гофрована, легка, ПВХ з негорючого пластику діам.25</t>
  </si>
  <si>
    <t>Flexible corrugated pipe, lightweight, PVC made of non-combustible plastic diam.32</t>
  </si>
  <si>
    <t>Труба гнучка гофрована, легка, ПВХ з негорючого пластику діам.32</t>
  </si>
  <si>
    <t>Flexible corrugated pipe, lightweight, PVC made of non-combustible plastic diam.40</t>
  </si>
  <si>
    <t>Труба гнучка гофрована, легка, ПВХ з негорючого пластику діам.40</t>
  </si>
  <si>
    <t>Flexible corrugated pipe, heavy (rigid), PVC made of non-combustible plastic diam.20</t>
  </si>
  <si>
    <t>Труба гнучка гофрована, тяжка (жорстка), ПВХ з негорючого пластику діам.20</t>
  </si>
  <si>
    <t>Flexible corrugated pipe, heavy (rigid), PVC made of non-combustible plastic diam.25</t>
  </si>
  <si>
    <t>Труба гнучка гофрована, тяжка (жорстка), ПВХ з негорючого пластику діам.25</t>
  </si>
  <si>
    <t>Flexible corrugated pipe, heavy (rigid), PVC made of non-combustible plastic diam.32</t>
  </si>
  <si>
    <t>Труба гнучка гофрована, тяжка (жорстка), ПВХ з негорючого пластику діам.32</t>
  </si>
  <si>
    <t>Metal hose diameter.20</t>
  </si>
  <si>
    <t>Металорукав діам.20</t>
  </si>
  <si>
    <t>Metal hose diameter.25</t>
  </si>
  <si>
    <t>Металорукав діам.25</t>
  </si>
  <si>
    <t>Metal hose diameter.32</t>
  </si>
  <si>
    <t>Металорукав діам.32</t>
  </si>
  <si>
    <t>Metal hose diameter.40</t>
  </si>
  <si>
    <t>Металорукав діам.40</t>
  </si>
  <si>
    <t>Galvanized metal hose with black PVC coating diameter.20</t>
  </si>
  <si>
    <t>Оцинкований металорукав з чорним ПВХ покриттям діам.20</t>
  </si>
  <si>
    <t>Galvanized metal hose with black PVC coating diameter.25</t>
  </si>
  <si>
    <t>Оцинкований металорукав з чорним ПВХ покриттям діам.25</t>
  </si>
  <si>
    <t>Galvanized metal hose with black PVC coating diameter.32</t>
  </si>
  <si>
    <t>Оцинкований металорукав з чорним ПВХ покриттям діам.32</t>
  </si>
  <si>
    <t>Galvanized metal hose with black PVC coating diameter.40</t>
  </si>
  <si>
    <t>Оцинкований металорукав з чорним ПВХ покриттям діам.40</t>
  </si>
  <si>
    <t>Galvanized metal hose with black PVC coating diameter.50</t>
  </si>
  <si>
    <t>Оцинкований металорукав з чорним ПВХ покриттям діам.50</t>
  </si>
  <si>
    <t>Galvanized metal hose with black PVC coating diameter.63</t>
  </si>
  <si>
    <t>Оцинкований металорукав з чорним ПВХ покриттям діам.63</t>
  </si>
  <si>
    <t>PE water pipe diameter.20</t>
  </si>
  <si>
    <t>ПЕ-труба водопровідна діам.20</t>
  </si>
  <si>
    <t>PE water pipe diameter.25</t>
  </si>
  <si>
    <t>ПЕ-труба водопровідна діам.25</t>
  </si>
  <si>
    <t>PE water pipe diameter.32</t>
  </si>
  <si>
    <t>ПЕ-труба водопровідна діам.32</t>
  </si>
  <si>
    <t>PE water pipe diameter.40</t>
  </si>
  <si>
    <t>ПЕ-труба водопровідна діам.40</t>
  </si>
  <si>
    <t>PE water pipe diameter.50</t>
  </si>
  <si>
    <t>ПЕ-труба водопровідна діам.50</t>
  </si>
  <si>
    <t>PE water pipe diameter.100</t>
  </si>
  <si>
    <t>ПЕ-труба водопровідна діам.100</t>
  </si>
  <si>
    <t>Metal pipe 27x1.5</t>
  </si>
  <si>
    <t>Металева труба 27х1,5</t>
  </si>
  <si>
    <t>Metal pipe 32x1.5</t>
  </si>
  <si>
    <t>Металева труба 32х1,5</t>
  </si>
  <si>
    <t>Metal pipe 48x1.5</t>
  </si>
  <si>
    <t>Металева труба 48х1,5</t>
  </si>
  <si>
    <t>Metal box with lid 200x100</t>
  </si>
  <si>
    <t>Короб металевий з кришкою 200х100</t>
  </si>
  <si>
    <t>Universal soluble cable penetration "PTK"A+V" Ukraine"</t>
  </si>
  <si>
    <t>Проходка кабельна універсальна розчинна "ПТК"А+В" Україна"</t>
  </si>
  <si>
    <t>Розділ 6. Кабельнесучі конструкції</t>
  </si>
  <si>
    <t>Metal perforated tray 50x50mm complete with DKS fasteners</t>
  </si>
  <si>
    <t>Металевий перфорований лоток 50х50мм в комплекті з кріпленнями  ДКС</t>
  </si>
  <si>
    <t>Metal perforated tray 100x50mm complete with fasteners</t>
  </si>
  <si>
    <t>Металевий перфорований лоток 100х50мм в комплекті з кріпленнями</t>
  </si>
  <si>
    <t>Metal perforated tray 150x50mm complete with fasteners</t>
  </si>
  <si>
    <t>Металевий перфорований лоток 150х50мм в комплекті з кріпленнями</t>
  </si>
  <si>
    <t>Metal perforated tray 200x50mm complete with fasteners</t>
  </si>
  <si>
    <t>Металевий перфорований лоток 200х50мм в комплекті з кріпленнями</t>
  </si>
  <si>
    <t>Metal perforated tray 300x50mm complete with fasteners</t>
  </si>
  <si>
    <t>Металевий перфорований лоток 300х50мм в комплекті з кріпленнями</t>
  </si>
  <si>
    <t>Metal perforated tray 400x50mm complete with fasteners</t>
  </si>
  <si>
    <t>Металевий перфорований лоток 400х50мм в комплекті з кріпленнями</t>
  </si>
  <si>
    <t>Metal perforated tray 500x50mm complete with fasteners</t>
  </si>
  <si>
    <t>Металевий перфорований лоток 500х50мм в комплекті з кріпленнями</t>
  </si>
  <si>
    <t>Metal perforated tray 600x50mm complete with fasteners</t>
  </si>
  <si>
    <t>Металевий перфорований лоток 600х50мм в комплекті з кріпленнями</t>
  </si>
  <si>
    <t>Metal perforated tray 500x80mm complete with fasteners</t>
  </si>
  <si>
    <t>Металевий перфорований лоток 500х80мм в комплекті з кріпленнями</t>
  </si>
  <si>
    <t>Metal Tray Partition</t>
  </si>
  <si>
    <t xml:space="preserve">Металева перегородка для лотка </t>
  </si>
  <si>
    <t>Metal rack for shelves type K116... 400mm long</t>
  </si>
  <si>
    <t xml:space="preserve">Металева стійка для полок типу К116... довжиною 400мм   </t>
  </si>
  <si>
    <t>Metal shelf 175mm long</t>
  </si>
  <si>
    <t xml:space="preserve">Металева полка довжиною 175мм </t>
  </si>
  <si>
    <t>Clamps for attaching the cable to a metal shelf type K116...</t>
  </si>
  <si>
    <t xml:space="preserve">Затискачі для кріплення кабелю до металевої полки типу К116...  </t>
  </si>
  <si>
    <t>Cablerost 1000x10</t>
  </si>
  <si>
    <t>Кабельрост 1000х10</t>
  </si>
  <si>
    <t>Cablerost 600x10</t>
  </si>
  <si>
    <t>Кабельрост 600х10</t>
  </si>
  <si>
    <t>Cablerost 500x10</t>
  </si>
  <si>
    <t>Кабельрост 500х10</t>
  </si>
  <si>
    <t>Cablerost 200x80</t>
  </si>
  <si>
    <t>Кабельрост 200х80</t>
  </si>
  <si>
    <t>Cablerost 100x80</t>
  </si>
  <si>
    <t>Кабельрост 100х80</t>
  </si>
  <si>
    <t>Розділ 7. Система зрівнювання потенціалів</t>
  </si>
  <si>
    <t>Power wire with a copper core with insulation that does not spread combustion and moderate smoke-generating capacity with a cross section of 1x4.0 sq.mm</t>
  </si>
  <si>
    <t xml:space="preserve">Провід силовий з мідною жилою з ізоляцією, що не розповсюджуює горіння і помірною димоутворювальною здатністю перерізом 1х4.0 кв.мм </t>
  </si>
  <si>
    <t>Power wire with a copper core with insulation that does not spread combustion and moderate smoke-generating capacity with a cross section of 1x6.0 sq.mm</t>
  </si>
  <si>
    <t xml:space="preserve">Провід силовий з мідною жилою з ізоляцією, що не розповсюджуює горіння і помірною димоутворювальною здатністю перерізом 1х6.0 кв.мм </t>
  </si>
  <si>
    <t>Power wire with a copper core with insulation that does not spread combustion and moderate smoke-generating capacity with a cross section of 1x25.0 sq.mm</t>
  </si>
  <si>
    <t xml:space="preserve">Провід силовий з мідною жилою з ізоляцією, що не розповсюджуює горіння і помірною димоутворювальною здатністю перерізом 1х25.0 кв.мм </t>
  </si>
  <si>
    <t>PE ham for installation in showers (additional equipotential equalization bus)</t>
  </si>
  <si>
    <t xml:space="preserve">Шинка РЕ для встановлення у душових (шина додаткового зрівнювання потенціалів) </t>
  </si>
  <si>
    <t>Steel grounding clamp</t>
  </si>
  <si>
    <t>Сталевий заземлюючий хомут</t>
  </si>
  <si>
    <t>Copper tip</t>
  </si>
  <si>
    <t>Наконечник мідний</t>
  </si>
  <si>
    <t>Main ground bus for connection:</t>
  </si>
  <si>
    <t>Головна шина заземлення для приєднання:</t>
  </si>
  <si>
    <t>- Staleva Smuga Lane. 50x4 sq.mm - 16 units - terminal block and cable m.PVngd per. 25.0 sq.mm – 6 sets - terminal block and cable m.PVngd per. 6.0 sq.mm – 6 sets - terminal block and cable m.PVngd per. 4.0 sq.mm – 2 sets</t>
  </si>
  <si>
    <t>-	сталева смуга пер. 50х4 кв.мм - 16 приєднань
-	клемник пiд кабель м.ПВнгд пер. 25.0 кв.мм – 6 компл.
-	клемник пiд кабель м.ПВнгд пер. 6.0 кв.мм – 6 компл.
-	клемник пiд кабель м.ПВнгд пер. 4.0 кв.мм – 2 компл.</t>
  </si>
  <si>
    <t>Steel smug lane 40x4 sq.mm</t>
  </si>
  <si>
    <t xml:space="preserve">Cталева смуга пер. 40х4 кв.мм </t>
  </si>
  <si>
    <t>Розділ 8. Заземлення</t>
  </si>
  <si>
    <t>Power wire with a copper core with a cross section of 6 sq.mm</t>
  </si>
  <si>
    <t xml:space="preserve">Провід силовий з мідною жилою перерізом 6 кв.мм </t>
  </si>
  <si>
    <t>Bandage tape 50m (stainless steel) (1 coil) FS-LSP</t>
  </si>
  <si>
    <t>Стрічка бандажна 50м (з нержавіючої сталі) (1 бухта) FS-LSP</t>
  </si>
  <si>
    <t>Bandage Tape Clip (Stainless Steel) FS-LSP</t>
  </si>
  <si>
    <t>Скріпа для бандажної стрічки (з нержавіючої сталі) FS-LSP</t>
  </si>
  <si>
    <t>Threaded ground rod, d16mm, L-1.5v FS-LSP</t>
  </si>
  <si>
    <t>Стрижень заземлення різьбовий, d16мм, L-1,5v FS-LSP</t>
  </si>
  <si>
    <t>Tip for threaded ground rod M16, zinc. FS-LSP</t>
  </si>
  <si>
    <t>Наконечник для різьбового стрижня заземлення М16, оцинк. FS-LSP</t>
  </si>
  <si>
    <t>Connecting coupling for threaded grounding rods M16, zinc. FS-LSP</t>
  </si>
  <si>
    <t>З'єднувальна муфта для різьбових стрижнів заземлення М16, оцинк.  FS-LSP</t>
  </si>
  <si>
    <t>Connector of the rod M16 and strips 40x4 or wire d8-10mm, steel burn. Zinc. FS-LSP</t>
  </si>
  <si>
    <t>З'єднувач стрижня М16 та полоси 40х4 або дроту d8-10мм, сталь гар. Цинк. FS-LSP</t>
  </si>
  <si>
    <t>Anti-corrosion tape, width. 50 mm, handlebar. 10m FS-LSP</t>
  </si>
  <si>
    <t>Антикорозійна стрічка, шир. 50 мм, рул. 10м FS-LSP</t>
  </si>
  <si>
    <t>Local estimate 02-01-06 for commissioning and adjustment works of electrical solutions</t>
  </si>
  <si>
    <t>Локальний кошторис 02-01-06 на Пуско-
налагоджувальні роботи електротехнічні
рішення</t>
  </si>
  <si>
    <t>Starting devices for automatic power control of the power system. Automation cabinet for increasing the capacity of the power transmission line, voltage over 300 kV, type ShP 2701</t>
  </si>
  <si>
    <t>Пускові пристрої автоматичного
управління потужністю енергосистеми. 
Шафа автоматики підвищення
пропускної спроможності лінії
електропередачі, напруга понад 300 кВ,
тип ШП 2701</t>
  </si>
  <si>
    <t>Automatic transfer switch [ATS] with voltage recovery circuit</t>
  </si>
  <si>
    <t>Пристрій автоматичного введення
резервного живлення [АВР] з схемою
відновлення напруги</t>
  </si>
  <si>
    <t>Software or logical control operation systems with up to 2 input signals</t>
  </si>
  <si>
    <t>Системи програмної або логічної
операції управління  з кількістю вхідних
сигналів до 2</t>
  </si>
  <si>
    <t>system</t>
  </si>
  <si>
    <t>система</t>
  </si>
  <si>
    <t>Local estimate 02-01-07 for Water supply and sewerage</t>
  </si>
  <si>
    <t>Локальний кошторис 02-01-07 на
Водопровід та каналізація</t>
  </si>
  <si>
    <t>Section 1. Water metering unit</t>
  </si>
  <si>
    <t>Розділ 1. Вузол обліку води</t>
  </si>
  <si>
    <t>Installation of meters [water meters] with a diameter of up to 40 mm</t>
  </si>
  <si>
    <t>Установлення лічильників [водомірів]
діаметром до 40 мм</t>
  </si>
  <si>
    <t>Water meter JS-10 Smart C+ DN 32mm with AT-MBUS module</t>
  </si>
  <si>
    <t>Лічильник  води  JS-10 Smart C+ ДН 32мм  з модулем AT-MBUS</t>
  </si>
  <si>
    <t>Water meter JS 2.5-G1-0.2 Smart C+ DN 20mm with AT-MBUS module</t>
  </si>
  <si>
    <t>Лічильник  води JS 2.5-G1-0.2  Smart C+  ДН 20мм з модулем AT-MBUS</t>
  </si>
  <si>
    <t>Meter connection</t>
  </si>
  <si>
    <t>Щтуцер до лічильника</t>
  </si>
  <si>
    <t>Installation of screw, gate, reverse, stop, and
straight-though valves on the
steel pipe pipelines, diameter
up to 25 mm</t>
  </si>
  <si>
    <t>Установлення вентилів, засувок, затворів,
клапанів зворотних, кранів прохідних на
трубопроводах із стальних труб діаметром
до 25 мм</t>
  </si>
  <si>
    <t>Ball valves, diameter 20 mm</t>
  </si>
  <si>
    <t>Крани кульовий, діаметр 20 мм</t>
  </si>
  <si>
    <t>Ball valves, diameter 15 mm</t>
  </si>
  <si>
    <t>Крани кульовий, діаметр 15 мм</t>
  </si>
  <si>
    <t>Installation of screw, gate, reverse, stop, and
straight-though valves on the
steel pipe pipelines, diameter
up to 50 mm</t>
  </si>
  <si>
    <t>Установлення вентилів, засувок, затворів,
клапанів зворотних, кранів прохідних на
трубопроводах із стальних труб діаметром
до 50 мм</t>
  </si>
  <si>
    <t>Flanged ball valves, diameter 32 mm</t>
  </si>
  <si>
    <t>Крани кульовий фланцевий , діаметр 32
мм</t>
  </si>
  <si>
    <t>Steel flanges, diameter 32 mm</t>
  </si>
  <si>
    <t>Фланці сталеві , діаметр 32 мм</t>
  </si>
  <si>
    <t>Wedge latch, diameter 80 mm GV-16-F-100</t>
  </si>
  <si>
    <t>Засувка клинова , діаметр 80 мм GV-16-F-100</t>
  </si>
  <si>
    <t>Steel flanges, diameter 75 mm</t>
  </si>
  <si>
    <t>Фланці сталеві , діаметр 75 мм</t>
  </si>
  <si>
    <t>Installation of manometers with three-port
valve</t>
  </si>
  <si>
    <t>Установлення манометрів з триходовим
краном</t>
  </si>
  <si>
    <t>Technical pressure gauge 0-10 atm., diam. 100mm</t>
  </si>
  <si>
    <t>Манометр технічний 0-10 атм., діам.
100мм</t>
  </si>
  <si>
    <t>kit</t>
  </si>
  <si>
    <t>Манометр технічний 0-16 атм., діам.
100мм</t>
  </si>
  <si>
    <t>Three-way valve for pressure gauge, diameter 15 mm</t>
  </si>
  <si>
    <t>Кран трьохходовий для манометра,
діаметр 15 мм</t>
  </si>
  <si>
    <t>Manometer fitting</t>
  </si>
  <si>
    <t>Щтуцер до манометра</t>
  </si>
  <si>
    <t>Galvanized steel water and gas pipe DN15</t>
  </si>
  <si>
    <t>Труба сталева водогазопровідна
оцинкована DN15</t>
  </si>
  <si>
    <t>Steel pipe DN75, L=1225mm</t>
  </si>
  <si>
    <t>Патрубок сталевий DN75, L=1225мм</t>
  </si>
  <si>
    <t>Welded steel transition DN50x32</t>
  </si>
  <si>
    <t>Перехід сталевий зварний  Ду50х32</t>
  </si>
  <si>
    <t>Welded steel transition DN32х20</t>
  </si>
  <si>
    <t>Перехід сталевий зварний  Ду32х20</t>
  </si>
  <si>
    <t>Steel pipe DN32, L=300mm</t>
  </si>
  <si>
    <t>Патрубок сталевий DN32, L=300мм</t>
  </si>
  <si>
    <t>Steel pipe DN32, L=200mm</t>
  </si>
  <si>
    <t>Патрубок сталевий DN32, L=200мм</t>
  </si>
  <si>
    <t>Steel pipe DN32, L=100mm</t>
  </si>
  <si>
    <t>Патрубок сталевий DN32, L=100мм</t>
  </si>
  <si>
    <t>Steel pipe DN20, L=230mm</t>
  </si>
  <si>
    <t>Патрубок сталевий DN20, L=230мм</t>
  </si>
  <si>
    <t>Steel pipe DN20, L=200mm</t>
  </si>
  <si>
    <t>Патрубок сталевий DN20, L=200мм</t>
  </si>
  <si>
    <t>Steel pipe DN20, L=100mm</t>
  </si>
  <si>
    <t>Патрубок сталевий DN20, L=100мм</t>
  </si>
  <si>
    <t>Welded steel tee DN75x75</t>
  </si>
  <si>
    <t>Трійник сталевий зварний  Ду75х75</t>
  </si>
  <si>
    <t>Welded steel transition DN75x50</t>
  </si>
  <si>
    <t>Перехід сталевий зварний  Ду75х50</t>
  </si>
  <si>
    <t>Installing 32 mm diameter filters</t>
  </si>
  <si>
    <t>Установлення фільтрів діаметром 32 мм</t>
  </si>
  <si>
    <t>Installing 20 mm diameter filters</t>
  </si>
  <si>
    <t>Установлення фільтрів діаметром 20 мм</t>
  </si>
  <si>
    <t>Mesh filter 32 mm</t>
  </si>
  <si>
    <t>Фільтр  сітчастий 32 мм</t>
  </si>
  <si>
    <t>1pc</t>
  </si>
  <si>
    <t>Mesh filter 20 mm</t>
  </si>
  <si>
    <t>Фільтр  сітчастий 20 мм</t>
  </si>
  <si>
    <t>Rubber gaskets DN32mm</t>
  </si>
  <si>
    <t>Прокладки гумова Ду32мм</t>
  </si>
  <si>
    <t>Rubber gaskets DN75mm</t>
  </si>
  <si>
    <t>Прокладки гумова Ду75мм</t>
  </si>
  <si>
    <t>Bolts with nut M16x100</t>
  </si>
  <si>
    <t>Болти з гайкою М16х100</t>
  </si>
  <si>
    <t>Lock nut DN20</t>
  </si>
  <si>
    <t>Контргайка Ду20</t>
  </si>
  <si>
    <t>Coupling DN20</t>
  </si>
  <si>
    <t>Муфта Ду20</t>
  </si>
  <si>
    <t>Section 2. Water supply B1, B1pol, T3</t>
  </si>
  <si>
    <t>Розділ 2. Водопостачання В1, В1пол,Т3</t>
  </si>
  <si>
    <t>Installation of irrigation taps with a diameter of 25 mm</t>
  </si>
  <si>
    <t>Установлення кранів поливальних
діаметром 25 мм</t>
  </si>
  <si>
    <t>Shut-off valve, coupling type, Ø25 15 h8 P2</t>
  </si>
  <si>
    <t>Вентиль запiрний муфтовий Ø25 15 ч8 П2</t>
  </si>
  <si>
    <t>Rubber hose, L=35m Ø25</t>
  </si>
  <si>
    <t>Рукав гумовий, L=35м Ø25</t>
  </si>
  <si>
    <t>Installation of irrigation taps with a diameter of 15 mm</t>
  </si>
  <si>
    <t>Установлення кранів поливальних
діаметром 15 мм</t>
  </si>
  <si>
    <t>Shut-off valve, coupling type, Ø15 15 h8 P2</t>
  </si>
  <si>
    <t>Вентиль запiрний муфтовий Ø15 15 ч8 П2</t>
  </si>
  <si>
    <t>Rubber hose, L=20m Ø15</t>
  </si>
  <si>
    <t>Рукав гумовий, L=20м Ø15</t>
  </si>
  <si>
    <t>Installation of storage water heaters with a capacity of up to 1 m3</t>
  </si>
  <si>
    <t>Установлення водопідігрівників ємкісних
місткістю до 1 м3</t>
  </si>
  <si>
    <t>Water heater type ARISTON PRO1 R100 VTS", N=1.8kW, V=100l,</t>
  </si>
  <si>
    <t>Водонагрівач типу ARISTON PRO1 R100 VTS", N=1,8кВТ, V=100л,</t>
  </si>
  <si>
    <t>Water heater mounting</t>
  </si>
  <si>
    <t>Кріплення водонагрівача</t>
  </si>
  <si>
    <t>Installation of valves, gate valves, gate valves, check valves, and gate valves on pipelines made of steel pipes with a diameter of up to 25 mm</t>
  </si>
  <si>
    <t>Установлення вентилів, засувок, затворів,
 клапанів зворотних, кранів прохідних на
трубопроводах із стальних труб
діаметром до 25 мм</t>
  </si>
  <si>
    <t>Ball valves diam.20</t>
  </si>
  <si>
    <t>Крани кульовий діам.20</t>
  </si>
  <si>
    <t>Check valve diam. 20 mm</t>
  </si>
  <si>
    <t>Клапан зворотній діам.20 мм</t>
  </si>
  <si>
    <t>Safety valve diam.20</t>
  </si>
  <si>
    <t>Клапан запобіжний діам.20</t>
  </si>
  <si>
    <t>Flow break funnel</t>
  </si>
  <si>
    <t>Воронка розриву струмення</t>
  </si>
  <si>
    <t>Water heater type "ARISTON PRO1 R50 VTS", N=1.5kW, V=50l</t>
  </si>
  <si>
    <t>Водонагрівач типу "ARISTON PRO1 R50 VTS", N=1,5кВТ, V=50л</t>
  </si>
  <si>
    <t>Ball valves diam.15</t>
  </si>
  <si>
    <t>Крани кульовий діам.15</t>
  </si>
  <si>
    <t>Check valve diam. 15 mm</t>
  </si>
  <si>
    <t>Клапан зворотній діам.15 мм</t>
  </si>
  <si>
    <t>Safety valve diam.15</t>
  </si>
  <si>
    <t>Клапан запобіжний діам.15</t>
  </si>
  <si>
    <t>Water heater type ARISTON PRO1 R30 VTS", N=1.5kW, V=30l,</t>
  </si>
  <si>
    <t>Водонагрівач типу ARISTON PRO1 R30 VTS", N=1,5кВТ, V=30л,</t>
  </si>
  <si>
    <t>Installation of water outlets and installation of taps on pipelines made of steel pipes with a diameter of up to 25 mm</t>
  </si>
  <si>
    <t>Установлення водорозеток та установочні кранів на трубопроводах із стальних труб діаметром до 25 мм</t>
  </si>
  <si>
    <t>Water outlet Ø15</t>
  </si>
  <si>
    <t>Водорозетка Ø15</t>
  </si>
  <si>
    <t>Instrument tap Ø15</t>
  </si>
  <si>
    <t>Кран приладовий Ø15</t>
  </si>
  <si>
    <t>Flexible leads for devices L=50mm</t>
  </si>
  <si>
    <t>Гнучкі підводки до приладів L=50мм</t>
  </si>
  <si>
    <t>Installation of valves, gate valves, gate valves, check valves, and gate valves on pipelines made of steel pipes with a diameter of up to 50 mm</t>
  </si>
  <si>
    <t>Установлення вентилів, засувок, затворів,
 клапанів зворотних, кранів прохідних на
трубопроводах із стальних труб
діаметром до 50 мм</t>
  </si>
  <si>
    <t>Wedge latch diam. 63 mm</t>
  </si>
  <si>
    <t>Засувка клинова діам.63 мм</t>
  </si>
  <si>
    <t>Installation of cranes</t>
  </si>
  <si>
    <t>Установлення кранів</t>
  </si>
  <si>
    <t>American ball valves diam.15</t>
  </si>
  <si>
    <t>Крани кульові американка діам.15</t>
  </si>
  <si>
    <t>American ball valves diam.20</t>
  </si>
  <si>
    <t>Крани кульові американка діам.20</t>
  </si>
  <si>
    <t>American ball valves diam.25</t>
  </si>
  <si>
    <t>Крани кульові американка діам.25</t>
  </si>
  <si>
    <t>American ball valves d.32</t>
  </si>
  <si>
    <t>Крани кульові американка  д.32</t>
  </si>
  <si>
    <t>Laying water supply pipelines from pressure polyethylene pipes with a diameter of 20 mm (Re-Xa KAN type)</t>
  </si>
  <si>
    <t>Прокладання трубопроводів
водопостачання з напірних
поліетиленових труб діаметром 20 мм
(типу Ре-Ха KAN)</t>
  </si>
  <si>
    <t>Pe-Xa polyethylene pipe 18x2.5 mm</t>
  </si>
  <si>
    <t>Труба поліетиленова Pe-Xa 18х2,5мм</t>
  </si>
  <si>
    <t xml:space="preserve"> Elbows, rings for Pe-Xa pipe</t>
  </si>
  <si>
    <t xml:space="preserve">Коліна, кільця для труби Pe-Xa </t>
  </si>
  <si>
    <t>Laying water supply pipelines from pressure polyethylene pipes with a diameter of 25 mm (type Re-Xa KAN)</t>
  </si>
  <si>
    <t>Прокладання трубопроводів
водопостачання з напірних
поліетиленових труб діаметром 25 мм (
типу Ре-Ха KAN)</t>
  </si>
  <si>
    <t>Pe-Xa polyethylene pipe 25x3.5 mm</t>
  </si>
  <si>
    <t>Труба поліетиленова Pe-Xa 25х3,5мм</t>
  </si>
  <si>
    <t>Laying water supply pipelines from pressure polyethylene pipes with a diameter of 32 mm (type Re-Xa KAN)</t>
  </si>
  <si>
    <t>Прокладання трубопроводів
водопостачання з напірних
поліетиленових труб діаметром 32 мм (
типу Ре-Ха KAN)</t>
  </si>
  <si>
    <t>Pe-Xa polyethylene pipe 32х4,4 mm</t>
  </si>
  <si>
    <t>Труба поліетиленова Pe-Xa 32х4,4мм</t>
  </si>
  <si>
    <t>Laying water supply pipelines from pressure polyethylene pipes with a diameter of 63 mm (type GF-PPR)</t>
  </si>
  <si>
    <t>Прокладання трубопроводів
водопостачання з напірних
поліетиленових труб діаметром 63 мм (
типу GF-PPR)</t>
  </si>
  <si>
    <t>Polypropylene pipes type GF-PPR Ø63-internal</t>
  </si>
  <si>
    <t>Труби поліпропиленові типу GF-PPR Ø63-внутрішній</t>
  </si>
  <si>
    <t>Plumbing clamp for pipe Ø63mm</t>
  </si>
  <si>
    <t>Хомут сантехнічний для труби Ø63мм</t>
  </si>
  <si>
    <t>GF-PPR elbows, couplings</t>
  </si>
  <si>
    <t>Коліна, муфти GF-PPR</t>
  </si>
  <si>
    <t>Laying water supply pipelines from pressure polyethylene pipes with a diameter of 20 mm (type GF-PPR)</t>
  </si>
  <si>
    <t>Прокладання трубопроводів
водопостачання з напірних
поліетиленових труб діаметром 20 мм (
типу GF-PPR)</t>
  </si>
  <si>
    <t>Polypropylene pipes type GF-PPR Ø20-internal</t>
  </si>
  <si>
    <t>Труби поліпропиленові типу GF-PPR Ø20-внутрішній</t>
  </si>
  <si>
    <t>Plumbing clamp for pipe Ø20mm</t>
  </si>
  <si>
    <t>Хомут сантехнічний для труби Ø20мм</t>
  </si>
  <si>
    <t>Laying water supply pipelines from pressure polyethylene pipes with a diameter of 25 mm (type GF-PPR)</t>
  </si>
  <si>
    <t>Прокладання трубопроводів
водопостачання з напірних
поліетиленових труб діаметром 25 мм (
типу GF-PPR)</t>
  </si>
  <si>
    <t>Polypropylene pipes type GF-PPR Ø25-internal</t>
  </si>
  <si>
    <t>Труби поліпропиленові типу GF-PPR Ø25-внутрішній</t>
  </si>
  <si>
    <t>Plumbing clamp for pipe Ø25mm</t>
  </si>
  <si>
    <t>Хомут сантехнічний для труби Ø25мм</t>
  </si>
  <si>
    <t>Laying water supply pipelines from pressure polyethylene pipes with a diameter of 32 mm (type GF-PPR)</t>
  </si>
  <si>
    <t>Прокладання трубопроводів
водопостачання з напірних
поліетиленових труб діаметром 32 мм (
типу GF-PPR)</t>
  </si>
  <si>
    <t>Polypropylene pipes type GF-PPR Ø32-internal</t>
  </si>
  <si>
    <t>Труби поліпропиленові типу GF-PPR Ø32-внутрішній</t>
  </si>
  <si>
    <t>Plumbing clamp for pipe Ø32mm</t>
  </si>
  <si>
    <t>Хомут сантехнічний для труби Ø32мм</t>
  </si>
  <si>
    <t>Laying water supply pipelines from pressure polyethylene pipes with a diameter of 40 mm (type GF-PPR)</t>
  </si>
  <si>
    <t>Прокладання трубопроводів
водопостачання з напірних
поліетиленових труб діаметром 40 мм (
типу GF-PPR)</t>
  </si>
  <si>
    <t>Polypropylene pipes type GF-PPR Ø40-internal</t>
  </si>
  <si>
    <t>Труби поліпропиленові типу GF-PPR Ø40-внутрішній</t>
  </si>
  <si>
    <t>Plumbing clamp for pipe Ø40mm</t>
  </si>
  <si>
    <t>Хомут сантехнічний для труби Ø40мм</t>
  </si>
  <si>
    <t>Коліна, муфти, трійники GF-PPR</t>
  </si>
  <si>
    <t>Ізоляція трубопроводів трубками із
спіненого каучуку, поліетилену</t>
  </si>
  <si>
    <t>Pipe insulation made of foamed rubber K-Flex ST s=9mm, for DN18</t>
  </si>
  <si>
    <t>Ізоляція трубна з вспіненого каучука K-
Flex ST s=9мм , для Ду18</t>
  </si>
  <si>
    <t>Pipe insulation made of foamed rubber K-Flex ST s=9mm, for DN25</t>
  </si>
  <si>
    <t>Ізоляція трубна з вспіненого каучука K-
Flex ST s=9мм , для Ду25</t>
  </si>
  <si>
    <t>Pipe insulation made of foamed rubber K-Flex ST s=9mm, for DN32</t>
  </si>
  <si>
    <t>Ізоляція трубна з вспіненого каучука K-
Flex ST s=9мм , для Ду32</t>
  </si>
  <si>
    <t>Reinforced black tape</t>
  </si>
  <si>
    <t>Скотч армований чорний</t>
  </si>
  <si>
    <t>Pipe insulation made of foamed rubber K-Flex ST s=9mm, for DN20</t>
  </si>
  <si>
    <t>Ізоляція трубна з вспіненого каучука K-
Flex ST s=9мм , для Ду20</t>
  </si>
  <si>
    <t>Pipe insulation made of foamed rubber K-Flex ST s=9mm, for DN40</t>
  </si>
  <si>
    <t>Ізоляція трубна з вспіненого каучука K-
Flex ST s=9мм , для Ду40</t>
  </si>
  <si>
    <t>Pipe insulation made of foamed rubber K-Flex ST s=9mm, for DN63</t>
  </si>
  <si>
    <t>Ізоляція трубна з вспіненого каучука K-
Flex ST s=9мм , для Ду63</t>
  </si>
  <si>
    <t>Laying water supply pipelines from pressure polyethylene pipes with a diameter of 63 mm</t>
  </si>
  <si>
    <t>Прокладання трубопроводів
водопостачання з напірних
поліетиленових труб діаметром 63 мм</t>
  </si>
  <si>
    <t>Polyethylene pipe with a diameter of 63 mm PE 100 SDR</t>
  </si>
  <si>
    <t>Труба поліетиленова труб діаметром 63 мм ПЕ 100 SDR</t>
  </si>
  <si>
    <t>Sealing of entries</t>
  </si>
  <si>
    <t>Герметизація вводів</t>
  </si>
  <si>
    <t>stuffing box</t>
  </si>
  <si>
    <t>сальник</t>
  </si>
  <si>
    <t>Oil seal for sealing pipes 63mm</t>
  </si>
  <si>
    <t>Сальник для герметизацїї воодів 63мм</t>
  </si>
  <si>
    <t>Metal structures for pipe fastening</t>
  </si>
  <si>
    <t>Металоконструкції для кріплення труб</t>
  </si>
  <si>
    <t>Priming metal surfaces in one go with primer GF-021</t>
  </si>
  <si>
    <t>Ґрунтування металевих поверхонь за
один раз ґрунтовкою ГФ-021</t>
  </si>
  <si>
    <t>Painting of primed metal surfaces with PF-115 enamel (2 times)</t>
  </si>
  <si>
    <t>Фарбування металевих поґрунтованих
поверхонь емаллю ПФ-115 (2 рази)</t>
  </si>
  <si>
    <t>Laying drainage pipelines</t>
  </si>
  <si>
    <t>Прокладання трубопроводів дренажу</t>
  </si>
  <si>
    <t>Metal-plastic pipe Ø16mm Pexal</t>
  </si>
  <si>
    <t>Труба метало пластикова  Ø16мм Pexal</t>
  </si>
  <si>
    <t>Special steel connections [shoulder bushings, 
coupling and sleeve nuts</t>
  </si>
  <si>
    <t>Спецз'єднання сталеві [втулки буртові, гайки
накидні, муфтові]</t>
  </si>
  <si>
    <t>Bends, tees, adapters</t>
  </si>
  <si>
    <t>Відводи, трійники, перехідники</t>
  </si>
  <si>
    <t>Special polyethylene connections [shoulder bushings, coupling and sleeve nuts</t>
  </si>
  <si>
    <t>Спецз'єднання поліетиленових труб [втулки буртові, гайки накидні, муфтові]</t>
  </si>
  <si>
    <t>Section 3. Sewerage internal network K1, K3</t>
  </si>
  <si>
    <t>Розділ 3. Каналізація внутрішня мережа
К1, К3</t>
  </si>
  <si>
    <t>Установлення умивальників одиночних з
підведеннямю холодної і гарячої води</t>
  </si>
  <si>
    <t>Ceramic washbasin complete with siphon</t>
  </si>
  <si>
    <t>Умивальник керамiчний у комплектi iз
сифоном</t>
  </si>
  <si>
    <t>washbasin mixer</t>
  </si>
  <si>
    <t>змішувач для умивальника</t>
  </si>
  <si>
    <t>pcs.</t>
  </si>
  <si>
    <t>шт.</t>
  </si>
  <si>
    <t>Washbasin for people with disabilities</t>
  </si>
  <si>
    <t>Умивальник для людей з обмеженими
можливостями</t>
  </si>
  <si>
    <t>Washbasin mixer (for people with disabilities)</t>
  </si>
  <si>
    <t>Змішувач для умивальника (для людей з
обмеженими можливостями)</t>
  </si>
  <si>
    <t>Installation of bathroom accessories: hangers, cup holders, bath grab bars, etc.</t>
  </si>
  <si>
    <t>Handrails for MGN</t>
  </si>
  <si>
    <t>Поручні для МГН</t>
  </si>
  <si>
    <t>Folding handrails for MGN</t>
  </si>
  <si>
    <t>Поручні відкидні для МГН</t>
  </si>
  <si>
    <t>Установлення унітазів із бачком
безпосередньо приєднаним</t>
  </si>
  <si>
    <t>Toilet</t>
  </si>
  <si>
    <t>Унiтаз</t>
  </si>
  <si>
    <t>Toilet for people with disabilities</t>
  </si>
  <si>
    <t>Унітаз для людей з обмеженими
можливостями</t>
  </si>
  <si>
    <t>Corrugation for toilet bowl</t>
  </si>
  <si>
    <t>Гофра для унітазу</t>
  </si>
  <si>
    <t>Installation of wall-mounted [single] urinals</t>
  </si>
  <si>
    <t>Установлення піссуарів настінних
[одиночних]</t>
  </si>
  <si>
    <t>Qtar Baby wall-mounted urinal, complete with siphon, tap and mounting</t>
  </si>
  <si>
    <t>Пісуар підвісний Qtар Baby в комп. з
сифоном, краном та кріпленням</t>
  </si>
  <si>
    <t>Installation of 50 mm diameter ladders</t>
  </si>
  <si>
    <t>Установлення трапів діаметром 50 мм</t>
  </si>
  <si>
    <t>Horizontal drain pipe HL-80.1 diam. 50 with stainless steel grate</t>
  </si>
  <si>
    <t>Трап горизонтальний патрубок HL-80.1
діам.50 з решіткою з нерж.сталі</t>
  </si>
  <si>
    <t>Installation of 100 mm diameter ladders</t>
  </si>
  <si>
    <t>Horizontal drain pipe HL-80.1 diam. 100 with stainless steel grate</t>
  </si>
  <si>
    <t>Трап горизонтальний патрубок HL-80.1
діам.100 з решіткою з нерж.сталі</t>
  </si>
  <si>
    <t>Installing shower trays</t>
  </si>
  <si>
    <t>Установлення піддонів душових</t>
  </si>
  <si>
    <t>Shower trays</t>
  </si>
  <si>
    <t>Піддони душовий</t>
  </si>
  <si>
    <t>Siphon for shower tray</t>
  </si>
  <si>
    <t>Сифон для душового піддона</t>
  </si>
  <si>
    <t>Fire protection cuffs diam.50</t>
  </si>
  <si>
    <t>Протипожежні манжети діам.50</t>
  </si>
  <si>
    <t>Fire protection cuffs diam.100</t>
  </si>
  <si>
    <t>Протипожежні манжети діам.100</t>
  </si>
  <si>
    <t>complex 7373-3</t>
  </si>
  <si>
    <t>комплекс 7373-3</t>
  </si>
  <si>
    <t>Laying of sewerage pipelines from low-pressure polyethylene pipes with a diameter of 50 mm</t>
  </si>
  <si>
    <t>Прокладання трубопроводів каналізації з
поліетиленових труб  низького тиску
діаметром 50 мм</t>
  </si>
  <si>
    <t>Sewer pipe D50mm</t>
  </si>
  <si>
    <t>Труба каналізаційна Д50мм</t>
  </si>
  <si>
    <t>Polypropylene cleaning rod, diameter 50 mm</t>
  </si>
  <si>
    <t>Прочистка поліпропіленова діам. 50 мм</t>
  </si>
  <si>
    <t>Polypropylene inspection hole, diameter 50 mm</t>
  </si>
  <si>
    <t>Ревізія поліпропіленова діам. 50 мм</t>
  </si>
  <si>
    <t>Laying of sewerage pipelines from low-pressure polyethylene pipes with a diameter of 100 mm</t>
  </si>
  <si>
    <t>Прокладання трубопроводів каналізації з
поліетиленових труб низького тиску
діаметром 100 мм</t>
  </si>
  <si>
    <t>Sewer pipe D110mm</t>
  </si>
  <si>
    <t>Труба каналізаційна Д110мм</t>
  </si>
  <si>
    <t>Sewer tee Ostendorf HT-Safe 110/110*45˚ (175200)</t>
  </si>
  <si>
    <t>Трійник каналізаційний Ostendorf HT-Safe 110/110*45˚ (175200)</t>
  </si>
  <si>
    <t>Sewer elbow Ostendorf HT-Safe 110*45˚ (175120)</t>
  </si>
  <si>
    <t>Коліно каналізаційне Ostendorf HT-Safe 110*45˚ (175120)</t>
  </si>
  <si>
    <t>Polypropylene cleaning rod, diameter 100 mm</t>
  </si>
  <si>
    <t>Прочистка поліпропіленова діам. 100 мм</t>
  </si>
  <si>
    <t>Polypropylene inspection hole, diameter 100 mm</t>
  </si>
  <si>
    <t>Ревізія поліпропіленова діам. 100 мм</t>
  </si>
  <si>
    <t>Ventilation deflector (mushroom) 110 mm ASG</t>
  </si>
  <si>
    <t>Дефлектор (грибок) вентиляції 110 мм ASG</t>
  </si>
  <si>
    <t>Section 4. Storm sewer K2</t>
  </si>
  <si>
    <t>Розділ 4. Дощова каналізація К2</t>
  </si>
  <si>
    <t>Installation of drain funnels with a diameter of 100 mm</t>
  </si>
  <si>
    <t>Установлення воронок зливних
діаметром 100 мм</t>
  </si>
  <si>
    <t>Drain funnel with electric heating type HL62.1H diam. 100</t>
  </si>
  <si>
    <t>Воронка водостічна з електропідігрівом
типу HL62.1H діам.100</t>
  </si>
  <si>
    <t>Expansion joints with elastic cuffs, diam. 100</t>
  </si>
  <si>
    <t>Компенсаційні патрубки з еластичними
манжетами діам.100</t>
  </si>
  <si>
    <t>Laying pipelines from steel enameled pipes with a diameter of 110 mm</t>
  </si>
  <si>
    <t>Прокладання трубопроводів зі стальних
емальованих труб діаметром 110 мм</t>
  </si>
  <si>
    <t>Enameled steel pipe D1110mm</t>
  </si>
  <si>
    <t>Труба сталева емальована Д110мм</t>
  </si>
  <si>
    <t>Cleaning diam. 100 mm</t>
  </si>
  <si>
    <t>Прочистка діам. 100 мм</t>
  </si>
  <si>
    <t>Laying pipelines from steel enameled pipes with a diameter of 160 mm</t>
  </si>
  <si>
    <t>Прокладання трубопроводів зі стальних
емальованих труб діаметром 160 мм</t>
  </si>
  <si>
    <t>Enameled steel pipe D160mm</t>
  </si>
  <si>
    <t>Труба сталева емальована Д160мм</t>
  </si>
  <si>
    <t>Cleaning dia. 150 mm</t>
  </si>
  <si>
    <t>Прочистка діам. 150 мм</t>
  </si>
  <si>
    <t>Revision diam. 150 mm</t>
  </si>
  <si>
    <t>Ревізія діам. 150 мм</t>
  </si>
  <si>
    <t>Installation of water seals with a diameter of 150 mm</t>
  </si>
  <si>
    <t>Установлення гідрозатворів діаметром
150 мм</t>
  </si>
  <si>
    <t>Hydraulic seal diam.150</t>
  </si>
  <si>
    <t>Гідрозатвор діам.150</t>
  </si>
  <si>
    <t>Pipe insulation made of foamed rubber K-Flex ST s=13mm, for DN150</t>
  </si>
  <si>
    <t>Ізоляція трубна з вспіненого каучука K-
Flex ST s=13мм , для Ду150</t>
  </si>
  <si>
    <t>Pipe insulation made of foamed rubber K-Flex ST s=13mm, for DN100</t>
  </si>
  <si>
    <t>Ізоляція трубна з вспіненого каучука K-
Flex ST s=13мм , для Ду100</t>
  </si>
  <si>
    <t>Consumables</t>
  </si>
  <si>
    <t>Витратні матеріали</t>
  </si>
  <si>
    <t>Flushing systems</t>
  </si>
  <si>
    <t>Промивання систем</t>
  </si>
  <si>
    <t>Local estimate 02-01-08 for Heating</t>
  </si>
  <si>
    <t>Локальний кошторис 02-01-08 на
Опалення</t>
  </si>
  <si>
    <t>Installation of steel radiators</t>
  </si>
  <si>
    <t>Установлення радіаторів стальних</t>
  </si>
  <si>
    <t>Steel radiator Romstal 22 type 300x500 mm bottom connection</t>
  </si>
  <si>
    <t>Радіатор сталевий Romstal 22 тип
300x500 мм нижнє підключення</t>
  </si>
  <si>
    <t>Steel radiator Romstal 22 type 300x600 mm bottom connection</t>
  </si>
  <si>
    <t>Радіатор сталевий Romstal 22 тип
300x600 мм нижнє підключення</t>
  </si>
  <si>
    <t>Steel radiator Romstal 22 type 300x700 mm bottom connection</t>
  </si>
  <si>
    <t>Радіатор сталевий Romstal 22 тип
300x700 мм нижнє підключення</t>
  </si>
  <si>
    <t>Steel radiator Romstal 22 type 300x1800 mm bottom connection</t>
  </si>
  <si>
    <t>Радіатор сталевий Romstal 22 тип
300x1800 мм нижнє підключення</t>
  </si>
  <si>
    <t>Steel radiator Romstal 22 type 500x400 mm bottom connection</t>
  </si>
  <si>
    <t>Радіатор сталевий Romstal 22 тип
500x400 мм нижнє підключення</t>
  </si>
  <si>
    <t>Steel radiator Romstal 22 type 500x500 mm bottom connection</t>
  </si>
  <si>
    <t>Радіатор сталевий Romstal 22 тип
500x500 мм нижнє підключення</t>
  </si>
  <si>
    <t>Steel radiator Romstal 22 type 500x600 mm bottom connection</t>
  </si>
  <si>
    <t>Радіатор сталевий Romstal 22 тип
500x600 мм нижнє підключення</t>
  </si>
  <si>
    <t>Steel radiator Romstal 22 type 500x700 mm bottom connection</t>
  </si>
  <si>
    <t>Радіатор сталевий Romstal 22 тип
500x700 мм нижнє підключення</t>
  </si>
  <si>
    <t>Steel radiator Romstal 22 type 500x800 mm bottom connection</t>
  </si>
  <si>
    <t>Радіатор сталевий Romstal 22 тип
500x800 мм нижнє підключення</t>
  </si>
  <si>
    <t>Steel radiator Romstal 22 type 500x900 mm bottom connection</t>
  </si>
  <si>
    <t>Радіатор сталевий Romstal 22 тип
500x900 мм нижнє підключення</t>
  </si>
  <si>
    <t>Steel radiator Romstal 22 type 900x1000 mm bottom connection</t>
  </si>
  <si>
    <t>Радіатор сталевий Romstal 22 тип
900x1000 мм нижнє підключення</t>
  </si>
  <si>
    <t>Steel radiator Romstal 11 type 500x500 mm bottom connection</t>
  </si>
  <si>
    <t>Радіатор сталевий Romstal 11 тип
500x500 мм нижнє підключення</t>
  </si>
  <si>
    <t>Steel radiator Romstal 11 type 500x600 mm bottom connection</t>
  </si>
  <si>
    <t>Радіатор сталевий Romstal 11 тип
500x600 мм нижнє підключення</t>
  </si>
  <si>
    <t>Steel radiator Romstal 11 type 500x700 mm bottom connection</t>
  </si>
  <si>
    <t>Радіатор сталевий Romstal 11 тип
500x700 мм нижнє підключення</t>
  </si>
  <si>
    <t>Steel radiator Romstal 11 type 500х800 mm bottom connection</t>
  </si>
  <si>
    <t>Радіатор сталевий Romstal 11 тип
500x800 мм нижнє підключення</t>
  </si>
  <si>
    <t>Steel radiator Romstal 11 type 500х900 mm bottom connection</t>
  </si>
  <si>
    <t>Радіатор сталевий Romstal 11 тип
500x900 мм нижнє підключення</t>
  </si>
  <si>
    <t>Steel radiator Romstal 11 type 500х1000 mm bottom connection</t>
  </si>
  <si>
    <t>Радіатор сталевий Romstal 11 тип
500x1000 мм нижнє підключення</t>
  </si>
  <si>
    <t xml:space="preserve">Steel radiator Romstal 22 type 500х700 mm </t>
  </si>
  <si>
    <t>Радіатор сталевий Romstal 22 тип
500x700 мм бокове підключення</t>
  </si>
  <si>
    <t xml:space="preserve">Steel radiator Romstal 33 type 300х1000 mm </t>
  </si>
  <si>
    <t>Радіатор сталевий Romstal 33 тип
300x1000 мм бокове підключення</t>
  </si>
  <si>
    <t>In-floor convector KRN 81-185-2000 KERMI</t>
  </si>
  <si>
    <t>Внутрішньопідлоговий конвектор KRN 81-185-2000 KERMI</t>
  </si>
  <si>
    <t>In-floor convector KRN 81-185-3500 KERMI</t>
  </si>
  <si>
    <t>Внутрішньопідлоговий конвектор KRN 81-185-3500 KERMI</t>
  </si>
  <si>
    <t>Radiator valve set</t>
  </si>
  <si>
    <t>Комплект кранів радіаторних</t>
  </si>
  <si>
    <t>Laying water supply pipelines from galvanized steel water and gas pipes with a diameter of 15 mm</t>
  </si>
  <si>
    <t>Прокладання трубопроводів
водопостачання зі стальних
водогазопровідних оцинкованих труб
діаметром 15 мм</t>
  </si>
  <si>
    <t>Laying water supply pipelines from galvanized steel water and gas pipes with a diameter of 20 mm</t>
  </si>
  <si>
    <t>Прокладання трубопроводів
водопостачання зі стальних
водогазопровідних оцинкованих труб
діаметром 20 мм</t>
  </si>
  <si>
    <t>Laying water supply pipelines from galvanized steel water and gas pipes with a diameter of 25 mm</t>
  </si>
  <si>
    <t>Прокладання трубопроводів
водопостачання зі стальних
водогазопровідних оцинкованих труб
діаметром 25 мм</t>
  </si>
  <si>
    <t>Laying water supply pipelines from galvanized steel water and gas pipes with a diameter of 32 mm</t>
  </si>
  <si>
    <t>Прокладання трубопроводів
водопостачання зі стальних
водогазопровідних оцинкованих труб
діаметром 32 мм</t>
  </si>
  <si>
    <t>Laying water supply pipelines from galvanized steel water and gas pipes with a diameter of 40 mm</t>
  </si>
  <si>
    <t>Прокладання трубопроводів
водопостачання зі стальних
водогазопровідних оцинкованих труб
діаметром 40 мм</t>
  </si>
  <si>
    <t>Laying water supply pipelines from galvanized steel water and gas pipes with a diameter of 50 mm</t>
  </si>
  <si>
    <t>Прокладання трубопроводів
водопостачання зі стальних
водогазопровідних оцинкованих труб
діаметром 50 мм</t>
  </si>
  <si>
    <t>Laying water supply pipelines from high-pressure polyethylene pipes with an outer diameter of 14x2 mm with a thermistor welding connection</t>
  </si>
  <si>
    <t>Прокладання трубопроводів
водопостачання з напірних
поліетиленових труб високого тиску
зовнішнім діаметром 14х2 мм зі
з'єднанням терморезисторним
зварюванням</t>
  </si>
  <si>
    <t>PE-RT pipe with EVOH protection, 5-layer Push, diam. 14x2, KAN PUSH PERT-5С P10</t>
  </si>
  <si>
    <t>Труба PE-RT c захистом EVOH 5-ти
шарова Push діам.14x2,  KAN PUSH
PERT-5С P10</t>
  </si>
  <si>
    <t>Laying water supply pipelines from high-pressure polyethylene pipes with an outer diameter of 18x2.5 mm with a thermistor welding connection</t>
  </si>
  <si>
    <t>Прокладання трубопроводів
водопостачання з напірних
поліетиленових труб високого тиску
зовнішнім діаметром 18х2,5 мм зі
з'єднанням терморезисторним
зварюванням</t>
  </si>
  <si>
    <t>PE-RT pipe with EVOH protection, 5-layer Push, diam. 18x2.5 KAN PUSH PERT-5С P10</t>
  </si>
  <si>
    <t>Труба PE-RT c захистом EVOH 5-ти
шарова Push діам.18x2,5  KAN PUSH
PERT-5С P10</t>
  </si>
  <si>
    <t>Laying water supply pipelines from high-pressure polyethylene pipes with an outer diameter of 25x3.5 mm with a thermistor welding connection</t>
  </si>
  <si>
    <t>Прокладання трубопроводів
водопостачання з напірних
поліетиленових труб високого тиску
зовнішнім діаметром 25х3,5 мм зі
з'єднанням терморезисторним
зварюванням</t>
  </si>
  <si>
    <t>PE-RT pipe with EVOH protection, 5-layer Push, diam. 25x3.5 KAN PUSH PERT-5С P10</t>
  </si>
  <si>
    <t>Труба PE-RT c захистом EVOH 5-ти
шарова Push діам.25x3,5  KAN PUSH
PERT-5С P10</t>
  </si>
  <si>
    <t>Pipe insulation made of foamed rubber K-Flex ST s=6mm, for DN14</t>
  </si>
  <si>
    <t>Ізоляція трубна з вспіненого каучука K-
Flex ST s=6мм , для Ду14</t>
  </si>
  <si>
    <t>Pipe insulation made of foamed rubber K-Flex ST s=6mm, for DN18</t>
  </si>
  <si>
    <t>Ізоляція трубна з вспіненого каучука K-
Flex ST s=6мм , для Ду18</t>
  </si>
  <si>
    <t>Pipe insulation made of foamed rubber K-Flex ST s=6mm, for DN25</t>
  </si>
  <si>
    <t>Ізоляція трубна з вспіненого каучука K-
Flex ST s=6мм , для Ду25</t>
  </si>
  <si>
    <t>Pipe insulation made of foamed rubber K-Flex ST s=13mm, for DN20</t>
  </si>
  <si>
    <t>Ізоляція трубна з вспіненого каучука K-
Flex ST s=13мм , для Ду15</t>
  </si>
  <si>
    <t>Ізоляція трубна з вспіненого каучука K-
Flex ST s=13мм , для Ду20</t>
  </si>
  <si>
    <t>Pipe insulation made of foamed rubber K-Flex ST s=19mm, for DN25</t>
  </si>
  <si>
    <t>Ізоляція трубна з вспіненого каучука K-
Flex ST s=19мм , для Ду25</t>
  </si>
  <si>
    <t>Pipe insulation made of foamed rubber K-Flex ST s=25 mm, for DN32</t>
  </si>
  <si>
    <t>Ізоляція трубна з вспіненого каучука K-
Flex ST s=25 мм , для Ду32</t>
  </si>
  <si>
    <t>Pipe insulation made of foamed rubber K-Flex ST s=25 mm, for DN40</t>
  </si>
  <si>
    <t>Ізоляція трубна з вспіненого каучука K-
Flex ST s=25 мм , для Ду40</t>
  </si>
  <si>
    <t>Pipe insulation made of foamed rubber K-Flex ST s=40 mm, for DN50</t>
  </si>
  <si>
    <t>Ізоляція трубна з вспіненого каучука K-
Flex ST s=40 мм , для Ду50</t>
  </si>
  <si>
    <t>Ball valve diam.20</t>
  </si>
  <si>
    <t>Кран шаровий діам.20</t>
  </si>
  <si>
    <t xml:space="preserve">Ball valve diam.25 </t>
  </si>
  <si>
    <t>Кран шаровий діам.25</t>
  </si>
  <si>
    <t>Installation of valves, gate valves, gate valves, check valves, and gate valves on pipelines made of steel pipes with a diameter of</t>
  </si>
  <si>
    <t>H-shaped (straight) valve dia.15 RLV- S П, "Danfoss"</t>
  </si>
  <si>
    <t>Клапан H-подібний (прямий) діам.15 RLV-
S П, "Danfoss" діам.15</t>
  </si>
  <si>
    <t>Thermostatic Direct Valve RA-DV N''Danfoss" diam.15</t>
  </si>
  <si>
    <t>Термостатичний клапан прямий RA-DV П ''Danfoss" діам.15</t>
  </si>
  <si>
    <t>Angle shut-off valve RLV-S in ''Danfoss' diam. 15</t>
  </si>
  <si>
    <t>Запірний клапан кутовий RLV-S У ''Danfoss" діам. 15</t>
  </si>
  <si>
    <t>Axial thermostatic valve RA-N O ''Danfoss' diam.15</t>
  </si>
  <si>
    <t>Термостатичний клапан осьовий RA- N O ''Danfoss" діам.15</t>
  </si>
  <si>
    <t>Corner shut-off valve RLV-KS diam. 20 ''Danfoss"</t>
  </si>
  <si>
    <t>Запірний клапан кутовий RLV-КS діам. 20 ''Danfoss"</t>
  </si>
  <si>
    <t>Shut-off valve MSV-S diam. 15 ''Danfoss"</t>
  </si>
  <si>
    <t>Запірний клапан MSV-S діам. 15 ''Danfoss"</t>
  </si>
  <si>
    <t>Shut-off valve MSV-S diam. 20 ''Danfoss"</t>
  </si>
  <si>
    <t>Запірний клапан MSV-S діам. 20 ''Danfoss"</t>
  </si>
  <si>
    <t>Differential pressure regulator with water flow control dia.15 AB-PM, "Danfoss"</t>
  </si>
  <si>
    <t>Регулятор перепаду тиску з регул.
витрати води  діам.15 AB-PM, "Danfoss"</t>
  </si>
  <si>
    <t>Ball valve for connecting a temperature sensor</t>
  </si>
  <si>
    <t>Кран кульовий для підключення датчика
температури</t>
  </si>
  <si>
    <t>Automatic air vent diam.10 Fix Matic, "Danfoss"</t>
  </si>
  <si>
    <t>Автоматичний повітровідвідник   діам.10
Fix Matic, "Danfoss"</t>
  </si>
  <si>
    <t>Installation of fixed supports for pipes with a diameter of 40</t>
  </si>
  <si>
    <t>Встановлення нерухомих опор для труб діаметром 40</t>
  </si>
  <si>
    <t>Installation of fixed supports for pipes with a diameter of 32</t>
  </si>
  <si>
    <t>Встановлення нерухомих опор для труб діаметром 32</t>
  </si>
  <si>
    <t>Коліна, трійники, перехідники</t>
  </si>
  <si>
    <t>Local estimate 02-01-09 for heating commissioning work</t>
  </si>
  <si>
    <t>Локальний кошторис 02-01-09 на Пуско-
налагоджувальні роботи опалення</t>
  </si>
  <si>
    <t>Regulation of the internal water system of the building's heat consumption with a heat load of up to 2</t>
  </si>
  <si>
    <t>Регулювання внутрішньої водяної
системи теплоспоживання будівлі з
тепловим навантаженням до 2 Гкал/год</t>
  </si>
  <si>
    <t>Local estimate 02-01-010 for Installation of a heating station</t>
  </si>
  <si>
    <t>Локальний кошторис 02-01-010 на
Монтаж теплового пункту</t>
  </si>
  <si>
    <t>Laying heating and water supply pipelines from steel electric welded pipes with a diameter of 65 mm</t>
  </si>
  <si>
    <t>Прокладання трубопроводів опалення і
водопостачання зі стальних
електрозварних труб діаметром 65 мм</t>
  </si>
  <si>
    <t>Laying heating pipelines from steel water and gas non-galvanized pipes with a diameter of 20 mm</t>
  </si>
  <si>
    <t>Прокладання трубопроводів опалення зі
стальних водогазопровідних
неоцинкованих труб діаметром 20 мм</t>
  </si>
  <si>
    <t>Insulation of pipelines with a diameter of 76 mm with fully prefabricated thermal insulation structures based on products made of mineral wool or glass staple fiber with a metal coating, insulation layer thickness 60 mm</t>
  </si>
  <si>
    <t>Ізоляція трубопроводів діаметром 76 мм
конструкціями теплоізоляційними
повнозбірними на основі виробів із
мінеральної вати або скляного
штапельного волокна з покриттям із
металу, товщина ізоляційного шару 60 мм</t>
  </si>
  <si>
    <t>Thermal insulation NG "TechnoNIKOL" for pipes DN50 cylinders based on basalt fiber 40mm</t>
  </si>
  <si>
    <t>Теплоізоляція НГ "Техноніколь" для труб
Ду50 циліндри на основі базальтового
волокна 40мм</t>
  </si>
  <si>
    <t>Hydraulic testing of heating, water supply and hot water supply pipelines with a diameter of up to 50 mm</t>
  </si>
  <si>
    <t>Гідравлічне випробування трубопроводів
систем опалення, водопроводу і гарячого
водопостачання діаметром до 50 мм</t>
  </si>
  <si>
    <t>Gate valve, PN1.6MPa, DN50</t>
  </si>
  <si>
    <t>Клапан запірний прохідний, Ру1.6МПа,
Ду50</t>
  </si>
  <si>
    <t xml:space="preserve"> Flanged shut-off valve, Ru 1.6 MPa, Du50</t>
  </si>
  <si>
    <t xml:space="preserve">Вентиль запірний фланцевий, Ру 1.6
МПа, Ду50 </t>
  </si>
  <si>
    <t xml:space="preserve"> Flanged check valve, Ru1.6MPa, Du50</t>
  </si>
  <si>
    <t xml:space="preserve">Клапан зворотній фланцевий, Ру1.6МПа,
Ду50 </t>
  </si>
  <si>
    <t xml:space="preserve"> Interflange check valve, Ru1. 6MPa, Du50</t>
  </si>
  <si>
    <t xml:space="preserve">Клапан зворотній міжфланцевий, Ру1.
6МПа, Ду50 </t>
  </si>
  <si>
    <t>Flanges 1-57-16</t>
  </si>
  <si>
    <t>Фланці 1-57-16</t>
  </si>
  <si>
    <t>Gasket 1-57-16</t>
  </si>
  <si>
    <t>Прокладка 1-57-16</t>
  </si>
  <si>
    <t>Installation of flange connections on steel pipelines with a diameter of 50 mm</t>
  </si>
  <si>
    <t>Установлення фланцевих з'єднань на
стальних трубопроводах діаметром 50
мм</t>
  </si>
  <si>
    <t>Vibrating insert flanged Ru 1.6MPa, Du50</t>
  </si>
  <si>
    <t>Вібровставка фланцева Ру 1.6МПа, Ду50</t>
  </si>
  <si>
    <t>Shut-off valve, sleeve type, Ru1.6MPa, Du20</t>
  </si>
  <si>
    <t>Вентиль запірний муфтовий, Ру1.6МПа,
Ду20</t>
  </si>
  <si>
    <t>Shut-off valve, sleeve type, Ru1.6MPa, Du15</t>
  </si>
  <si>
    <t>Вентиль запірний муфтовий, Ру1.6МПа,
Ду15</t>
  </si>
  <si>
    <t>3-way control valve DN20 with electric actuator VF3 Danfos</t>
  </si>
  <si>
    <t xml:space="preserve">Клапан регулюючий 3-хходовий Ду20 з
електроприводом VF3 Danfos </t>
  </si>
  <si>
    <t>Safety relief valve DN20, R=6bar</t>
  </si>
  <si>
    <t>Запобіжно-скидний клапан Ду20, Р=6бар</t>
  </si>
  <si>
    <t>Installation of mud flaps, outer diameter of the pipe up to 5</t>
  </si>
  <si>
    <t>Установлення грязьовиків, зовнішній
діаметр патрубка до 57 мм</t>
  </si>
  <si>
    <t xml:space="preserve"> Flanged mud filter, Ru1.6 MPa, Du50</t>
  </si>
  <si>
    <t xml:space="preserve">Фільтр-грязьовик фланцевий, Ру1.6 МПа,
Ду50 </t>
  </si>
  <si>
    <t>Installation of centrifugal pumps with an electric motor, unit weight up to 0.1 t</t>
  </si>
  <si>
    <t>Установлення насосів відцентрових з
електродвигуном, маса агрегату до 0,1 т</t>
  </si>
  <si>
    <t>Installation of pressure gauges with a thre</t>
  </si>
  <si>
    <t>3-way valve for pressure gauge</t>
  </si>
  <si>
    <t>Кран 3-х ходовий для манометра</t>
  </si>
  <si>
    <t>Installing straight and angled thermometers in frames</t>
  </si>
  <si>
    <t>Установлення термометрів в оправі
прямих та кутових</t>
  </si>
  <si>
    <t>Installation of overhead cranes</t>
  </si>
  <si>
    <t>Установлення кранів повітряних</t>
  </si>
  <si>
    <t>Automatic air vent</t>
  </si>
  <si>
    <t>Автоматичний повітровипускник</t>
  </si>
  <si>
    <t>Installing the controller</t>
  </si>
  <si>
    <t>Установлення контролера</t>
  </si>
  <si>
    <t>Devices mounted on a process pipeline, pipeline diameter 80 mm</t>
  </si>
  <si>
    <t>Прилади, що монтуються на
технологічному трубопроводі, діаметр
трубопроводу 80 мм</t>
  </si>
  <si>
    <t>Local estimate 02-01-011 for the purchase of heating station equipment</t>
  </si>
  <si>
    <t>Локальний кошторис 02-01-011 на
Придбання устаткування теплового
пункту</t>
  </si>
  <si>
    <t>Wilo wet rotor circulation pump (Q=3.6 m3/h, H=3.8 m.h.p., N=0, 88 kW; U=400V; n=2700 rpm)</t>
  </si>
  <si>
    <t xml:space="preserve">Циркуляційний насос з мокрим ротором
Wilo (Q=3,6 м3/год, H=3,8 м.вод.ст., N=0,
88 кВт; U=400В; n=2700 об/хв) </t>
  </si>
  <si>
    <t>Thermometer No. 4 TTZH4-P-1-240-66</t>
  </si>
  <si>
    <t>Термометр №4 ТТЖ4-П-1-240-66</t>
  </si>
  <si>
    <t>Pressure gauge showing range 0 - 1.0 MPa</t>
  </si>
  <si>
    <t>Манометр, що показує діап. 0 - 1,0 МПа</t>
  </si>
  <si>
    <t>XF-5000 Controller</t>
  </si>
  <si>
    <t>Контролер XF-5000</t>
  </si>
  <si>
    <t>Controller control panel</t>
  </si>
  <si>
    <t>Пульт керування контролером</t>
  </si>
  <si>
    <t>Outdoor temperature sensor</t>
  </si>
  <si>
    <t>Датчик зовнішньої температури</t>
  </si>
  <si>
    <t>Temperature sensor on the pipe surface</t>
  </si>
  <si>
    <t>Датчик температури на поверхні труби</t>
  </si>
  <si>
    <t>Local estimate 02-01-012 for commissioning and adjustment works of the heating station</t>
  </si>
  <si>
    <t>Локальний кошторис 02-01-012 на
Пусконалагоджувальні роботи теплового
пункту</t>
  </si>
  <si>
    <t>Water heating installation [heater, condensate cooler, communications], capacity up to 10 m3/h (heating system module)</t>
  </si>
  <si>
    <t>Установка підігріву води [підігрівник,
охолодник конденсату, комунікації],
продуктивність до 10 м3/год (модуль
системи опалення)</t>
  </si>
  <si>
    <t>installation</t>
  </si>
  <si>
    <t>установ.</t>
  </si>
  <si>
    <t>Local estimate 02-01-013 for Diesel power plant</t>
  </si>
  <si>
    <t>Локальний кошторис 02-01-013 на
Дизельна електростанція</t>
  </si>
  <si>
    <t>Section 1. Construction work</t>
  </si>
  <si>
    <t>Розділ 1. Будівельні роботи</t>
  </si>
  <si>
    <t>MONOLITHIC REINFORCED FOUNDATION FM1 UNDER A METAL TOWER</t>
  </si>
  <si>
    <t>МОНОЛІТНИЙ З/Б ФУНДАМЕНТ Фм1
ПІД МЕТАЛЕВУ БАШТУ</t>
  </si>
  <si>
    <t>100 m3</t>
  </si>
  <si>
    <t>100м3</t>
  </si>
  <si>
    <t>Hot-rolled reinforcing steel of periodic profile, class A500C, diameter 14 mm</t>
  </si>
  <si>
    <t>Гарячекатана арматурна сталь
періодичного профілю, клас А500С,
діаметр 14 мм</t>
  </si>
  <si>
    <t>Installation in ready-made sockets with anchor bolts over 1 m long</t>
  </si>
  <si>
    <t>Установлення в готові гнізда із
закладенням анкерних болтів довжиною
понад 1 м</t>
  </si>
  <si>
    <t>Foundation bolt M24 L=1540</t>
  </si>
  <si>
    <t>Фундаментний болт М24 L=1540</t>
  </si>
  <si>
    <t>Washer M24</t>
  </si>
  <si>
    <t>Шайба М24</t>
  </si>
  <si>
    <t>Nut M24</t>
  </si>
  <si>
    <t>Гайка М24</t>
  </si>
  <si>
    <t>METAL TOWER</t>
  </si>
  <si>
    <t>БАШТА МЕТАЛЕВА</t>
  </si>
  <si>
    <t>Installation of shelf-type supporting structures (mounting element B1)</t>
  </si>
  <si>
    <t>Монтаж опорних конструкцій
етажеркового типу ( монтажний елемент
Б1)</t>
  </si>
  <si>
    <t>Hot-rolled steel in sheets, thickness 10-14 mm</t>
  </si>
  <si>
    <t>Прокат гарячекатаний в листах товщина
10-14 мм</t>
  </si>
  <si>
    <t>Pipe diameter 89x4</t>
  </si>
  <si>
    <t>Труба діам 89х4</t>
  </si>
  <si>
    <t>Pipe diameter 32x4</t>
  </si>
  <si>
    <t>Труба діам 32х4</t>
  </si>
  <si>
    <t>Installation of shelf-type supporting structures (mounting element B2)</t>
  </si>
  <si>
    <t>Монтаж опорних конструкцій
етажеркового типу ( монтажний елемент
Б2)</t>
  </si>
  <si>
    <t>Pipe diameter 60x4</t>
  </si>
  <si>
    <t>Труба діам 60х4</t>
  </si>
  <si>
    <t>Pipe diameter 25x4</t>
  </si>
  <si>
    <t>Труба діам 25х4</t>
  </si>
  <si>
    <t>Bolt M24</t>
  </si>
  <si>
    <t>Болт М24</t>
  </si>
  <si>
    <t>Cleaning surfaces with brushes</t>
  </si>
  <si>
    <t>Очищення поверхонь щітками</t>
  </si>
  <si>
    <t>Etching of metal surfaces</t>
  </si>
  <si>
    <t>Протравлювання металевих поверхонь</t>
  </si>
  <si>
    <t>Dust removal from metal surfaces</t>
  </si>
  <si>
    <t>Знепилювання металевих поверхонь</t>
  </si>
  <si>
    <t>100 m2</t>
  </si>
  <si>
    <t>100м2</t>
  </si>
  <si>
    <t>Painting of primed metal surfaces with PF-115 enamel</t>
  </si>
  <si>
    <t>Фарбування металевих поґрунтованих
поверхонь емаллю ПФ-115</t>
  </si>
  <si>
    <t>Installation of roofing made of profiled sheet with a building height of up to 25 m</t>
  </si>
  <si>
    <t>Монтаж покрівельного покриття з
профільованого листа при висоті будівлі
до 25 м</t>
  </si>
  <si>
    <t>Profiled sheeting PS-10</t>
  </si>
  <si>
    <t>Профнастил ПС-10</t>
  </si>
  <si>
    <t>Roofing screw 4.8x19mm</t>
  </si>
  <si>
    <t>Саморіз покрівельний 4,8х19мм</t>
  </si>
  <si>
    <t>Section 2. Installation work</t>
  </si>
  <si>
    <t>Розділ 2. Монтажні роботи</t>
  </si>
  <si>
    <t>Installation of a stationary diesel generator, weight up to 1 t [1]</t>
  </si>
  <si>
    <t>Монтаж дизель-генератора
стаціонарного, маса до 1 т [1]</t>
  </si>
  <si>
    <t>Cable up to 35 kV, laid with fastening by overhead clamps, weight 1 m up to 1 kg</t>
  </si>
  <si>
    <t>Кабель до 35 кВ, що прокладається з
крiпленням накладними скобами, маса 1
м до 1 кг</t>
  </si>
  <si>
    <t>Steel pipe on walls with mounting brackets, diameter up to 100 mm</t>
  </si>
  <si>
    <t>Труба сталева по стiнах з крiпленням
накладними скобами, дiаметр до 100 мм</t>
  </si>
  <si>
    <t>Work + materials</t>
  </si>
  <si>
    <t>Робота + матеріали</t>
  </si>
  <si>
    <t>Cables with copper conductors, brand VVGngnd, number of conductors and cross-section 5x4 mm2</t>
  </si>
  <si>
    <t>Кабелі з мідними жилами, марка ВВГнгнд,
 кількість жил та переріз 5х4 мм2</t>
  </si>
  <si>
    <t>Cables with copper conductors, brand VVGngnd, number of conductors and cross-section 5x10 mm2</t>
  </si>
  <si>
    <t>Кабелі з мідними жилами, марка ВВГнгнд,
 кількість жил та переріз 5х10 мм2</t>
  </si>
  <si>
    <t>Control cables with copper conductors, with polyvinyl chloride insulation and sheath, brand KVVGngnd, number of conductors and cross-section 10x2.5 mm2</t>
  </si>
  <si>
    <t>Кабелі контрольні з мідними жилами, з
полівінілхлоридною ізоляцією та
оболонкою, марка КВВГнгнд, число жил
та переріз 10х2,5 мм2</t>
  </si>
  <si>
    <t>Grounding conductor exposed along the building foundations made of steel with a cross-section of 100 mm2</t>
  </si>
  <si>
    <t>Провiдник заземлюючий вiдкрито по
будiвельних основах зi штабової сталi
перерiзом 100 мм2</t>
  </si>
  <si>
    <t>Staff steel 20x3 mm</t>
  </si>
  <si>
    <t>Сталь штабова 20х3 мм</t>
  </si>
  <si>
    <t>Local estimate 02-01-014 for the purchase of diesel power plant equipment</t>
  </si>
  <si>
    <t>Локальний кошторис 02-01-014 на
Придбання устаткування дизельної
електростанції</t>
  </si>
  <si>
    <t>Diesel power plant (DPP), 25kVA capacity, AKSA APD-25A</t>
  </si>
  <si>
    <t>Дизельна електрична станція (ДЕС),
потужністю 25кВА, AKSA APD-25A</t>
  </si>
  <si>
    <t>Local estimate 02-01-015 for fire alarm installation</t>
  </si>
  <si>
    <t>Локальний кошторис 02-01-015 на
Монтаж пожежна сигналізації</t>
  </si>
  <si>
    <t>Base unit for 10 beams of the PS receiving and control launch concentrator</t>
  </si>
  <si>
    <t>Блок базовий на 10 променів
приймально-контрольного пускового
концентратора ПС</t>
  </si>
  <si>
    <t>Single-cell alkaline battery, capacity 22 Ah</t>
  </si>
  <si>
    <t>Акумулятор лужний одноелементний,
ємкість 22 А.год</t>
  </si>
  <si>
    <t>Ultrasonic power supply and control unit</t>
  </si>
  <si>
    <t>Блок живлення і контролю
ультразвуковий</t>
  </si>
  <si>
    <t>Power supply 248.6A UPS-180 12/24</t>
  </si>
  <si>
    <t>Блок живлення 248,6А ИБПИ-180 12/24</t>
  </si>
  <si>
    <t>Installation of removable and retractable blocks [modules, cells, thermal power plants], weight up to 5 kg</t>
  </si>
  <si>
    <t>Установлення знімних та висувних блоків
[модулів, комірок, ТЄЗів], маса до 5 кг</t>
  </si>
  <si>
    <t>Automatic thermal, electrocontact, magnetic contact, normal version, PS detector</t>
  </si>
  <si>
    <t>Сповіщувач ПС автоматичний тепловий
електроконтактний, магнітоконтактний у
нормальному виконанні</t>
  </si>
  <si>
    <t>Automatic photoelectric, radioisotope, light-based smoke detector PS in normal version</t>
  </si>
  <si>
    <t>Сповіщувач ПС автоматичний димовий
фотоелектричний, радіоізотопний,
світловий у нормальному виконанні</t>
  </si>
  <si>
    <t>10A circuit breaker</t>
  </si>
  <si>
    <t>Автоматичний вимикач 10А</t>
  </si>
  <si>
    <t>Govro pipe 16 mm</t>
  </si>
  <si>
    <t>Гофрорукав 20 мм</t>
  </si>
  <si>
    <t>Metal hose 20 mm</t>
  </si>
  <si>
    <t>Металорукав 20 мм</t>
  </si>
  <si>
    <t>Distribution box</t>
  </si>
  <si>
    <t>Коробка розподільча DKC 53700</t>
  </si>
  <si>
    <t>Fitting for metal hose</t>
  </si>
  <si>
    <t>Фітинг для металорукава</t>
  </si>
  <si>
    <t>Laying plastic boxes</t>
  </si>
  <si>
    <t>Прокладання коробів пластикових</t>
  </si>
  <si>
    <t>Mounting box 100x60 mm</t>
  </si>
  <si>
    <t>Короб монтажний 100х60 мм</t>
  </si>
  <si>
    <t>Mounting box 20x20 mm</t>
  </si>
  <si>
    <t>Короб монтажний 20х20 мм</t>
  </si>
  <si>
    <t>Dowel for fastening the box, pack.</t>
  </si>
  <si>
    <t>Дюбель для кріплення короба уп.</t>
  </si>
  <si>
    <t>The first wire is single-core or multi-core in a common braid in laid pipes or metal sleeves, total cross-section up to 6 mm2</t>
  </si>
  <si>
    <t>Провід перший одножильний або
багатожильний у загальному обплетенні
у прокладених трубах або металорукавах,
 сумарний переріз до 6 мм2</t>
  </si>
  <si>
    <t>Wire PSCV1 4x0,4</t>
  </si>
  <si>
    <t>Провід ПСВВ1 4х0,4</t>
  </si>
  <si>
    <t>Fire-resistant cable (N)HXH FE180/E30 3x1.5</t>
  </si>
  <si>
    <t>Кабель вогнестійкий (N)HXH FE180/E30
3х1,5</t>
  </si>
  <si>
    <t>Fire-resistant cable J-Y(St)Y-Lg 1х2х0,8</t>
  </si>
  <si>
    <t>Кабель вогнестійкий J-Y(St)Y-Lg 1х2х0,8</t>
  </si>
  <si>
    <t>SMM Metal Bracket</t>
  </si>
  <si>
    <t>Скоба металева СММ</t>
  </si>
  <si>
    <t>pack</t>
  </si>
  <si>
    <t>упаковка</t>
  </si>
  <si>
    <t>Self-tapping screw 3.5x35</t>
  </si>
  <si>
    <t>Саморіз 3,5х35</t>
  </si>
  <si>
    <t>Fire-resistant mounting foam</t>
  </si>
  <si>
    <t>Піна монтажна вогнестійка</t>
  </si>
  <si>
    <t>Local estimate 02-01-016 for the purchase of equipment for a fire alarm system</t>
  </si>
  <si>
    <t>Локальний кошторис 02-01-016 на
Придбання устаткування для системи
пожежної сигналізації</t>
  </si>
  <si>
    <t>Fire receiving device PP "Rezerv-1"</t>
  </si>
  <si>
    <t>Прилад приймальний пожежний ПП
"Резерв-1"</t>
  </si>
  <si>
    <t>Rechargeable battery 18A/h</t>
  </si>
  <si>
    <t>Акумуляторна батарея 18А/г</t>
  </si>
  <si>
    <t>Alarm transmission device</t>
  </si>
  <si>
    <t>Пристрій передаванн тривожних
сповіщень</t>
  </si>
  <si>
    <t>Manual fire detector SPRA</t>
  </si>
  <si>
    <t>Сповіщувач пожежний ручний СПРА</t>
  </si>
  <si>
    <t>SPTTA thermal fire detector</t>
  </si>
  <si>
    <t>Сповіщувач пожежний тепловий СПТТА</t>
  </si>
  <si>
    <t>Fire smoke detector SPDOTA</t>
  </si>
  <si>
    <t>Сповіщувач пожежний димовий СПДОТА</t>
  </si>
  <si>
    <t>Щит розподільчий NRP-6</t>
  </si>
  <si>
    <t>Комунікатор GSM для передачі сигналу на пульт пож.пост</t>
  </si>
  <si>
    <t>Local estimate 02-01-017 for commissioning and adjustment of the fire alarm system</t>
  </si>
  <si>
    <t>Локальний кошторис 02-01-017 на Пуско-
налагоджувальні роботи системи
пожежної сигналізації</t>
  </si>
  <si>
    <t>Setting up fire extinguishing, smoke extraction and OPS systems. Receiving and control device with the number of loops from 10 to 20, for the first loop</t>
  </si>
  <si>
    <t>Налагодження систем пожежогасіння,
димовиведення і ОПС. Прилад
приймально-контрольний з кількістю
шлейфів від 10 до 20, за перший шлейф</t>
  </si>
  <si>
    <t>Adjustment of fire extinguishing, smoke extraction and OPS systems. Receiving and control device with the number of loops from 10 to 20, for each subsequent loop</t>
  </si>
  <si>
    <t>Налагодження систем пожежогасіння,
димовиведення і ОПС. Прилад
приймально-контрольний з кількістю
шлейфів від 10 до 20, за кожний
наступний шлейф</t>
  </si>
  <si>
    <t>Adjustment of fire extinguishing, smoke extraction and emergency lighting systems. Rectifier power supply</t>
  </si>
  <si>
    <t>Налагодження систем пожежогасіння,
димовиведення і ОПС. Випрямний блок
живлення</t>
  </si>
  <si>
    <t>Adjustment of fire extinguishing, smoke extraction and OPS systems. Single-loop intermediate device</t>
  </si>
  <si>
    <t>Налагодження систем пожежогасіння,
димовиведення і ОПС. Проміжний
пристрій одношлейфний</t>
  </si>
  <si>
    <t>Multi-circuit systems [cascade or other complex automatic control] with up to 5 adjustment parameters</t>
  </si>
  <si>
    <t>Системи багатоконтурні [каскадні або
інші складні автоматичного регулювання]
з числом параметрів настроювання до 5</t>
  </si>
  <si>
    <t>Single-loop control systems for stabilization of technological parameters [regardless of the number of adjustment parameters] with proportional-integral-differential control law (2 single-loop ring address lines of the fire alarm system)</t>
  </si>
  <si>
    <t>Системи регулювання одноконтурні
стабілізації технологічного параметра
[незалежно від кількості параметрів
настроювання] з пропорційно-
інтегрально-диференціальним законом
управління (2 одноконтурні кільцеві
адресні лініі системи пожежної
сигналізації)</t>
  </si>
  <si>
    <t>Local estimate 02-01-018 for Installation of the evacuation control system (in terms of the fire alarm system and evacuation direction indicators).</t>
  </si>
  <si>
    <t>Локальний кошторис 02-01-018 на
Монтаж системи керування
евакуюванням (в частині системи
оповіщення про пожежу і покажчиків
напрямку евакуювання).</t>
  </si>
  <si>
    <t>Installation of monobloc</t>
  </si>
  <si>
    <t>Монтаж моноблока</t>
  </si>
  <si>
    <t>Control panel</t>
  </si>
  <si>
    <t>Пульт керування</t>
  </si>
  <si>
    <t>Desktop microphone console PMN-12</t>
  </si>
  <si>
    <t>Пульт мікрофонний настільний ПМН-12</t>
  </si>
  <si>
    <t>Installation of the mat</t>
  </si>
  <si>
    <t>Монтаж блока узгодження</t>
  </si>
  <si>
    <t>Wall-mounted speaker installation</t>
  </si>
  <si>
    <t>Монтаж гучномовця настінного</t>
  </si>
  <si>
    <t>Single-cell alkaline battery, capacity 18Ah</t>
  </si>
  <si>
    <t>Акумулятор лужний одноелементний,
ємкість 18А.год</t>
  </si>
  <si>
    <t>Switch or switch package in a metal shell with the number of terminals for connection up to 9, installed on a structure on a wall or column, current up to 25 A</t>
  </si>
  <si>
    <t>Вимикач або перемикач пакетний у
металевій оболонці з кількістю затискачів
для підключення до 9, що
установлюється на конструкції на стіні
або колоні, струм до 25 А</t>
  </si>
  <si>
    <t>Circuit breaker 16A single-phase</t>
  </si>
  <si>
    <t>Автоматичний вимикач  16А однофазний</t>
  </si>
  <si>
    <t>SD02 control panel</t>
  </si>
  <si>
    <t>Пульт диспетчера СД02</t>
  </si>
  <si>
    <t>Встановлення коробок розподільчих</t>
  </si>
  <si>
    <t>Fireproof distribution box</t>
  </si>
  <si>
    <t>Коробка вогнестійка розподільча</t>
  </si>
  <si>
    <t>Box kvr 01/30-100v</t>
  </si>
  <si>
    <t>Коробка квр 01/30-100в</t>
  </si>
  <si>
    <t>Mounting box 20x40</t>
  </si>
  <si>
    <t>Короб монтажний 20х40</t>
  </si>
  <si>
    <t>Дюбель для кріплення короба уп. TDN 6x35</t>
  </si>
  <si>
    <t>Wire PV1 1x4</t>
  </si>
  <si>
    <t>Провід ПВ1 1х4</t>
  </si>
  <si>
    <t>Кабель вогнестійкий FLAME-X 950 (N)HXH FE180/E30 3х1,5</t>
  </si>
  <si>
    <t>Fire-resistant cable HXH FE180/E30 2x1. 5 with a fire resistance limit of 30 min.</t>
  </si>
  <si>
    <t>Кабель вогнестійкий HXH FE180/E30 2x1.5 межею вогнест. 30 хв.</t>
  </si>
  <si>
    <t>Mounting bracket SMM 15</t>
  </si>
  <si>
    <t>Скоба монтажна СММ 15</t>
  </si>
  <si>
    <t>DIN rail</t>
  </si>
  <si>
    <t>DIN-рейка</t>
  </si>
  <si>
    <t>Plastic dowel M8</t>
  </si>
  <si>
    <t>Дюбель пластиковий М8</t>
  </si>
  <si>
    <t>Button installed on remotes and panels</t>
  </si>
  <si>
    <t>Кнопка, установлювана на пультах і
панелях</t>
  </si>
  <si>
    <t>Push button d22mm neon/240V 1p with position lock</t>
  </si>
  <si>
    <t>Кнопка d22мм неон/240В 1р з фіксацією
положення</t>
  </si>
  <si>
    <t>Housing for the button</t>
  </si>
  <si>
    <t>Корпус для кнопки</t>
  </si>
  <si>
    <t>Relays installed on consoles and panels</t>
  </si>
  <si>
    <t>Реле, установлюване на пультах і
панелях</t>
  </si>
  <si>
    <t>"finder" relay, series 55, winding code 9.024</t>
  </si>
  <si>
    <t>Реле  „finder”, серія 55, код обмотки 9.024</t>
  </si>
  <si>
    <t>Screw socket for relay "finder" 94.74. 0</t>
  </si>
  <si>
    <t>Гвинтова розетка для реле „finder” 94.74.
0</t>
  </si>
  <si>
    <t>Installing the box</t>
  </si>
  <si>
    <t>Установлення бокса</t>
  </si>
  <si>
    <t>Box 300x200x120</t>
  </si>
  <si>
    <t>Бокс 300x200x120</t>
  </si>
  <si>
    <t>Local estimate 02-01-019 for the purchase of equipment for the evacuation control system (in terms of the fire alarm system and evacuation direction indicators).</t>
  </si>
  <si>
    <t>Локальний кошторис 02-01-019 на
Придбання устаткування для системи
керування евакуюванням (в частині
системи оповіщення про пожежу і
покажчиків напрямку евакуювання).</t>
  </si>
  <si>
    <t>Monobloc VELEZN-120-600</t>
  </si>
  <si>
    <t>Моноблок ВЕЛЛЕЗн-120-600</t>
  </si>
  <si>
    <t>Matching unit BT01-30V</t>
  </si>
  <si>
    <t>Блок узгодження БТ01-30В</t>
  </si>
  <si>
    <t>Acoustic system 3AC 100PN</t>
  </si>
  <si>
    <t>Акустична система 3АС 100ПН</t>
  </si>
  <si>
    <t>Acoustic system 6AC 100PN</t>
  </si>
  <si>
    <t>Акустична система 6АС 100ПН</t>
  </si>
  <si>
    <t>Light detector "Greenlight" ("Exit"), UA-2-12/24-1</t>
  </si>
  <si>
    <t>Оповіщувач світловий «Грінлайт»
(«Вихід»), УА-2-12/24-1</t>
  </si>
  <si>
    <t>Greenlight light alarm (evacuation direction – arrow in one direction), UA-2-12/24-3</t>
  </si>
  <si>
    <t>Оповіщувач світловий «Грінлайт»
(напрямок евакуювання – стрілка в одну
сторону), УА-2-12/24-3</t>
  </si>
  <si>
    <t>Local estimate 02-01-020 for commissioning and adjustment of the evacuation control system (in terms of the fire alarm system and evacuation direction indicators).</t>
  </si>
  <si>
    <t>Локальний кошторис 02-01-020 на Пуско-
налагоджувальні роботи системи
керування евакуюванням (в частині
системи оповіщення про пожежу і
покажчиків напрямку евакуювання).</t>
  </si>
  <si>
    <t>Local estimate 02-01-021 for Installation of kitchen fire extinguishing system</t>
  </si>
  <si>
    <t>Локальний кошторис 02-01-021 на
Монтаж системи кухонного
пожежогасіння</t>
  </si>
  <si>
    <t>Installation of a local fire extinguishing module for kitch</t>
  </si>
  <si>
    <t>Монтаж модуля локального
пожежогасіння кухонного обладнання</t>
  </si>
  <si>
    <t>Fire extinguishing pipelines made of stainless polished pipes, diameter 16x1 mm</t>
  </si>
  <si>
    <t>Трубопроводи пожежогасіння зі
неїржавіючих полірованих труб,діаметр
16х1 мм</t>
  </si>
  <si>
    <t>Stainless steel pipe 16x1 [TN-16-BKS]</t>
  </si>
  <si>
    <t>Труба неіржавіюча 16х1 [ТН-16-BKS]</t>
  </si>
  <si>
    <t>Straight fitting for pipe 16x1</t>
  </si>
  <si>
    <t>Фітинг прямий під трубу 16х1</t>
  </si>
  <si>
    <t>Elbow for pipe 16x1 [W-NW-13-HS]</t>
  </si>
  <si>
    <t>Коліно  під трубку 16х1 [W-NW-13-HS]</t>
  </si>
  <si>
    <t>Tee for pipe 16x1</t>
  </si>
  <si>
    <t>Трійник під трубу 16х1</t>
  </si>
  <si>
    <t>Pipe outlet 16x1</t>
  </si>
  <si>
    <t>Відвід для труб 16х1</t>
  </si>
  <si>
    <t>Installation of sprinklers, fire extinguishing nozzles</t>
  </si>
  <si>
    <t>Монтаж зрошувачів, насадок
пожежогасіння</t>
  </si>
  <si>
    <t>Nozzle with a cutting angle of 20 degrees [RC-3-FZ2]</t>
  </si>
  <si>
    <t>Насадок з кутом розпилу 20 град. [РЦ-3-
ФЗ2]</t>
  </si>
  <si>
    <t>Nozzle with a cutting angle of 50 degrees [RC-3-50]</t>
  </si>
  <si>
    <t>Насадок з кутом розпилу 50 град. [РЦ-3-
50]</t>
  </si>
  <si>
    <t>Nozzle with a cutting angle of 60 degrees [RC-3-60]</t>
  </si>
  <si>
    <t>Насадок з кутом розпилу 60 град. [РЦ-3-
60]</t>
  </si>
  <si>
    <t>Nozzle with a cutting angle of 90 degrees [RC-3-90]</t>
  </si>
  <si>
    <t>Насадок з кутом розпилу 90 град. [РЦ-3-
90]</t>
  </si>
  <si>
    <t>Clamp with nut for pipe 16x1</t>
  </si>
  <si>
    <t>Хомут з гайкою під трубу 16х1</t>
  </si>
  <si>
    <t>M8 DIN 975 stud, length 3 meters</t>
  </si>
  <si>
    <t>Шпилька М8 DIN 975 довж. 3 метра</t>
  </si>
  <si>
    <t>Installation of tension cable</t>
  </si>
  <si>
    <t>Монтаж тросу натяжного</t>
  </si>
  <si>
    <t>Stainless steel tension cable, diameter 1 mm</t>
  </si>
  <si>
    <t>Трос натяжний неіржавіючий діам.1 мм</t>
  </si>
  <si>
    <t>Cable clamp set</t>
  </si>
  <si>
    <t>Комплект тросових зажимів</t>
  </si>
  <si>
    <t>Tension load [GN-BKS]</t>
  </si>
  <si>
    <t>Груз натяжний [ГН-BKS]</t>
  </si>
  <si>
    <t>Heat-sensitive lock</t>
  </si>
  <si>
    <t>Замок термочутливий</t>
  </si>
  <si>
    <t>Mechanical lock with glass bulb [ZT93-BKS]</t>
  </si>
  <si>
    <t>Механічний замок з скляною колбою
[ЗТ93-BKS]</t>
  </si>
  <si>
    <t>General purpose manual starter</t>
  </si>
  <si>
    <t>Пускач ручний загального призначення</t>
  </si>
  <si>
    <t>Remote manual starter [DRA.BKS]</t>
  </si>
  <si>
    <t>Дистанційний ручний пускач [ДРА.BKS]</t>
  </si>
  <si>
    <t>Capacitive signaling device</t>
  </si>
  <si>
    <t>Прилад сигналізуючий ємкісний</t>
  </si>
  <si>
    <t>Guide roller closed (НРЗ.BKS)</t>
  </si>
  <si>
    <t>Направляючий ролик закритий (НРЗ.BKS)</t>
  </si>
  <si>
    <t>Bypass clamp (XO.BKS)</t>
  </si>
  <si>
    <t>Хомут обвідний (ХО.BKS)</t>
  </si>
  <si>
    <t>Pipe plug for cable [ZTK-BKS]</t>
  </si>
  <si>
    <t>Заглушка трубна під трос [ЗТК-BKS]</t>
  </si>
  <si>
    <t>Laser cutting direction indicator [LUNR.BKS]</t>
  </si>
  <si>
    <t>Лазерний вказівник напрямку розпилу
[ЛУНР.BKS]</t>
  </si>
  <si>
    <t>Anchor M8x30</t>
  </si>
  <si>
    <t>Анкер М8х30</t>
  </si>
  <si>
    <t>M8 Nut</t>
  </si>
  <si>
    <t>Гайка М8</t>
  </si>
  <si>
    <t>Washer M8</t>
  </si>
  <si>
    <t>Шайба М8</t>
  </si>
  <si>
    <t>Local estimate 02-01-022 for the purchase of equipment for a kitchen fire extinguishing system</t>
  </si>
  <si>
    <t>Локальний кошторис 02-01-022 на
Придбання устаткування для системи
кухонного пожежогасіння</t>
  </si>
  <si>
    <t>BKS-20-2-MT module with mechanical start [BKS-20-2-MT]</t>
  </si>
  <si>
    <t>Модуль BKS-20-2-МТ з механічним
пуском [BKS-20-2-МТ]</t>
  </si>
  <si>
    <t>Local estimate 02-01-023 for commissioning work on the kitchen fire extinguishing system</t>
  </si>
  <si>
    <t>Локальний кошторис 02-01-023 на Пуско-
налагоджувальні роботи на система
кухонного пожежогасіння</t>
  </si>
  <si>
    <t>Section 1. Kitchen fire fighting</t>
  </si>
  <si>
    <t>Розділ 1. Кухонне пожежогасіння</t>
  </si>
  <si>
    <t>Multi-circuit systems [cascade or other complex automatic control] with up to 5 adjustment parameters (Module BKS-20-2-MT with mechanical start)</t>
  </si>
  <si>
    <t>Системи багатоконтурні [каскадні або
інші складні автоматичного регулювання]
з числом параметрів настроювання до 5
(Модуль BKS-20-2-МТ з механічним
пуском)</t>
  </si>
  <si>
    <t>Local estimate 02-01-024 for Security alarm, video surveillance</t>
  </si>
  <si>
    <t>Локальний кошторис 02-01-024 на
Охоронна сигналізація,
відеосостереження</t>
  </si>
  <si>
    <t>Section 1. Security alarm system</t>
  </si>
  <si>
    <t>Розділ 1. Система охоронної сигналізації</t>
  </si>
  <si>
    <t>Security control device with 16 zones capacity</t>
  </si>
  <si>
    <t>Прилад приймально-контрольного
охоронний ємкість 16 зон</t>
  </si>
  <si>
    <t>Input expansion module</t>
  </si>
  <si>
    <t>Модуль розширення входа</t>
  </si>
  <si>
    <t>Automatic contact, magnetic contact OS detector for opening windows and doors</t>
  </si>
  <si>
    <t>Сповіщувач ОС автоматичний
контактний, магнітоконтактний на
відкривання вікон, дверей</t>
  </si>
  <si>
    <t>Automatic heat, smoke, light detector PS in explosion-proof version</t>
  </si>
  <si>
    <t>Сповіщувач ПС автоматичний тепловий,
димовий, світловий у вибухозахисному
виконанні</t>
  </si>
  <si>
    <t>Single-cell alkaline battery, capacity 10 Ah</t>
  </si>
  <si>
    <t>Акумулятор лужний одноелементний,
ємкість 10 А.год</t>
  </si>
  <si>
    <t>Rechargeable battery 12V, 7Ah</t>
  </si>
  <si>
    <t>Акумуляторна батарея  12В, 7Аг</t>
  </si>
  <si>
    <t>Power supply BZH2415</t>
  </si>
  <si>
    <t>Блок живлення БЖ2415</t>
  </si>
  <si>
    <t>Box KS1-4</t>
  </si>
  <si>
    <t>Коробка КС1-4</t>
  </si>
  <si>
    <t>Junction box</t>
  </si>
  <si>
    <t>Коробка з'эднувальна</t>
  </si>
  <si>
    <t>Cable PSVV 6_0.4</t>
  </si>
  <si>
    <t>Кабель ПСВВ 6_0,4</t>
  </si>
  <si>
    <t>Cable 4*2*0,51 (U/UTP-cat.5E LSOH)</t>
  </si>
  <si>
    <t>КПВонг-HF-ВП (350) 4*2*0,51 (U/UTP-cat.5E LSOH)</t>
  </si>
  <si>
    <t>Cable SHVVP 2х1,5</t>
  </si>
  <si>
    <t>Кабель 2х1,5 ШВВП-нг</t>
  </si>
  <si>
    <t>Vinyl plastic pipe at the base of the floor, diameter</t>
  </si>
  <si>
    <t>Труба вініпластова по основі підлоги,
діаметр до 25 мм</t>
  </si>
  <si>
    <t>Гофро труба 16 мм</t>
  </si>
  <si>
    <t>Measuring loop resistance</t>
  </si>
  <si>
    <t>Вимiрювання опору шлейфа</t>
  </si>
  <si>
    <t>plot</t>
  </si>
  <si>
    <t>ділянка</t>
  </si>
  <si>
    <t>Processing and switching on a single-pair low-frequency cable or wire</t>
  </si>
  <si>
    <t>Оброблення і вмикання кабеля або
проводу однопарного низькочастотного</t>
  </si>
  <si>
    <t>ends</t>
  </si>
  <si>
    <t>кінців</t>
  </si>
  <si>
    <t>Soldering or desoldering a single-core wire</t>
  </si>
  <si>
    <t>Припаювання або відпаювання
одножильного проводу</t>
  </si>
  <si>
    <t>Section 2. Security video surveillance</t>
  </si>
  <si>
    <t>Розділ 2. Охоронне відеоспостереження</t>
  </si>
  <si>
    <t>Installing the Unifi NVR</t>
  </si>
  <si>
    <t>Установка відеореєстратора Dahua DH-NVR608-32-4KS2</t>
  </si>
  <si>
    <t>Installation of IP v</t>
  </si>
  <si>
    <t>Монтаж IP-відеокамер</t>
  </si>
  <si>
    <t>Video monitor installation</t>
  </si>
  <si>
    <t>Монтаж відеомонітора</t>
  </si>
  <si>
    <t>Installing the UniFi Switch USW-Pro-24-POE Gigabit Switch</t>
  </si>
  <si>
    <t xml:space="preserve">Установка  комутатора </t>
  </si>
  <si>
    <t>Line-interactive UPS</t>
  </si>
  <si>
    <t>Лінейно-інтерактивного ДБЖ</t>
  </si>
  <si>
    <t>Internal cable 6th category 4x2x0.51</t>
  </si>
  <si>
    <t>Кабель внутрішній 6-ої кат. 4х2х0,51</t>
  </si>
  <si>
    <t>Коробка з'эднувальна 80х80</t>
  </si>
  <si>
    <t>Cable tie (100 pcs)</t>
  </si>
  <si>
    <t>Кабельне кріплення (100 шт)</t>
  </si>
  <si>
    <t>Local estimate 02-01-025 for the purchase of security alarm and video surveillance equipment</t>
  </si>
  <si>
    <t>Локальний кошторис 02-01-025 на
Придбання устаткування  для охороної
сигналізації, відеоспостереження</t>
  </si>
  <si>
    <t>Orion NOVA L device VKPF "Tiras"</t>
  </si>
  <si>
    <t>Прилад  Orion NOVA L ВКПФ "Тірас"</t>
  </si>
  <si>
    <t>M-ZP SBOX input expansion module VKPF "Tiras"</t>
  </si>
  <si>
    <t>Модуль розширення вводу M-ZP SBOX
ВКПФ "Тірас"</t>
  </si>
  <si>
    <t>Magnetic contact detector SOMK 1-9</t>
  </si>
  <si>
    <t>Сповіщувач магнітоконтактний СОМК 1-9</t>
  </si>
  <si>
    <t>Passive infrared motion detector</t>
  </si>
  <si>
    <t>Сповіщувач руху пасивний
інфрачервоний</t>
  </si>
  <si>
    <t>Outdoor sound and light alarm 12 V OSZ "Jmil"</t>
  </si>
  <si>
    <t>Світлозвуковий оповіщувач зовнішнього
виконання 12 В ОСЗ "Джміль"</t>
  </si>
  <si>
    <t>Keyboard</t>
  </si>
  <si>
    <t>Клавіатура</t>
  </si>
  <si>
    <t>Unifi NVR video recorder</t>
  </si>
  <si>
    <t>Відеореєстратора DHI-NVR4232-4KS2/L</t>
  </si>
  <si>
    <t>IP outdoor video cameras UniFi Protect G5-PRO</t>
  </si>
  <si>
    <t>ІР відеокамера вуличного виконання, 4МП, IP67 DH-IPC-HFW1431S1P-S4 (2.8 мм)</t>
  </si>
  <si>
    <t>UniFi Video Camera G4 Dome</t>
  </si>
  <si>
    <t>ІР відеокамера внутрішня, 4Mп, IP67, IK10 DH-IPC-HDBW1431EP-S4 (2.8мм) Dahua</t>
  </si>
  <si>
    <t xml:space="preserve">
Hard drive Western Digital Purple Pro 8 TB 7200 rpm 256 MB</t>
  </si>
  <si>
    <t>Жорсткий диск Western Digital Purple Pro 8 TB 7200 rpm 256 MB</t>
  </si>
  <si>
    <t>Video monito</t>
  </si>
  <si>
    <t>Відеомонітор</t>
  </si>
  <si>
    <t>Switch Dahua DH-PFS3010-8ET-96</t>
  </si>
  <si>
    <t>Комутатор Dahua DH-PFS3010-8ET-96</t>
  </si>
  <si>
    <t>Local estimate 02-01-026 for Installation of access control system</t>
  </si>
  <si>
    <t>Локальний кошторис 02-01-026 на
Монтаж системи контролю управління
доступом</t>
  </si>
  <si>
    <t>Section 1. Installation of access control system_</t>
  </si>
  <si>
    <t>Розділ 1. Монтаж системи контролю
управління доступом_</t>
  </si>
  <si>
    <t xml:space="preserve">
Turnstile installation</t>
  </si>
  <si>
    <t>Монтаж турнікету</t>
  </si>
  <si>
    <t>Power supply</t>
  </si>
  <si>
    <t>Блок живлення</t>
  </si>
  <si>
    <t>Power supply BBP-50-12 12V, 3A</t>
  </si>
  <si>
    <t>Блок живлення ББП-50-12 12В, 3А</t>
  </si>
  <si>
    <t>Door open button</t>
  </si>
  <si>
    <t>Кнопка відкриття дверей</t>
  </si>
  <si>
    <t>Magnetic contact detector tane SM-35</t>
  </si>
  <si>
    <t>Сповіщувач магнітоконтактний tane SM-
35</t>
  </si>
  <si>
    <t>Vinyl plastic pipe on walls and columns with mounting brackets, diameter up to 50 mm</t>
  </si>
  <si>
    <t>Труба вініпластова по стінах і колонах з
кріпленням накладними скобами,
діаметр до 50 мм</t>
  </si>
  <si>
    <t>Corrugated pipes, diameter 20 mm</t>
  </si>
  <si>
    <t>Труби гофровані діам 25 мм</t>
  </si>
  <si>
    <t>Cable VVG 8*0.4</t>
  </si>
  <si>
    <t>Кабель  ВВГ  2x1,5</t>
  </si>
  <si>
    <t>UTP cable 4 x 2 x 0.51</t>
  </si>
  <si>
    <t>Кабель UTP 4 х 2 х 0,51</t>
  </si>
  <si>
    <t>Installation of the fence</t>
  </si>
  <si>
    <t>Монтаж огорожі</t>
  </si>
  <si>
    <t>Local estimate 02-01-027 for the purchase of access control system equipment</t>
  </si>
  <si>
    <t>Локальний кошторис 02-01-027 на
Придбання устаткування системи
контролю управління доступом</t>
  </si>
  <si>
    <t>Turnstile Tiso Centurion-M</t>
  </si>
  <si>
    <t>Турнікет Tiso Centurion-M</t>
  </si>
  <si>
    <t>Multi-format reader U-Prox SL mini</t>
  </si>
  <si>
    <t>Зчитувач  мультиформатний  U-Prox SL
mini</t>
  </si>
  <si>
    <t>Turnstile gate Tiso Gate TTS</t>
  </si>
  <si>
    <t>Турнікет-хвіртка Tiso Gate TTS</t>
  </si>
  <si>
    <t>Turnstile control panel</t>
  </si>
  <si>
    <t>Пульт керування турнікетом</t>
  </si>
  <si>
    <t>U-Prox IP 400 network controller</t>
  </si>
  <si>
    <t>Контролер мережевий U-Prox IP 400</t>
  </si>
  <si>
    <t>Network software package ITV U-Prox IP Maxsys U-Prox</t>
  </si>
  <si>
    <t>Мережевий програмний комплекс ITV U-Prox IP Maxsys U-Prox</t>
  </si>
  <si>
    <t>Fence Classic O-KBS-1, L=up to 510 mm, quickly removable</t>
  </si>
  <si>
    <t>Огорожа Класік О-КБС-1, L=до 510 мм, швидкознімна</t>
  </si>
  <si>
    <t xml:space="preserve">
Fence Classic O-KN-1, L=1010-1500 mm</t>
  </si>
  <si>
    <t>Огорожа Класік О-КН-1, L=1010-1500 мм</t>
  </si>
  <si>
    <t>Local estimate 02-01-028 for SCS installation work</t>
  </si>
  <si>
    <t>Локальний кошторис 02-01-028 на
Монтажні роботи СКС</t>
  </si>
  <si>
    <t>Recessed type plug socket with concealed wiring</t>
  </si>
  <si>
    <t>Розетка штепсельна заглибленого типу
при схованій проводці</t>
  </si>
  <si>
    <t>100 pcs</t>
  </si>
  <si>
    <t>100 шт</t>
  </si>
  <si>
    <t>Devices installed on structures, weight up to 5 kg</t>
  </si>
  <si>
    <t>Прилади, що установлюються на
конструкціях, маса до 5 кг</t>
  </si>
  <si>
    <t>Communication and alarm switching cabinet or panel on the wall or in a niche, number of pairs up to 20</t>
  </si>
  <si>
    <t>Шафа або панель комутації зв'язку та
сигналізації на стіні або в ніші, кількість
пар до 20</t>
  </si>
  <si>
    <t>Service communication switch</t>
  </si>
  <si>
    <t>Комутатор службового зв'язку</t>
  </si>
  <si>
    <t>Power box</t>
  </si>
  <si>
    <t>Ящик живлення</t>
  </si>
  <si>
    <t>box</t>
  </si>
  <si>
    <t>Tray according to established structures, tray width up to 200 mm [when working at a height of over 2 to 8 m]</t>
  </si>
  <si>
    <t>Лоток по установлених конструкціях,
ширина лотка до 200 мм
[при роботi на висотi понад 2 до 8 м]</t>
  </si>
  <si>
    <t xml:space="preserve"> Perforated tray 100x50 L 3000 (in) FC5030</t>
  </si>
  <si>
    <t xml:space="preserve">Лоток перфорований 100х50 L 3000  (в)   
  FC5030 </t>
  </si>
  <si>
    <t xml:space="preserve"> Perforated tray 200x50 L 3000 (in) FC5030</t>
  </si>
  <si>
    <t xml:space="preserve">Лоток перфорований 200х50 L 3000  (в)   
  FC5030 </t>
  </si>
  <si>
    <t>Angle CPO 90 horizontal 90° 100x50</t>
  </si>
  <si>
    <t>Кут CPO 90 горизонтальний 90° 100х50</t>
  </si>
  <si>
    <t>GTO H50 mounting plate</t>
  </si>
  <si>
    <t>Пластина кріпильна GTO H50</t>
  </si>
  <si>
    <t>PSL U-shaped profile, L3000, thickness 1.5 mm</t>
  </si>
  <si>
    <t>П-подібний профіль PSL, L3000, товщ. 1,5мм</t>
  </si>
  <si>
    <t xml:space="preserve">
A set of fasteners</t>
  </si>
  <si>
    <t>Коплект кріплень</t>
  </si>
  <si>
    <t>Laying vinyl plastic pipes, supplied as standard elements in a set, on walls and columns with fastening with overhead brackets, nominal passage diameter up to 25 mm</t>
  </si>
  <si>
    <t>Прокладання вініпластових труб, що
поставляються нормалізованими
елементами в комплекті, по стінах і
колонах із кріпленням накладними
скобами, діаметр умовного проходу до
25 мм</t>
  </si>
  <si>
    <t>Corrugated pipes, diameter 25 mm</t>
  </si>
  <si>
    <t>Tightening the first single-core or multi-core wire in a common braid with a total cross-section of up to 6 mm2 into laid pipes or metal sleeves</t>
  </si>
  <si>
    <t>Затягування у прокладені труби або
металеві рукави проводу першого
одножильного або багатожильного у
загальному обплетенні сумарним
перерізом до 6 мм2</t>
  </si>
  <si>
    <t>Laying insulated wires with a cross section of up to 6 mm2 i</t>
  </si>
  <si>
    <t>Прокладання ізольованих проводів
перерізом до 6 мм2 у лотках</t>
  </si>
  <si>
    <t>Laying cables with a cross section of up to 6 mm2 with vinyl, nairite and polyethylene sheaths with fastening with overlay brackets</t>
  </si>
  <si>
    <t>Прокладання кабелів перерізом до 6 мм2
з вініловою, наірітовою та
поліетиленовою оболонками з
кріпленням накладними скобами</t>
  </si>
  <si>
    <t xml:space="preserve"> Optical cable, internal, dense buffer FinMark UT004-SM-15 LSZH</t>
  </si>
  <si>
    <t xml:space="preserve">Кабель  оптичний ,внутрішній ,плотний FinMark UT004-SM-15 LSZH
буфер </t>
  </si>
  <si>
    <t>10 ends</t>
  </si>
  <si>
    <t>10кінців</t>
  </si>
  <si>
    <t>Local estimate 02-01-029 for the purchase of SCS equipment</t>
  </si>
  <si>
    <t>Локальний кошторис 02-01-029 на
Придбання устаткування СКС</t>
  </si>
  <si>
    <t>Distribution cabinets</t>
  </si>
  <si>
    <t>Розподільчі шафи</t>
  </si>
  <si>
    <t>9U communication cabinet, EServer 600x500x503 (W*D*H), glass</t>
  </si>
  <si>
    <t xml:space="preserve">Шафа комунікаційна 9U, EServer 600х500х503 (Ш*Г*В), скло
600X800 мм, без передніх дверей, задн
(S) метал двері </t>
  </si>
  <si>
    <t>Communication cabinet 12U, EServer 600x500x637 (W*D*H), glass</t>
  </si>
  <si>
    <t>Шафа комунікаційна 12U, EServer 600х500х637 (Ш*Г*В), скло</t>
  </si>
  <si>
    <t>Communication cabinet 18U, EServer 600x500x907 (W*D*H), glass</t>
  </si>
  <si>
    <t>Шафа комунікаційна 18U, EServer 600х500х907 (Ш*Г*В), скло</t>
  </si>
  <si>
    <t xml:space="preserve"> Fan module 4 el. with switch, thermostat - for cabinets EvoLine</t>
  </si>
  <si>
    <t xml:space="preserve">Модуль вент. 4 ел. з вимикач., термостат
-для шаф підл. EvoLine </t>
  </si>
  <si>
    <t xml:space="preserve"> Power distribution panel, aluminum housing, European type, 8 sockets</t>
  </si>
  <si>
    <t xml:space="preserve">Панель силова розподільна, алюм.
корпус, European type, 8 розеток </t>
  </si>
  <si>
    <t xml:space="preserve"> Mounting kit 19" screw+nut</t>
  </si>
  <si>
    <t xml:space="preserve">Комплект кріплення  19" гвинт+гайка </t>
  </si>
  <si>
    <t xml:space="preserve"> 42U vertical organizer with sliding lid Universal Line Jumbo</t>
  </si>
  <si>
    <t xml:space="preserve">42U вертикальний організатор з
висувною кришкою Universal Line Jumbo </t>
  </si>
  <si>
    <t>Optical patch panel 1U, 19", assembled (pigtail, adapter, heat-shrink sleeve. 60 mm)</t>
  </si>
  <si>
    <t>Оптична патч-панель 1U, 19" , в зборі (пігтейл, адаптер, гільза термоусад. 60 мм)</t>
  </si>
  <si>
    <t xml:space="preserve">
Optical patch panel EServer 1U-24 19" SC-16 assembly (optical switch)</t>
  </si>
  <si>
    <t>Оптична патч-панель EServer 1U-24 19" SC-16 в зборі (коммутатор оптичний)</t>
  </si>
  <si>
    <t>Splice cassette with cover, complete (including 1 pc of tray, 2 pcs of spool cable routings, 12 pcs of heat shrinking tube)</t>
  </si>
  <si>
    <t>Сплайс-касета з кришкою, в комплекті
(including 1 pc of tray, 2 pcs of spool cable
routings, 12 pcs of heat shrinking tube)</t>
  </si>
  <si>
    <t>Front panel 8 port LC adapter panel, duplex, black color</t>
  </si>
  <si>
    <t xml:space="preserve">Лицьова панель 8 port LC adapter panel,
duplex, колір чорний </t>
  </si>
  <si>
    <t xml:space="preserve"> Cable entry to patch panels</t>
  </si>
  <si>
    <t xml:space="preserve">Кабельний ввід до патч-панелей </t>
  </si>
  <si>
    <t>LC/PC Duplex MM Adapter w/zirconia Sleeve</t>
  </si>
  <si>
    <t xml:space="preserve">Адаптер LC/PC Duplex MM Adapter
w/zirconia Sleeve </t>
  </si>
  <si>
    <t xml:space="preserve"> Pigtail LC/UPC OM4, 1m, MM, D=0.9mm, LSOH</t>
  </si>
  <si>
    <t xml:space="preserve">Pigtail  LC/UPC OM4, 1m, MM, D=0,9mm,
LSOH </t>
  </si>
  <si>
    <t xml:space="preserve"> Patch cord optical LC/UPC-LC/UPC Duplex MM OM4 LS0H 2 m, D=2.0mm</t>
  </si>
  <si>
    <t xml:space="preserve">Патч корд оптический LC/UPC-LC/UPC
Duplex MM OM4 LS0H 2 м, D=2,0mm </t>
  </si>
  <si>
    <t>UTP patch panel, 24 ports 1U, cat. 5E, Dual Type IDC</t>
  </si>
  <si>
    <t>Патч-панель UTP, 24 порти 1U, кат.5Е,
Dual Type IDC</t>
  </si>
  <si>
    <t xml:space="preserve"> Patch panel UTP, 48 ports sd 1U, cat. 5E, Dual Type IDC</t>
  </si>
  <si>
    <t xml:space="preserve">Патч-панель UTP,48 портsd 1U, кат.5Е,
Dual Type IDC </t>
  </si>
  <si>
    <t>Cable organizer, screw mounting, black (for all UTP 19" 1U patch panels)</t>
  </si>
  <si>
    <t xml:space="preserve">Кабельний організатор, монтаж на
гвинти, колір чорний (для всіх патч-
панелей UTP 19" 1U) </t>
  </si>
  <si>
    <t xml:space="preserve"> Patch cord molded UTP, RJ45 0,5 m, cat. 5E, LSOH</t>
  </si>
  <si>
    <t xml:space="preserve">Патч-корд литий UTP, RJ45  0,5 м, кат.5Е,
LSOH </t>
  </si>
  <si>
    <t>Valena LIFE Double Keystone Adapter White (complete with 2-port faceplate)</t>
  </si>
  <si>
    <t>Valena LIFE Адаптер для Keystone
подвійний Білий (в комплекті з 2-х
портовою лицьовою панеллю)</t>
  </si>
  <si>
    <t>Valena LIFE Frame 1 post Ivory</t>
  </si>
  <si>
    <t xml:space="preserve">Valena LIFE Рамка 1 пост Слонова кістка </t>
  </si>
  <si>
    <t xml:space="preserve"> OBO Betterman power planter</t>
  </si>
  <si>
    <t xml:space="preserve">Подрозетник OBO Betterman </t>
  </si>
  <si>
    <t xml:space="preserve"> WALL BOX FOR 1ST KEYSTONE MODULE</t>
  </si>
  <si>
    <t xml:space="preserve">НАСТЕННАЯ КОРОБКА ДЛЯ 1-ГО
МОДУЛЯ KEYSTONE </t>
  </si>
  <si>
    <t xml:space="preserve"> Keystone UTP narrow module 90g, cat. 5E, Dual Type IDC, white color</t>
  </si>
  <si>
    <t xml:space="preserve">Модуль Keystone UTP вузький 90гр, кат.
5Е, Dual Type IDC, колір білий  </t>
  </si>
  <si>
    <t>Local estimate 02-01-030 for commissioning and adjustment works of the SCS</t>
  </si>
  <si>
    <t>Локальний кошторис 02-01-030 на Пуско-
налагоджувальні роботи СКС</t>
  </si>
  <si>
    <t>Section 1. Fire alarm system</t>
  </si>
  <si>
    <t>Розділ 1. Пожежна сигналізація</t>
  </si>
  <si>
    <t>Earthing devices. Measurement of earthing resistance</t>
  </si>
  <si>
    <t>Пристрої, що заземлюють.  Вимірювання
опору розтіканню струму заземлювача</t>
  </si>
  <si>
    <t>measured.</t>
  </si>
  <si>
    <t>вимір.</t>
  </si>
  <si>
    <t>Measurement of dielectric loss tangent</t>
  </si>
  <si>
    <t>Вимірювання тангенса кута
діелектричних утрат</t>
  </si>
  <si>
    <t>вимірюв.</t>
  </si>
  <si>
    <t>Phasing of an electrical line or transformer with the network, voltage up to 1 kV</t>
  </si>
  <si>
    <t>Фазування електричної лінії або
трансформатора з мережею, напруга до
1 кВ</t>
  </si>
  <si>
    <t>phasing</t>
  </si>
  <si>
    <t>фазув-ня</t>
  </si>
  <si>
    <t>Measurement of leakage currents or breakdown voltage of a surge arrester or leakage currents of a voltage limiter</t>
  </si>
  <si>
    <t>Вимірювання струмів витоку або
пробивної напруги розрядника або
струмів витоку обмежувача напруги</t>
  </si>
  <si>
    <t>Measuring insulation resistance with a megohmmeter</t>
  </si>
  <si>
    <t>Вимірювання опору ізоляції
мегаомметром</t>
  </si>
  <si>
    <t>Local budget 02-01-031 for Television</t>
  </si>
  <si>
    <t>Локальний кошторис 02-01-031 на
Телебачення</t>
  </si>
  <si>
    <t>Amplifiers for collective television reception, mounted on a wall or in a metal cabinet</t>
  </si>
  <si>
    <t>Підсилювачі колективного приймання
телебачення, що установлюються на
стіні або в металевій шафі</t>
  </si>
  <si>
    <t>Wall-mounted equipment, weight from 0.15 to 0.2 t</t>
  </si>
  <si>
    <t>Апаратура настінна, маса від 0,15 до 0,2 т</t>
  </si>
  <si>
    <t>Installing a television socket</t>
  </si>
  <si>
    <t>Монтаж розетки телевізійної</t>
  </si>
  <si>
    <t>Television socket</t>
  </si>
  <si>
    <t>Розетка телевізійна</t>
  </si>
  <si>
    <t>Subscriber splitters for collective television reception on the wall or in a metal cabinet</t>
  </si>
  <si>
    <t>Розгалужувачі абонентські колективного
приймання телебачення на стіні або в
металевій шафі</t>
  </si>
  <si>
    <t>Metal hose, outer diameter up to 48 mm</t>
  </si>
  <si>
    <t>Рукав металевий, зовнішній діаметр до 48 мм</t>
  </si>
  <si>
    <t>100 м</t>
  </si>
  <si>
    <t>Metal hose d=32</t>
  </si>
  <si>
    <t>Металорукав d=32</t>
  </si>
  <si>
    <t>Cable up to 35 kV, laid on installed structures and trays with fastening along the entire length, weight 1 m up to 1 kg</t>
  </si>
  <si>
    <t>Кабель до 35 кВ, що прокладається по
установлених конструкціях і лотках з
кріпленням по всій довжині, маса 1 м до
1 кг</t>
  </si>
  <si>
    <t>Coaxial cable in low-emission, halogen-free plastic sheath F 690B-LSZH black FinMark</t>
  </si>
  <si>
    <t>Кабель коаксіальний в оболочці із малодимного, безгалогеного пластику F 690B-LSZH black FinMark</t>
  </si>
  <si>
    <t>Coaxial distribution cable FinMark F1190</t>
  </si>
  <si>
    <t>Кабель коаксіальний розпродільчий FinMark F1190</t>
  </si>
  <si>
    <t>Screed platform, for 6 mm screw</t>
  </si>
  <si>
    <t>Майданчик для стяжки, під шуруп 6 мм</t>
  </si>
  <si>
    <t>100pcs</t>
  </si>
  <si>
    <t>100шт</t>
  </si>
  <si>
    <t>Cable tie, 100x2.5</t>
  </si>
  <si>
    <t>Кабельна стяжка, 100х2,5</t>
  </si>
  <si>
    <t>Extension cable</t>
  </si>
  <si>
    <t>Кабель подовжувач</t>
  </si>
  <si>
    <t>Front panel of the television socket</t>
  </si>
  <si>
    <t>Лицьова панель розетка телевізійної</t>
  </si>
  <si>
    <t>Local budget 02-01-032 for the purchase of television equipment</t>
  </si>
  <si>
    <t>Локальний кошторис 02-01-032 на
Придбання устаткування для
телебачення</t>
  </si>
  <si>
    <t>Arcotel GA 90360R optical receiver</t>
  </si>
  <si>
    <t>Оптичний приймач Arcotel GA 90360R</t>
  </si>
  <si>
    <t>TV amplifier TERRA HS-004</t>
  </si>
  <si>
    <t>ТВ підсилювач  TERRA HS -004</t>
  </si>
  <si>
    <t>TV splitter Split 2 (5-1000 MHz)</t>
  </si>
  <si>
    <t>Дільник ТВ Split 2 (5-1000 МГц)</t>
  </si>
  <si>
    <t>Signal splitter TAP 4/24</t>
  </si>
  <si>
    <t>Відгалужувач сигналів  TAP 4/24</t>
  </si>
  <si>
    <t>Power supply 24V, 110mA Televes ref. 5795</t>
  </si>
  <si>
    <t>Блок живлення 24В, 110мА Televes ref. 5795</t>
  </si>
  <si>
    <t>Local estimate 02-01-033 for Installation of a doorbell alarm system</t>
  </si>
  <si>
    <t>Локальний кошторис 02-01-033 на
Монтаж системи дзвінкової сигналізації</t>
  </si>
  <si>
    <t>Cable in a brick wall, weight 1 m to 1 kg</t>
  </si>
  <si>
    <t>Кабель по стіні цегляній, маса 1 м до 1 кг</t>
  </si>
  <si>
    <t>Cables VVGngd 3x1.5 mm</t>
  </si>
  <si>
    <t>Кабелі ВВГнгд 3х1,5 мм</t>
  </si>
  <si>
    <t>Metal hose d=20</t>
  </si>
  <si>
    <t>Металорукав d=20</t>
  </si>
  <si>
    <t>Terminal box</t>
  </si>
  <si>
    <t>Коробка клемна</t>
  </si>
  <si>
    <t>Round switching box with lid</t>
  </si>
  <si>
    <t>Коробка комутаційна кругля з кришкою</t>
  </si>
  <si>
    <t>Bell installation</t>
  </si>
  <si>
    <t>Монтаж дзвінка</t>
  </si>
  <si>
    <t>Devices installed on structures or panels, weight up to 10 kg</t>
  </si>
  <si>
    <t>Прилади, що установлюються на
конструкціях або щитах, маса до 10 кг</t>
  </si>
  <si>
    <t>Local estimate 02-01-034 for the purchase of equipment for a doorbell alarm system</t>
  </si>
  <si>
    <t>Локальний кошторис 02-01-034 на
Придбання устаткування для системи
дзвінкової сигналізації</t>
  </si>
  <si>
    <t>Electric bell Asko 1502 150 mm</t>
  </si>
  <si>
    <t>Дзвінок  електричний  Аско 1502 150 мм</t>
  </si>
  <si>
    <t>Automatic call feeder Start 3</t>
  </si>
  <si>
    <t>Автомат подачі дзвінків  Старт 3</t>
  </si>
  <si>
    <t>Local estimate 02-01-035 for Sound reinforcement system in the assembly hall</t>
  </si>
  <si>
    <t>Локальний кошторис 02-01-035 на
Система звукопідсилення в актовому залі</t>
  </si>
  <si>
    <t>Section 1. Installation of electrical timing_</t>
  </si>
  <si>
    <t>Розділ 1. Монтаж електрочасофікації_</t>
  </si>
  <si>
    <t>Station installation</t>
  </si>
  <si>
    <t>Монтаж станції</t>
  </si>
  <si>
    <t>Mounting a wall-mounted loudspeaker
in the room on the wall</t>
  </si>
  <si>
    <t>Монтаж гучномовця настінного
у приміщенні на стіні</t>
  </si>
  <si>
    <t>Two- or three-core wire for plastering
along walls or in furrows</t>
  </si>
  <si>
    <t>Провід дво-, трижильний під штукатурку
по стінах або у борознах</t>
  </si>
  <si>
    <t>Acoustic cable 2 x 2.5 mm2 - 13 AWG LS25</t>
  </si>
  <si>
    <t>Кабель акустичний 2 x 2,5 мм2 - 13 AWG LS25</t>
  </si>
  <si>
    <t>1000 m</t>
  </si>
  <si>
    <t>1000м</t>
  </si>
  <si>
    <t xml:space="preserve">Desktop microphone console </t>
  </si>
  <si>
    <t xml:space="preserve">Пульт мікрофонний настільний
</t>
  </si>
  <si>
    <t>Local estimate 02-01-036 for the purchase of equipment for the sound reinforcement system in the assembly hall</t>
  </si>
  <si>
    <t>Локальний кошторис 02-01-036 на
Придбання устаткування для системи
звукопідсилення в актовому залі</t>
  </si>
  <si>
    <t>Sound reinforcement system in the assembly hall 80ПП024М-FM/МР</t>
  </si>
  <si>
    <t>Система звукопідсилення в актовому залі 80ПП024М-FM/МР</t>
  </si>
  <si>
    <t>Acoustic system 15 AC 100 PP</t>
  </si>
  <si>
    <t>Акустична система 15 АС 100 ПП</t>
  </si>
  <si>
    <t xml:space="preserve"> Microphone</t>
  </si>
  <si>
    <t xml:space="preserve">Мікрофон </t>
  </si>
  <si>
    <t>Local estimate 02-01-037 for the Unified Precise Time System</t>
  </si>
  <si>
    <t>Локальний кошторис 02-01-037 на
Система єдиного точного часу</t>
  </si>
  <si>
    <t>Secondary one-sided electric clocks indoors on the wall</t>
  </si>
  <si>
    <t>Електрогодинники вторинні односторонні
у приміщенні на стіні</t>
  </si>
  <si>
    <t xml:space="preserve">Twisted pair cable, U/UTP cat.5e halogen-free KPVONG-HF-VP (350) 4*2*0.51 (UTP-CAT.5E LSOH) </t>
  </si>
  <si>
    <t xml:space="preserve">Кабель "вита пара", U/UTP cat.5e безгалогенний КПВОНГ-HF-ВП (350) 4*2*0,51 (UTP-CAT.5E LSOH) </t>
  </si>
  <si>
    <t>Junction box with fuse or disconnector, or circuit breaker, or voltage indicator to the distribution busbar</t>
  </si>
  <si>
    <t>Коробка відгалужувальна із
запобіжником або роз'єднувачем, або
автоматом, або покажчиком напруги до
розподільного шинопроводу</t>
  </si>
  <si>
    <t>UK box</t>
  </si>
  <si>
    <t>Коробка УК-2П</t>
  </si>
  <si>
    <t>Local estimate 02-01-038 for the purchase of equipment for a single precise time system</t>
  </si>
  <si>
    <t>Локальний кошторис 02-01-038 на
Придбання устаткування для системи
єдиного точного часу</t>
  </si>
  <si>
    <t>Time station GRAN CLOCK-O-01 GPS</t>
  </si>
  <si>
    <t>Часова станція GRAN CLOCK-O-01 GPS</t>
  </si>
  <si>
    <t>GRAN-CLOCK-I125G7-T</t>
  </si>
  <si>
    <t>Годиник GRAN-CLOCK-I125G7-T</t>
  </si>
  <si>
    <t xml:space="preserve"> GRAN-CLOCK-I57R7-new watch</t>
  </si>
  <si>
    <t>Годиник GRAN-CLOCK-I57R7-new</t>
  </si>
  <si>
    <t>Local estimate 02-01-039 for Internal computer network</t>
  </si>
  <si>
    <t>Локальний кошторис 02-01-039 на
Внутрішня комп’ютерна мережа</t>
  </si>
  <si>
    <t>Dispatcher or director communication switch with amplifier, capacity up to 70 numbers</t>
  </si>
  <si>
    <t>Комутатор диспетчерського або
директорського зв'язку із
підсилювальним пристроєм, ємкість до
70 номерів</t>
  </si>
  <si>
    <t>number</t>
  </si>
  <si>
    <t>Board of the output set RSLU/RS2. 118.313/ RS2.709.005TU</t>
  </si>
  <si>
    <t>Плата вихідного комплекту РСЛУ/РС2.
118.313/ РС2.709.005ТУ</t>
  </si>
  <si>
    <t>Input kit board RSLU/RS2.118. 312/ RS2.709.005TU</t>
  </si>
  <si>
    <t>Плата вхідного комплекту РСЛУ/РС2.118.
312/ РС2.709.005ТУ</t>
  </si>
  <si>
    <t>Set of optical [photo]-electrical converters [emitter, photoreceiver]</t>
  </si>
  <si>
    <t>Комплект перетворювачів [випромінювач,
 фотоприймач] оптико[фото]-електричних</t>
  </si>
  <si>
    <t>Coordinate station type ATSK 50-200M, installation</t>
  </si>
  <si>
    <t>Станція координатна типу АТСК 50-200М,
 монтаж</t>
  </si>
  <si>
    <t>statue</t>
  </si>
  <si>
    <t>статив</t>
  </si>
  <si>
    <t>Installation of recessed sockets with concealed wiring</t>
  </si>
  <si>
    <t>Установлення штепсельних розеток
заглибленого типу при схованій проводці</t>
  </si>
  <si>
    <t>DCK RS0.122.163TU code combination sensor board</t>
  </si>
  <si>
    <t>Плата датчиків кодових комбинаций ДКК
РС0.122.163ТУ</t>
  </si>
  <si>
    <t>Installation box</t>
  </si>
  <si>
    <t>Коробка установлювальна</t>
  </si>
  <si>
    <t>Control board RS2.125.837 RS0.122. 163TU</t>
  </si>
  <si>
    <t>Плата керування РС2.125.837 РС0.122.
163ТУ</t>
  </si>
  <si>
    <t>Communication and alarm switching cabinet or panel on the wall or in a niche, number of pairs up to 100</t>
  </si>
  <si>
    <t>Шафа або панель комутації зв'язку та
сигналізації на стіні або в ніші, кількість
пар до 100</t>
  </si>
  <si>
    <t>Profile steel structure for mounting cable suspensions, weight up to 1 kg</t>
  </si>
  <si>
    <t>Конструкція із профільної сталі для
кріплення кабельних закладних підвісок,
маса до 1 кг</t>
  </si>
  <si>
    <t>Tray profile (CD40H20/1, 1.2 mm)</t>
  </si>
  <si>
    <t>Профіль для лотків (CD40H20/1, 1,2 мм)</t>
  </si>
  <si>
    <t>Threaded stud (PGM8/1)</t>
  </si>
  <si>
    <t>Шпилька різьбова(PGM8/1)</t>
  </si>
  <si>
    <t>Spacer M8</t>
  </si>
  <si>
    <t>Розпірна втулка М8</t>
  </si>
  <si>
    <t>Screw M6x10 mm, washer, nut</t>
  </si>
  <si>
    <t>Гвинт М6x10 мм, шайба, гайка</t>
  </si>
  <si>
    <t>к-кт</t>
  </si>
  <si>
    <t>Vinyl plastic pipe on walls and columns with mounting brackets, diameter up to 25 mm</t>
  </si>
  <si>
    <t>Труба вініпластова по стінах і колонах з
кріпленням накладними скобами,
діаметр до 25 мм</t>
  </si>
  <si>
    <t>Труби гофровані діам 20 мм</t>
  </si>
  <si>
    <t>Box KM-1-4</t>
  </si>
  <si>
    <t>Коробка КМ-1-4</t>
  </si>
  <si>
    <t>Mounting box</t>
  </si>
  <si>
    <t>Коробка монтажна</t>
  </si>
  <si>
    <t>Tray according to established designs, tray width up to 400 mm</t>
  </si>
  <si>
    <t>Лоток по установлених конструкціях,
ширина лотка до 400 мм</t>
  </si>
  <si>
    <t>Tray included H60/3</t>
  </si>
  <si>
    <t>Лоток в комплекті Н60/3</t>
  </si>
  <si>
    <t>M8 mounting kit</t>
  </si>
  <si>
    <t>Комплект для кріплення М8</t>
  </si>
  <si>
    <t>Self-tapping screw 3.5/45mm</t>
  </si>
  <si>
    <t>Саморіз 3,5/45мм</t>
  </si>
  <si>
    <t>100 шт.</t>
  </si>
  <si>
    <t>Dowel 6/40mm</t>
  </si>
  <si>
    <t>Дюбель 6/40мм</t>
  </si>
  <si>
    <t>Two-port communication socket without modules</t>
  </si>
  <si>
    <t>Розетка комунікаційна двопортова без
модулей</t>
  </si>
  <si>
    <t>Socket outl</t>
  </si>
  <si>
    <t>Підрозетник</t>
  </si>
  <si>
    <t>Non-recessed plug socket with open wiring</t>
  </si>
  <si>
    <t>Розетка штепсельна незаглибленого
типу при відкритій проводці</t>
  </si>
  <si>
    <t>Single-port communication socket without modules, external</t>
  </si>
  <si>
    <t>Розетка комунікаційна однопортова без
модулей, зовнішня</t>
  </si>
  <si>
    <t>Two-port communication socket without modules, external</t>
  </si>
  <si>
    <t>Розетка комунікаційна двопортова без
модулей, зовнішня</t>
  </si>
  <si>
    <t>Socket hatch</t>
  </si>
  <si>
    <t>Розеточний люк</t>
  </si>
  <si>
    <t>M6 fastener set (screw, washer, nut)</t>
  </si>
  <si>
    <t>Набір кріплення М6 (гвинт, шайба, гайка)</t>
  </si>
  <si>
    <t>PATCHPANEL INSTALLATION (Extended box or box, size up to 500x500 mm)</t>
  </si>
  <si>
    <t>МОНТАЖ ПАТЧПАНЕЛІ (Ящик
протяжний або коробка, розмiр до
500х500 мм)</t>
  </si>
  <si>
    <t>Patch panel, 19", 24 port, cat.6A, modular</t>
  </si>
  <si>
    <t>Патчпанель, 19", 24 портова, кат.6A,
набірна</t>
  </si>
  <si>
    <t>INSTALLATION OF CORD ORGANIZER (Subscriber box, USS signal box, subscriber connecting device, television band filter, television attenuator)</t>
  </si>
  <si>
    <t>МОНТАЖ ОРГАНІЗАТОРА ШНУРІВ
(Коробка абонентська, коробка
сигнальна УСС, приєднуючий
абонентський пристрiй, фiльтр
телевiзiйний дiапазонний, атенюатор
телевiзiйний)</t>
  </si>
  <si>
    <t>19'' patch cord organizer</t>
  </si>
  <si>
    <t>19'' організатор з'єднувальних шнурів</t>
  </si>
  <si>
    <t>INSTALLATION OF THE SHIELDED MODULE (Plug connector with processing and connection of the shielded cable, core cross-sectional area up to 1 mm2, number of connected cores up to 14)</t>
  </si>
  <si>
    <t>МОНТАЖ МОДУЛЯ ЕКРАНОВАНОГО
(Роз'єм штепсельний з обробленням i
вмиканням екранованого кабеля, площа
перерiзу жили до 1 мм2, кiлькiсть жил,
що пiдключаються, до 14)</t>
  </si>
  <si>
    <t>Shielded module, cat. 6A</t>
  </si>
  <si>
    <t>Модуль екранований, кат. 6A</t>
  </si>
  <si>
    <t>Plugging in the equipment, number of contacts in the connector up to 14</t>
  </si>
  <si>
    <t>Вмикання штепсельних роз'ємів в
апаратуру, кількість контактів у роз'ємі до
14</t>
  </si>
  <si>
    <t>Patchcord F/UTP 1 m, RJ45-RJ45, cat. 6A</t>
  </si>
  <si>
    <t>Патчкорд F/UTP 1м, RJ45-RJ45, кат.6A</t>
  </si>
  <si>
    <t>Patchcord F/UTP 2 m, RJ45-RJ45, cat. 6A</t>
  </si>
  <si>
    <t>Патчкорд F/UTP 2м, RJ45-RJ45, кат.6A</t>
  </si>
  <si>
    <t>Local estimate 02-01-040 for Equipment for internal computer network</t>
  </si>
  <si>
    <t>Локальний кошторис 02-01-040 на
Обладнання для внутрішньої
комп’ютерної мережі</t>
  </si>
  <si>
    <t>Managed switch L2, 24 ports, D-Link DES-1210-28/ME</t>
  </si>
  <si>
    <t>Комутатор керований рівня L2, 24 роrt, D-
Lіnk DЕS-1210-28/MЕ</t>
  </si>
  <si>
    <t>Server floor-standing cabinet SHS-32U</t>
  </si>
  <si>
    <t>Шафа монтажна серверна підлогова ШС-
32U</t>
  </si>
  <si>
    <t>Media converter (included), TР-LINK MC112СS</t>
  </si>
  <si>
    <t>Медіаконвертер (в комплекті), TР-LІNK
MС112СS</t>
  </si>
  <si>
    <t>Server ARTLINE Business R25 v02 (R25v02)</t>
  </si>
  <si>
    <t>Сервер АRTLІNЕ Busіnеss R25 v02
(R25v02)</t>
  </si>
  <si>
    <t>Network Attached Storage (NAS) Synology DS716+ II</t>
  </si>
  <si>
    <t>Мережеве сховище (NАS) Synоlоgy
DS716+ ІІ</t>
  </si>
  <si>
    <t>Uninterruptible power supply APC Smart-UPS RM 750VA 2U LCD</t>
  </si>
  <si>
    <t>Джерело безпереб. живлення АРС Smаrt-
UРS RM 750VА 2U LСD</t>
  </si>
  <si>
    <t>Hard drive Seagate Enterprise Saracity 2TB 3.5 SATA III</t>
  </si>
  <si>
    <t>Жорсткий диск Sеаgаtе Еntеrрrіsе
Сарасіty 2ТB 3.5 SАTА ІІІ</t>
  </si>
  <si>
    <t>Microsoft Windows Server 2016 software</t>
  </si>
  <si>
    <t>Програмне забезпечення Mісrоsоft
Wіndоws Sеrvеr 2016</t>
  </si>
  <si>
    <t>Access point HP MSM460 Dual Radio 802.11n AP (WW)</t>
  </si>
  <si>
    <t>Точка доступу HP MSM460 Dual Radio
802.11n AP (WW)</t>
  </si>
  <si>
    <t>MSM720 Premium Mobility Controller (WW)</t>
  </si>
  <si>
    <t>Контролер MSM720 Premium Mobility
Controller (WW)</t>
  </si>
  <si>
    <t>HP MSM720/760/765 Additional 10 Access Point License (J9697A)</t>
  </si>
  <si>
    <t>Ліцензія HP MSM720/760/765 Additional
10 Access Point License (J9697A)</t>
  </si>
  <si>
    <t>Local estimate 02-01-041 for Installation of internal wired radio broadcasting</t>
  </si>
  <si>
    <t>Локальний кошторис 02-01-041 на
Монтаж внутрішнього проводового
радіомовлення</t>
  </si>
  <si>
    <t>Section 1. Installation of internal wired radio broadcasting_</t>
  </si>
  <si>
    <t>Розділ 1. Монтаж внутрішнього
проводового радіомовлення_</t>
  </si>
  <si>
    <t>UK-P box</t>
  </si>
  <si>
    <t>Коробка УК-П</t>
  </si>
  <si>
    <t>коробка</t>
  </si>
  <si>
    <t>Коробка УК</t>
  </si>
  <si>
    <t>Two- or three-core wire for plastering on walls or in grooves</t>
  </si>
  <si>
    <t>Провод ПСВВнг (J-YY-U) 2х1,13</t>
  </si>
  <si>
    <t>Local estimate 02-01-042 for Equipment for internal wired radio broadcasting</t>
  </si>
  <si>
    <t>Локальний кошторис 02-01-042 на
Обладнання для внутрішнього
проводового радіомовлення</t>
  </si>
  <si>
    <t>Amplifier-mixer</t>
  </si>
  <si>
    <t>Підсилювач-мікшер</t>
  </si>
  <si>
    <t>FM Radio Antenna 76-108MHz</t>
  </si>
  <si>
    <t>Антена FM-радіо 76-108мГц</t>
  </si>
  <si>
    <t>Loudspeaker with volume control</t>
  </si>
  <si>
    <t>Гучномовець з регулятором гучності</t>
  </si>
  <si>
    <t>Local estimate 02-01-043 for Telephony</t>
  </si>
  <si>
    <t>Локальний кошторис 02-01-043 на
Телефонізація</t>
  </si>
  <si>
    <t xml:space="preserve">Cable J-H(St)H Bd 2x2x0,6 </t>
  </si>
  <si>
    <t xml:space="preserve"> КабельJ-H(St)H Bd 2x2x0,6 </t>
  </si>
  <si>
    <t>Cable J-H(St)H Bd 10x2x0,6</t>
  </si>
  <si>
    <t xml:space="preserve"> Кабель J-H(St)H Bd 10x2x0,6</t>
  </si>
  <si>
    <t>Subscriber splitter SPL-2</t>
  </si>
  <si>
    <t>Розгалужувач абоненський SPL-2</t>
  </si>
  <si>
    <t>Connector installation</t>
  </si>
  <si>
    <t>Монтаж рознімача</t>
  </si>
  <si>
    <t>F connector for RG11 cable STANDARD, crimped (0.475_)</t>
  </si>
  <si>
    <t>Роз'єм F на кабель RG11 STANDART,
обжимний ( 0,475_)</t>
  </si>
  <si>
    <t>Installation of ground equipment, weight up to 0.5 t</t>
  </si>
  <si>
    <t>Установлення апаратури наземної, маса
до 0,5 т</t>
  </si>
  <si>
    <t>Installation of epoxy terminal coupling for cables with voltage up to 1 kV, cross-section of one core up to 35 mm2</t>
  </si>
  <si>
    <t>Монтаж муфти кінцевої епоксидної для
кабеля напругою до 1 кВ, переріз однієї
жили до 35 мм2</t>
  </si>
  <si>
    <t>Input kit board RSLU/RS2.114. 104/ RS2.114.097TU</t>
  </si>
  <si>
    <t>Плата вхідного комплекту РСЛУ/РС2.114.
104/ РС2.114.097ТУ</t>
  </si>
  <si>
    <t>Local estimate 02-01-044 for Telephony equipment</t>
  </si>
  <si>
    <t>Локальний кошторис 02-01-044 на
Обладнання для телефонізаціїї</t>
  </si>
  <si>
    <t>19" loop cabinet for optical receivers</t>
  </si>
  <si>
    <t>Шафа 19" петельна для оптичних
приймачів</t>
  </si>
  <si>
    <t>Television patch cord</t>
  </si>
  <si>
    <t>Патчкорд телевізійний</t>
  </si>
  <si>
    <t>Cross 19" with tray</t>
  </si>
  <si>
    <t>Крос 19" з лотком</t>
  </si>
  <si>
    <t>Mini wall-mounted optical cross assembly</t>
  </si>
  <si>
    <t>Міні крос настіний оптичний в зборі</t>
  </si>
  <si>
    <t>Single-mode optical patch cord, 1 m</t>
  </si>
  <si>
    <t>Пачкорд оптичний одномод,1 м</t>
  </si>
  <si>
    <t>Single-mode optical patch cord, 3 m</t>
  </si>
  <si>
    <t>Пачкорд оптичний одномод,3 м</t>
  </si>
  <si>
    <t>Optical wall box, up to 4 trays, internal bar for 32 seats</t>
  </si>
  <si>
    <t>Бокс настіний оптичний , до 4 лотків
внутрішня планка на 32 посадочних місця</t>
  </si>
  <si>
    <t>Local estimate 02-01-045 for Gas Pollution Control System</t>
  </si>
  <si>
    <t>Локальний кошторис 02-01-045 на
Система контроля загазованості</t>
  </si>
  <si>
    <t>Section 1. Installation work</t>
  </si>
  <si>
    <t>Розділ 1. Монтажні роботи</t>
  </si>
  <si>
    <t>Control unit</t>
  </si>
  <si>
    <t>Блок управління</t>
  </si>
  <si>
    <t>Installation of instruments for analyzing the physicochemical composition of a substance, instrument complexity category 1</t>
  </si>
  <si>
    <t>Установлення приладів для аналізу
фізико-хімічного складу речовини,
категорія складності приладів 1</t>
  </si>
  <si>
    <t>Single-cell alkaline battery, capacity 12 Ah</t>
  </si>
  <si>
    <t>Акумулятор лужний одноелементний,
ємкість 12 А.год</t>
  </si>
  <si>
    <t>Single-cell alkaline battery, capacity 18 Ah</t>
  </si>
  <si>
    <t>Акумулятор лужний одноелементний,
ємкість 18 А.год</t>
  </si>
  <si>
    <t>Installation of the sign</t>
  </si>
  <si>
    <t>Монтаж табло сигнального</t>
  </si>
  <si>
    <t>Circuit breaker 6A single-phase</t>
  </si>
  <si>
    <t>Автоматичний вимикач  6А однофазний</t>
  </si>
  <si>
    <t>Коробка розподільча</t>
  </si>
  <si>
    <t>Box</t>
  </si>
  <si>
    <t>Коробка</t>
  </si>
  <si>
    <t>Terminal box 12x4</t>
  </si>
  <si>
    <t>Коробка клемна 12х4</t>
  </si>
  <si>
    <t>Metal sleeve, outer diameter up to 48 mm</t>
  </si>
  <si>
    <t>Рукав металевий, зовнішній діаметр до
48 мм</t>
  </si>
  <si>
    <t>Metal sleeve, non-hermetic, d-20mm</t>
  </si>
  <si>
    <t>Рукав металевий негерметичний  д-20мм</t>
  </si>
  <si>
    <t>Встановлення коробу монтажного</t>
  </si>
  <si>
    <t>Console</t>
  </si>
  <si>
    <t>Консоль</t>
  </si>
  <si>
    <t>Console 500 mm</t>
  </si>
  <si>
    <t>Консоль 500 мм</t>
  </si>
  <si>
    <t>Corrugated pipe</t>
  </si>
  <si>
    <t>Труба гофрована</t>
  </si>
  <si>
    <t>Corrugated hose clamp</t>
  </si>
  <si>
    <t>Хомут під гофрорукав</t>
  </si>
  <si>
    <t>Corrugated hose fitting</t>
  </si>
  <si>
    <t>Фітінг під гофрорукав</t>
  </si>
  <si>
    <t>PVC pipe</t>
  </si>
  <si>
    <t>Труба ПВХ</t>
  </si>
  <si>
    <t>Cable cross-section 4.1,5mm2 KVVHng-nd</t>
  </si>
  <si>
    <t>Кабель перерiзом 4.1,5мм2 КВВГнг-нд</t>
  </si>
  <si>
    <t>Cable VVGngd 2x1.5mm2</t>
  </si>
  <si>
    <t>Кабель ВВГнгд 2х1,5мм2</t>
  </si>
  <si>
    <t>Cable with copper conductor, halogen-free, fire resistance limit 30 min. cross-section 3x1.5 mm2 (N) (NHХH) FE180/E30</t>
  </si>
  <si>
    <t>Кабель з мідною жилою безгалогенний,
межа вогнестійкості 30хв. переріз. 3х1,5
мм2 (N) (NHХH) FЕ180/Е30</t>
  </si>
  <si>
    <t>Cable holder</t>
  </si>
  <si>
    <t>Тримач кабельний</t>
  </si>
  <si>
    <t>Nylon dowel 6x30</t>
  </si>
  <si>
    <t>Дюбель нейлоновий 6х30</t>
  </si>
  <si>
    <t>Screw 3.5x35</t>
  </si>
  <si>
    <t>Шуруп 3,5х35</t>
  </si>
  <si>
    <t>Dowel for mounting clamp</t>
  </si>
  <si>
    <t>Дюбель під монтажний хомут</t>
  </si>
  <si>
    <t>Mounting clamp</t>
  </si>
  <si>
    <t>Монтажний хомут</t>
  </si>
  <si>
    <t>Local estimate 02-01-046 for the purchase of equipment for a gas pollution control system</t>
  </si>
  <si>
    <t>Локальний кошторис 02-01-046 на
Придбання устаткування для системи
контроля загазованості</t>
  </si>
  <si>
    <t>Section 1. Mounted equipment</t>
  </si>
  <si>
    <t>Розділ 1. Устаткування, що монтується</t>
  </si>
  <si>
    <t>Power supply unit "Varta 1-03.14P"</t>
  </si>
  <si>
    <t>Блок живлення "Варта 1-03.14П"</t>
  </si>
  <si>
    <t>Methane sensor DM-14</t>
  </si>
  <si>
    <t>Датчик  на метан ДМ-14</t>
  </si>
  <si>
    <t>Power supply unit IBPI-90 12/24</t>
  </si>
  <si>
    <t>Блок живлення ИБПИ-90 12/24</t>
  </si>
  <si>
    <t>Power supply unit IBPI-180 12/24</t>
  </si>
  <si>
    <t>Блок живлення ИБПИ-180 12/24</t>
  </si>
  <si>
    <t>Sound and light alarm with the inscription "Attention everyone, leave the premises. Emergency gas leak. Call the service 104"</t>
  </si>
  <si>
    <t>Оповіщувач світлозвуковий з написом
"Увага всім залишити приміщення.
Аварійний витік газу. Викликайту службу
104"</t>
  </si>
  <si>
    <t>Light and sound alarm "Pioneer-2" with the inscription "Attention everyone, leave the premises. Emergency gas leak. Call the service 104"</t>
  </si>
  <si>
    <t>Оповіщувач світлозвуковий "Піонер-2" з
написом "Увага всім залишити
приміщення. Аварійний витік газу.
Викликайту службу 104"</t>
  </si>
  <si>
    <t>Rechargeable battery 12V, 7A/h</t>
  </si>
  <si>
    <t>Акумуляторна батарея 12В, 7А/г</t>
  </si>
  <si>
    <t>Rechargeable battery 12V, 18A/h</t>
  </si>
  <si>
    <t>Акумуляторна батарея 12В, 18А/г</t>
  </si>
  <si>
    <t>Local estimate 02-01-047 for Lightning protection</t>
  </si>
  <si>
    <t>Локальний кошторис 02-01-047 на
Блискавкозахист</t>
  </si>
  <si>
    <t>Grounding conductor exposed on building foundations made of round steel with a diameter of 8 mm</t>
  </si>
  <si>
    <t>Провiдник заземлюючий вiдкрито по
будiвельних основах з круглої сталi
дiаметром 8 мм</t>
  </si>
  <si>
    <t>Aluminum wire diam. 8mm</t>
  </si>
  <si>
    <t>Дріт алюмінієвий діам.8мм</t>
  </si>
  <si>
    <t>Universal wire connector</t>
  </si>
  <si>
    <t>Злучник для дроту універсальний</t>
  </si>
  <si>
    <t>Plastic wire holder with concrete</t>
  </si>
  <si>
    <t>Тримач дроту пластиковий з бетоном</t>
  </si>
  <si>
    <t>Plastic wire holder with screw and washer</t>
  </si>
  <si>
    <t>Тримач дроту пластиковий з шурупом і
підкладкою</t>
  </si>
  <si>
    <t>Wire holder bracket plate, K-308</t>
  </si>
  <si>
    <t>Пластина-скоба тримача дроту, К-308</t>
  </si>
  <si>
    <t>Screw with expansion dowel, K-904</t>
  </si>
  <si>
    <t>Шуруп з дюбелем розпорним, К-904</t>
  </si>
  <si>
    <t>Connecting terminal C-099</t>
  </si>
  <si>
    <t>Клема зєднувальна С-099</t>
  </si>
  <si>
    <t>Lightning rod exposed on building foundations made of round steel with a diameter of 12 mm</t>
  </si>
  <si>
    <t>Блискавкоприймач вiдкрито по
будiвельних основах з круглої сталi
дiаметром 12 мм</t>
  </si>
  <si>
    <t>Lightning rod with side mount (set), length 3m</t>
  </si>
  <si>
    <t>Блискавкоприймач з боковим кріпленням
(комплект), дл. 3м</t>
  </si>
  <si>
    <t>Box for facade control connection, K-682</t>
  </si>
  <si>
    <t>Коробка для фасадного контрольного
зєднання, К-682</t>
  </si>
  <si>
    <t>Grounding conductor exposed along the building foundations made of steel with a cross section of 160 mm2</t>
  </si>
  <si>
    <t>Провiдник заземлюючий вiдкрито по
будiвельних основах зi штабової сталi
перерiзом 160 мм2</t>
  </si>
  <si>
    <t>Work + materials (price is approximate)</t>
  </si>
  <si>
    <t>Робота + матеріали(ціна орієнтовна)</t>
  </si>
  <si>
    <t>Flat conductor 40x4 hot-dip galvanized</t>
  </si>
  <si>
    <t>Провідник плаский 40х4
гарячецинкований</t>
  </si>
  <si>
    <t>Cross connector for strip C022</t>
  </si>
  <si>
    <t>Злучник для смуги хрестовий С022</t>
  </si>
  <si>
    <t>Control connector, C-032</t>
  </si>
  <si>
    <t>Злучник контрольний, С-032</t>
  </si>
  <si>
    <t>Grounding conductor exposed on building foundations made of round steel with a diameter of 16 mm</t>
  </si>
  <si>
    <t>Провiдник заземлюючий вiдкрито по
будiвельних основах з круглої сталi
дiаметром 16 мм</t>
  </si>
  <si>
    <t>Earthing rod set, d. 16mm, hot-dip galvanized, length 3m</t>
  </si>
  <si>
    <t>Комплект стержневого уземлювача д.
16мм, гарячеоцинкований, дл. 3м</t>
  </si>
  <si>
    <t>Impact nozzle SDS-MAX, G-160</t>
  </si>
  <si>
    <t>Ударна насадка SDS-MAX, G-160</t>
  </si>
  <si>
    <t>Anti-corrosion tape, G-115</t>
  </si>
  <si>
    <t>Антикорозійна стрічка, G-115</t>
  </si>
  <si>
    <t>Metal wire holder FLIP with dowel</t>
  </si>
  <si>
    <t>Тримач дроту металевий FLIP з дюбелем</t>
  </si>
  <si>
    <t>Conductive paste, G-101</t>
  </si>
  <si>
    <t>Струмопровідна паста, G-101</t>
  </si>
  <si>
    <t>Anti-corrosion paste, K-950</t>
  </si>
  <si>
    <t>Антикорозійна паста, К-950</t>
  </si>
  <si>
    <t>Mounting kit</t>
  </si>
  <si>
    <t>Монтажний комплект</t>
  </si>
  <si>
    <t>Smoke protection system</t>
  </si>
  <si>
    <t>Система протидимного захисту</t>
  </si>
  <si>
    <t>PD1 system</t>
  </si>
  <si>
    <t>Система ПД1</t>
  </si>
  <si>
    <t>Installation of axial fans weighing up to 0.1 t</t>
  </si>
  <si>
    <t>Установлення вентиляторів осьових
масою до 0,1 т</t>
  </si>
  <si>
    <t>Axial fan for air supply VO-15-320-5 with electric motor 4/3000 on the support</t>
  </si>
  <si>
    <t>Вентилятор осьовий для підпору повітря ВО-15-320-5 з електродвигуном 4/3000 на опорі</t>
  </si>
  <si>
    <t>insert to the fan VO-15-320-5</t>
  </si>
  <si>
    <t>Гнучка вставка до вентилятора ВО-15-320-5</t>
  </si>
  <si>
    <t>Check valve ∅500</t>
  </si>
  <si>
    <t>Зворотній клапан ∅500</t>
  </si>
  <si>
    <t>Installation of check valves</t>
  </si>
  <si>
    <t>Встановлення зворотних клапанів</t>
  </si>
  <si>
    <t>Anti-vandal air intake mesh ∅500</t>
  </si>
  <si>
    <t>Сітка антивандальна повітрозабірна ∅500</t>
  </si>
  <si>
    <t>Installing smoke exhaust valves</t>
  </si>
  <si>
    <t>Установлення клапанів димовидалення</t>
  </si>
  <si>
    <t>Multileaf air smoke exhaust valve normally closed with an electric drive 220V with one flange, wall valve measuring 850x700(h) mm with a grille KPDV-M-850x700(N)</t>
  </si>
  <si>
    <t>Клапан повітряний димовидалення багатостулчастий нормально закритий з електроприводом 220В з одним фланцем, стіновий розміром 850х700(h) мм з решіткою КПДВ-М-850х700(Н)</t>
  </si>
  <si>
    <t>Installing Overpressure Valves</t>
  </si>
  <si>
    <t>Установлення клапанів надлишкового тиску</t>
  </si>
  <si>
    <t>Overpressure valve with grille OKS-800x450</t>
  </si>
  <si>
    <t>Клапан надлишкового тиску з решіткою ОКС-800х450</t>
  </si>
  <si>
    <t>Установлення грат зовнішніх</t>
  </si>
  <si>
    <t>External grille 800x450</t>
  </si>
  <si>
    <t>Решітка зовнішня 800х450</t>
  </si>
  <si>
    <t>Laying an air duct made of galvanized steel with a thickness of 1.0 mm 800x500</t>
  </si>
  <si>
    <t>Прокладання повітропровіду з оцинкованої сталі товщиною 1,0 мм 800х500</t>
  </si>
  <si>
    <t>1.0 mm thick galvanized steel air duct ∅500</t>
  </si>
  <si>
    <t>Прокладання повітропровіду з оцинкованої сталі товщиною 1,0 мм ∅500</t>
  </si>
  <si>
    <t>PD2 system</t>
  </si>
  <si>
    <t>Система ПД2</t>
  </si>
  <si>
    <t>Axial fan for air supply VO-15-320-6.3 with electric motor 4/3000 on the support</t>
  </si>
  <si>
    <t>Вентилятор осьовий для підпору повітря ВО-15-320-6,3 з електродвигуном 4/3000 на опорі</t>
  </si>
  <si>
    <t>insert to the fan VO-15-320-6,3</t>
  </si>
  <si>
    <t>Гнучка вставка до вентилятора ВО-15-320-6,3</t>
  </si>
  <si>
    <t>Check valve ∅630</t>
  </si>
  <si>
    <t>Зворотній клапан ∅630</t>
  </si>
  <si>
    <t>Installing Check Valves</t>
  </si>
  <si>
    <t>Установлення зворотних клапанів</t>
  </si>
  <si>
    <t>Anti-vandal air intake mesh ∅630</t>
  </si>
  <si>
    <t>Сітка антивандальна повітрозабірна ∅630</t>
  </si>
  <si>
    <t>Overpressure valve with grille OKS-1000x700</t>
  </si>
  <si>
    <t>Клапан надлишкового тиску з решіткою ОКС-1000х700</t>
  </si>
  <si>
    <t>Protective mesh 1200x600</t>
  </si>
  <si>
    <t>Сітка захисна 1200х600</t>
  </si>
  <si>
    <t>Laying an air duct made of galvanized steel with a thickness of 1.0 mm 1200x600</t>
  </si>
  <si>
    <t>Прокладання повітропровіду з оцинкованої сталі товщиною 1,0 мм 1200х600</t>
  </si>
  <si>
    <t>Laying of a 1.0 mm thick galvanized steel air duct ∅630</t>
  </si>
  <si>
    <t>Прокладання повітропровіду з оцинкованої сталі товщиною 1,0 мм ∅630</t>
  </si>
  <si>
    <t>PD3 System</t>
  </si>
  <si>
    <t>Система ПД3</t>
  </si>
  <si>
    <t>Axial fan for air supply VO-15-320-5 with electric motor 3/3000 on the support</t>
  </si>
  <si>
    <t>Вентилятор осьовий для підпору повітря ВО-15-320-5 з електродвигуном 3/3000 на опорі</t>
  </si>
  <si>
    <t>External grille 700x450</t>
  </si>
  <si>
    <t>Решітка зовнішня 700х450</t>
  </si>
  <si>
    <t>Laying an air duct made of galvanized steel with a thickness of 1.0 mm 800x400</t>
  </si>
  <si>
    <t>Прокладання повітропровіду з оцинкованої сталі товщиною 1,0 мм 800х400</t>
  </si>
  <si>
    <t>Laying an air duct made of galvanized steel with a thickness of 1.0 mm 700x450</t>
  </si>
  <si>
    <t>Прокладання повітропровіду з оцинкованої сталі товщиною 1,0 мм 700х450</t>
  </si>
  <si>
    <t>FBG-EI 45 Fire Retardant System</t>
  </si>
  <si>
    <t>Вогнезахисна система FBG-EI 45</t>
  </si>
  <si>
    <t>Glue for fire retardant system</t>
  </si>
  <si>
    <t>Клей для вогнезахисної системи</t>
  </si>
  <si>
    <t>Air duct connection kit ( 4 pcs. M8 nuts, 4 pcs. M8 bolts, 4 pcs)</t>
  </si>
  <si>
    <t>Комплект з'єднання повітропроводів ( 4 шт. гайки М8, 4 шт. болти М8, 4 шт)</t>
  </si>
  <si>
    <t>Basalt sealing cord 6 mm</t>
  </si>
  <si>
    <t>Шнур базальтовий ущільнюючий 6 мм</t>
  </si>
  <si>
    <t>Self-tapping screw for metal</t>
  </si>
  <si>
    <t>Саморіз по металу</t>
  </si>
  <si>
    <t>Bracket with bolt</t>
  </si>
  <si>
    <t>Скоба з болтом</t>
  </si>
  <si>
    <t>Non-flammable mounting silicone</t>
  </si>
  <si>
    <t>Силікон монтажний негорючий</t>
  </si>
  <si>
    <t>ball.</t>
  </si>
  <si>
    <t>Non-flammable polyurethane foam</t>
  </si>
  <si>
    <t>Піна монтажна негорюча</t>
  </si>
  <si>
    <t>0.4mm galvanized steel</t>
  </si>
  <si>
    <t>Оцинкована сталь завтовшки 0,4мм</t>
  </si>
  <si>
    <t>Waterproofing mastic</t>
  </si>
  <si>
    <t>Мастика гідроізоляційна</t>
  </si>
  <si>
    <t>Fan supports</t>
  </si>
  <si>
    <t>Опори під вентилятори</t>
  </si>
  <si>
    <t>Automation of fire protection systems. Equipment, products and materials</t>
  </si>
  <si>
    <t>Автоматизація систем протипожежного захисту. Обладнання, вироби та матеріалів</t>
  </si>
  <si>
    <t>Control device (for 4 rings) PU-P</t>
  </si>
  <si>
    <t>Прилад керування (на 4 кільця) ПУ-П</t>
  </si>
  <si>
    <t>PIU Indication and Control Panel</t>
  </si>
  <si>
    <t>Панель індикації та управління ПІУ</t>
  </si>
  <si>
    <t>Addressable Coordination Block BSA</t>
  </si>
  <si>
    <t>Блок узгодження адресний БСА</t>
  </si>
  <si>
    <t>Addressable switching unit BKA-220</t>
  </si>
  <si>
    <t>Блок комутації адресний БКА-220</t>
  </si>
  <si>
    <t>Air supply fan control cabinet (3 kW, 380V) (according to DBN V.2.5-56:2014)</t>
  </si>
  <si>
    <t>Шафа управління вентилятором підпору повітря (3 кВт, 380V) (відповідно до ДБН В.2.5-56:2014)</t>
  </si>
  <si>
    <t>Air supply fan control cabinet (4 kW, 380V) (according to DBN V.2.5-56:2014)</t>
  </si>
  <si>
    <t>Шафа управління вентилятором підпору повітря (4 кВт, 380V) (відповідно до ДБН В.2.5-56:2014)</t>
  </si>
  <si>
    <t>KROMA Box</t>
  </si>
  <si>
    <t>Коробка КРОМА</t>
  </si>
  <si>
    <t>Junction box DKC 53700</t>
  </si>
  <si>
    <t>Terminal block 12x4</t>
  </si>
  <si>
    <t>Клемна колодка 12х4</t>
  </si>
  <si>
    <t>Cable 1x2x0.8 J-Y(St)Y-Lg</t>
  </si>
  <si>
    <t>Кабель 1х2х0.8 J-Y(St)Y-Lg</t>
  </si>
  <si>
    <t>Cable 1х2х0,8 JE-H(St)H FE180/E30</t>
  </si>
  <si>
    <t>Кабель 1х2х0,8 JE-H(St)H FE180/E30</t>
  </si>
  <si>
    <t>Cable 2х1,5 Flame X950 (N) HXH FE 180/E30</t>
  </si>
  <si>
    <t>Кабель 2х1,5 Flame X950 (N) HXH FE 180/E30</t>
  </si>
  <si>
    <t>Cable 3х1,5 Flame X950 (N) HXH FE 180/E30</t>
  </si>
  <si>
    <t>Кабель 3х1,5 Flame X950 (N) HXH FE 180/E30</t>
  </si>
  <si>
    <t>Монтажний короб 20х40</t>
  </si>
  <si>
    <t>Corrugated sleeve Ø20</t>
  </si>
  <si>
    <t>Гофрорукав Ø20</t>
  </si>
  <si>
    <t>Dowel 6х40 TDN</t>
  </si>
  <si>
    <t>Дюбель 6х40 TDN</t>
  </si>
  <si>
    <t>Саморіз 3.5х35</t>
  </si>
  <si>
    <t>Installation of the PU-P control device</t>
  </si>
  <si>
    <t>Встановлення приладу керування ПУ-П</t>
  </si>
  <si>
    <t>Installing the Display and Control Panel</t>
  </si>
  <si>
    <t>Встановлення панелі індикації та управління</t>
  </si>
  <si>
    <t>Installing the Reconciliation Unit</t>
  </si>
  <si>
    <t>Встановлення блоку узгодження</t>
  </si>
  <si>
    <t>Switching Unit Installation</t>
  </si>
  <si>
    <t>Встановлення блоку комутації</t>
  </si>
  <si>
    <t>Installation of support fan control cabinets</t>
  </si>
  <si>
    <t>Встановлення шаф управління вентиляторами підпору</t>
  </si>
  <si>
    <t>Installing the boxes</t>
  </si>
  <si>
    <t>Встановлення коробок</t>
  </si>
  <si>
    <t>Local estimate 02-01-048 for the installation of a lift</t>
  </si>
  <si>
    <t>Локальний кошторис 02-01-048 на
Влаштування підйомника</t>
  </si>
  <si>
    <t>Розділ 1. Мантажні роботи</t>
  </si>
  <si>
    <t>Installation of a lifting platform with a lifting capa</t>
  </si>
  <si>
    <t>Монтаж площадки підіймальної
вантажопідйомністю 500 кг</t>
  </si>
  <si>
    <t>Local estimate 02-01-049 for a lift for people with reduced mobility</t>
  </si>
  <si>
    <t>Локальний кошторис 02-01-049 на
Підйомника для маломобільних груп
населення</t>
  </si>
  <si>
    <t>Розділ 1. Устаткування,що монтується</t>
  </si>
  <si>
    <t>Passenger lift for people with reduced mobility</t>
  </si>
  <si>
    <t>Підіймач пасажирський для
маломобільних груп населення</t>
  </si>
  <si>
    <t>Local estimate 02-01-050 for the purchase of an elevator</t>
  </si>
  <si>
    <t>Локальний кошторис 02-01-050 на
придбання ліфта</t>
  </si>
  <si>
    <t>Passenger elevator, 630 kg, 3 stops, 1.0 m/s</t>
  </si>
  <si>
    <t>Лiфт пасажирський  в/п 630 кг на 3
зупинки ,1,0м/с</t>
  </si>
  <si>
    <t>Local estimate 02-01-051 for Elevator installation</t>
  </si>
  <si>
    <t>Локальний кошторис 02-01-051 на
Влаштування ліфта</t>
  </si>
  <si>
    <t>Dismantling of interfloor ceilings on wooden beams in brick buildings</t>
  </si>
  <si>
    <t>Розбирання міжповерхових перекриттів
по дерев'яних балках в цегляних будівлях</t>
  </si>
  <si>
    <t>100 м2</t>
  </si>
  <si>
    <t>FOUNDATION</t>
  </si>
  <si>
    <t>ФУНДАМЕНТ</t>
  </si>
  <si>
    <t>Soil development inside the building</t>
  </si>
  <si>
    <t>Розробка ґрунту всерединi будiвлi</t>
  </si>
  <si>
    <t>100 м3</t>
  </si>
  <si>
    <t>Arrangement of the crushed stone sub-bas</t>
  </si>
  <si>
    <t>Улаштування підстильного шару
щебеневого</t>
  </si>
  <si>
    <t>Ready-mixed heavy concrete, concrete class B15 P3</t>
  </si>
  <si>
    <t>Сумiшi бетоннi готовi важкi, клас бетону
В15 Р3</t>
  </si>
  <si>
    <t>Arrangement of flat reinforced concrete foundation slabs</t>
  </si>
  <si>
    <t>Улаштування фундаментних плит
залізобетонних плоских</t>
  </si>
  <si>
    <t>Ready-mixed heavy concrete mixes, concrete class B25 [M200], P3</t>
  </si>
  <si>
    <t>Суміші бетонні готові важкі, клас бетону
В25 [М200], Р3</t>
  </si>
  <si>
    <t>Hot-rolled reinforcing steel of periodic profile, class A-III, diameter 16-18 mm</t>
  </si>
  <si>
    <t>Гарячекатана арматурна сталь
періодичного профілю, клас А-ІІІ, діаметр
16-18 мм</t>
  </si>
  <si>
    <t>Hot-rolled reinforcing steel of periodic profile, class A-III, diameter 12 mm</t>
  </si>
  <si>
    <t>Гарячекатана арматурна сталь
періодичного профілю, клас А-ІІІ, діаметр
12 мм</t>
  </si>
  <si>
    <t>Hot-rolled reinforcing steel, smooth, class A-1, diameter 8 mm</t>
  </si>
  <si>
    <t>Гарячекатана арматурна сталь гладка,
клас А-1, діаметр 8 мм</t>
  </si>
  <si>
    <t>Brickwork of the elevator shaft</t>
  </si>
  <si>
    <t>Мурування з цегли шахти ліфта</t>
  </si>
  <si>
    <t>Section 2. Installation of a 630 kg elevator</t>
  </si>
  <si>
    <t>Розділ 2. Монтаж ліфта 630 кг</t>
  </si>
  <si>
    <t>Installation of a passenger elevator with a cabin speed of up to 1 m/s, a load capacity of 1000 kg, 12 stops, shaft height 44 m</t>
  </si>
  <si>
    <t>Монтаж ліфта пасажирського зі
швидкістю руху кабіни до 1 м/с
вантажопідйомністю 1000 кг на 12
зупинок, висота шахти 44 м</t>
  </si>
  <si>
    <t>lift</t>
  </si>
  <si>
    <t>ліфт</t>
  </si>
  <si>
    <t>For each elevator stop, more or less than specified in the characteristics, add or subtract for passenger elevators with a load capacity of up to 1000 kg</t>
  </si>
  <si>
    <t>За кожну зупинку ліфта, більше або
менше зазначеної в характеристиці,
додавати або зменшувати для ліфтів
пасажирських вантажопідйомністю до
1000 кг</t>
  </si>
  <si>
    <t>halt</t>
  </si>
  <si>
    <t>зупинка</t>
  </si>
  <si>
    <t>For each meter of elevator shaft height, more or less than specified in the characteristics, add or subtract for passenger elevators with a load capacity of up to 1000 kg up to a height of 4 m</t>
  </si>
  <si>
    <t>За кожен метр висоти шахти ліфта,
більше або менше зазначеної в
характеристиці, додавати або
зменшувати для ліфтів пасажирських
вантажопідйомністю до 1000 кг до висоти
4м</t>
  </si>
  <si>
    <t>Local estimate 02-01-052 for the purchase of equipment for the catering unit</t>
  </si>
  <si>
    <t>Локальний кошторис 02-01-052 на
Придбання устаткування для харчоблоку</t>
  </si>
  <si>
    <t>Steam convection oven with 10 levels of boiler type Rational iCombi Pro 10- 1/1</t>
  </si>
  <si>
    <t>Піч пароконвекційна на 10 рівнів
бойлерного типу   Rational iCombi Pro 10-
1/1</t>
  </si>
  <si>
    <t>Rational iVario Pro L Thermal cooking system for boiling, frying, stewing, deep-frying, vacuum cooking, low-temperature cooking. Equipped with one 100 liter crucible, Equipment: Spatula - 1 pc., Rice and pasta basket - 2 pcs., Sieve - 1 pc., Cleaning sponge - 1 pc., Bracket for automatic lifting and lowering device - 1 pc., Grid for the bottom of the crucible - 2 pcs.</t>
  </si>
  <si>
    <t>Rational iVario Pro L Теплова кулінарна
система для  варіння, смаження,
тушкування, приготування у фритюрі, у
вакуумі,    низькотемпературного 
приготування. Обладнаний одним
тигелем на 100 літрів,  Комплектація:
Шпатель - 1 шт., Кошик для рису та   
макароних виробів - 2 шт., Сито - 1 шт.,
Губка для чищення - 1 шт., Кронштейн
для  автоматичного підйомно-опускного
пристрою - 1    шт., Решітка на дно тигля -
 2 шт.</t>
  </si>
  <si>
    <t>Stainless steel trolley for GN 1/1 gastronorm containers on 18 levels (450_613_1895) Bartscher 300181</t>
  </si>
  <si>
    <t>Візок із нержавіючої сталі  під
гастроємності GN 1/1 на 18 рівнів
(450_613_1895) Bartscher 300181</t>
  </si>
  <si>
    <t>Electric stove RM Gastro SPL 780 E Number of burners – 4</t>
  </si>
  <si>
    <t>Плита електрична RM Gastro SPL 780 E
Кількість конфорок – 4</t>
  </si>
  <si>
    <t>Trolley 1/1 GN (without GN containers)</t>
  </si>
  <si>
    <t>Візок 1/1 GN  (без контейнери GN)</t>
  </si>
  <si>
    <t>Single-door refrigerated cabinet Samaref PF 700M TN UA</t>
  </si>
  <si>
    <t>Шафа холодильна однодверна  Samaref
PF 700M TN UA</t>
  </si>
  <si>
    <t>Freezer Samaref PF 700M BT</t>
  </si>
  <si>
    <t>Морозильна шафа  Samaref PF 700M BT</t>
  </si>
  <si>
    <t>Elframo CE 24F VE dome-type dishwasher</t>
  </si>
  <si>
    <t>Посудомийна машина купольного типу
Elframo CE 24F VE</t>
  </si>
  <si>
    <t>Front-type boiler washing machine Elframo LP 61 VE</t>
  </si>
  <si>
    <t>Котломийна машина фронтального типу 
Elframo LP 61 VE</t>
  </si>
  <si>
    <t>Pre-wash module for a dome-type dishwasher made of stainless steel, with a wash basin, side and lower shelf. Dimensions 1200_575_859 mm</t>
  </si>
  <si>
    <t>Модуль попередньої мийки для
посудомийної машини купольного типу з
нержавіючої сталі, з мийної ванною,
бортиком і нижньою   полицею. Габарити
1200_575_859 мм</t>
  </si>
  <si>
    <t>Stainless steel unloading table for a dome-type dishwasher from the bottom. Dimensions 1200_575_852 mm</t>
  </si>
  <si>
    <t>Стіл приставний розвантажувальний для
посудомийної машини купольного типу з
нержавіючої сталі з нижньої. Габарити
1200_575_852   мм</t>
  </si>
  <si>
    <t>Ecosoft FU 1054СI water softening equipment set</t>
  </si>
  <si>
    <t>Комплект обладнання для пом'якшення
води Ecosoft FU 1054СI</t>
  </si>
  <si>
    <t>Sirman UV 16W knife sterilizer or an analogue from another brand</t>
  </si>
  <si>
    <t>Стерилізатор для ножів Sirman UV 16W
або аналог іншого бренду</t>
  </si>
  <si>
    <t>Hendi 281208 egg sterilizer or an analogue of another brand</t>
  </si>
  <si>
    <t>Стерилізатор для яєць   Hendi 281208
або аналог іншого бренду</t>
  </si>
  <si>
    <t>Kitchen scales CAS AD-10</t>
  </si>
  <si>
    <t>Ваги кухонні  CAS AD-10</t>
  </si>
  <si>
    <t>Platform scales CAS DB II-150E</t>
  </si>
  <si>
    <t>Ваги товарні платформені CAS DB II-
150E</t>
  </si>
  <si>
    <t>Spiral dough mixer. Pizza Group IR22</t>
  </si>
  <si>
    <t>Тістоміс спіральний.  Pizza Group IR22</t>
  </si>
  <si>
    <t>Potato peeler for cleaning potatoes and carrots Fimar PPF 10M</t>
  </si>
  <si>
    <t>Картоплечистка для очищення картоплі
та моркви Fimar PPF 10M</t>
  </si>
  <si>
    <t>Electric meat grinder Sirman TC 22</t>
  </si>
  <si>
    <t>М’ясорубка електрична Sirman TC 22</t>
  </si>
  <si>
    <t>Robot Coupe CMP 250 Combi hand mixer</t>
  </si>
  <si>
    <t>Ручний міксер  Robot Coupe CMP 250
Combi</t>
  </si>
  <si>
    <t>Cutter Robot Coupe R 4 (item 22437)</t>
  </si>
  <si>
    <t>Кутер  Robot Coupe R 4 (артикул 22437)</t>
  </si>
  <si>
    <t>Electric vegetable cutter Robot Coupe CL50</t>
  </si>
  <si>
    <t>Овочерізка електрична Robot Coupe CL50</t>
  </si>
  <si>
    <t>Set of discs for the Robot Coupe 1961 vegetable cutter (1 mm slicer disc, 2 mm slicer disc, 4 mm slicer disc, 2 mm grater disc, 10x10x10 mm dicing set, 2.5x2.5 mm straw slicing disc)</t>
  </si>
  <si>
    <t>Комплект дисків для овочерізки  Robot
Coupe 1961 (Диск-слайсер 1 мм Диск-
слайсер 2 мм Диск-слайсер 4 мм Диск-
терка 2 мм  Комплект для нарізки
кубіками 10x10x10 мм Диск для нарізки
соломкою 2,5x2,5 мм)</t>
  </si>
  <si>
    <t>Robot Coupe 28114 Dicing Kit Slicing thickness 20x20x20 mm Includes: grid and slicer</t>
  </si>
  <si>
    <t>Комплект  для нарізки кубіками Robot
Coupe 28114  Товщина нарізки 20x20x20
мм  Комплектація: решітка та слайсер</t>
  </si>
  <si>
    <t>2mm Mashed Potato Set for Robot Coupe 28189 Vegetable Slicer (Wipe Disc Blades Dump Disc Loading Funnel)</t>
  </si>
  <si>
    <t>Набір для картопляного пюре 2мм. для
встановлення на овочерізку  Robot
Coupe 28189 (Диск-протирка Лопасті
Диск-скидач Воронка  для загрузки)</t>
  </si>
  <si>
    <t>Robot Coupe 39881 5, 8 and 10 mm Dicing Grid Cleaning Kit (Double Layer Grid Holder Grid Cleaning Tool Cleaning Tool)</t>
  </si>
  <si>
    <t>Комплект для очистки решіток для
нарізки кубиків 5, 8 і 10 мм Robot Coupe
39881 (Двошаровий тримач для решіток
Інструмент для  очистки решіток
Чистящий інструмент)</t>
  </si>
  <si>
    <t>Marmite for first courses Bartscher 100061</t>
  </si>
  <si>
    <t>Марміт для перших страв Bartscher
100061</t>
  </si>
  <si>
    <t>Marmite Chafing Dish 1/1 GN Bartscher 500830</t>
  </si>
  <si>
    <t>Марміт Chafing Dish 1/1 GN   Bartscher
500830</t>
  </si>
  <si>
    <t>Rolltop Lid for Bartscher cooking pot 500833</t>
  </si>
  <si>
    <t>Rolltop Кришка для марміта  Bartscher
500833</t>
  </si>
  <si>
    <t>Stand for combi steamer with guides 850_700_540</t>
  </si>
  <si>
    <t>Підставка під пароконвектомат з
направляючими 850_700_540</t>
  </si>
  <si>
    <t>Wall-mounted extractor hood with grease trap 1500_1200_300.</t>
  </si>
  <si>
    <t>Зонт витяжний пристінний з
жироулавлювачем 1500_1200_300.</t>
  </si>
  <si>
    <t>Marmite for first courses with one shelf with guides for spreading, 3 burners Efes MSE-1-150</t>
  </si>
  <si>
    <t>Марміт перших страв з однією полицею з
направляючими для розносів, 3
конфорки Ефєс МСЭ-1-150</t>
  </si>
  <si>
    <t>Main course marmite with one shelf with guides for spreading. 1500_700(1000)_900(1300) Efes MSE-2- 150</t>
  </si>
  <si>
    <t>Марміт других страв з однією полицею з
направляючими для розносів.
1500_700(1000)_900(1300) Ефєс МСЭ-2-
150</t>
  </si>
  <si>
    <t>Stainless steel table with side with sink. AISI 201 steel. 1200_700_850. Welded bowl 500_540 depth 300mm. Height-adjustable legs.</t>
  </si>
  <si>
    <t>Стіл з нержавіючої сталі з бортом з
ванною мийною. Сталь марки AISI 201.
1200_700_850. Чаша зварна 500_540
глибина 300мм.   Регульовані по висоті
ніжки.</t>
  </si>
  <si>
    <t>Stainless steel table (AISI 201 grade) with a side and a hole for collecting waste. 1800_700_850</t>
  </si>
  <si>
    <t>Стіл  з нержавіючої сталі (марки AISI
201) з бортом та отвором для збору
відходів.  1800_700_850</t>
  </si>
  <si>
    <t>Stainless steel table (AISI 201 grade) with side and two shelves 1200_700_850</t>
  </si>
  <si>
    <t>Стіл  з нержавіючої сталі (марки AISI
201) з бортом та двома полицями 
1200_700_850</t>
  </si>
  <si>
    <t>Stainless steel sink (AISI 201 grade) double with side 1200_700_850</t>
  </si>
  <si>
    <t>Ванна мийна з нержавіючої сталі (марки
AISI 201) подвійна з бортом
1200_700_850</t>
  </si>
  <si>
    <t>Stainless steel rack (AISI 201 grade) 4-tier for drying dishes with a water collection tray 900_300_1800</t>
  </si>
  <si>
    <t>Стелаж з нержавіючої сталі (марки AISI
201) 4-рівневий для сушки посуду з
піддоном для збору води 900_300_1800</t>
  </si>
  <si>
    <t>Stainless steel sub-tank (AISI 201 grade) 1000_500_230</t>
  </si>
  <si>
    <t>Підтоварник  з нержавіючої сталі (марки
AISI 201) 1000_500_230</t>
  </si>
  <si>
    <t>Stainless steel rack (AISI 201 grade) 4-tier 1600_400_1800</t>
  </si>
  <si>
    <t>Стелаж з нержавіючої сталі (марки AISI
201)  4-рівневий 1600_400_1800</t>
  </si>
  <si>
    <t>Stainless steel rack, 3-tier. AISI 201 steel. 1000x450x1500</t>
  </si>
  <si>
    <t>Стелаж з нержавіючої сталі 3-рівневий.
Сталь марки AISI 201. 1000х450х1500</t>
  </si>
  <si>
    <t>Object estimate 07-01 Improvement</t>
  </si>
  <si>
    <t>Об'єктний кошторис 07-01  Благоустрій</t>
  </si>
  <si>
    <t xml:space="preserve"> ТИП І Конструкція проїзду з плитки ФЕМ                                                      Тротуарна плитка вібропресована -80мм                                                          Гарцовка, марка 100 співвідношення 1:4 (ρ=150кг/м2) -60мм                      Оптимальна щебенево-піщана суміш С7, не укріплена цементом -80мм                                                   Оптимальна щебенево-піщана суміш С5, не укріплена цементом -140мм Ущільнений пісок (ρ=1.63т/м3) -100мм                                                          Ущільнений місцевий грунт</t>
  </si>
  <si>
    <t>Local estimate 07-01-01 for Landscaping within the site</t>
  </si>
  <si>
    <t>Локальний кошторис 07-01-01 на
Благоустрій території в межах ділянки</t>
  </si>
  <si>
    <t>Section 1. Type 1 PEM Coating</t>
  </si>
  <si>
    <t>Розділ 1. Тип 1 ФЕМ покриття</t>
  </si>
  <si>
    <t>Construction of road trough with soil displacement up to a distance of 100m, with a trough depth of up to 500 mm</t>
  </si>
  <si>
    <t>Улаштування дорожніх корит із
переміщенням ґрунту на відстань до 100м при глибині корита до 500 мм</t>
  </si>
  <si>
    <t>Compaction of local soil</t>
  </si>
  <si>
    <t>Ущільнення місцевого ґрунту</t>
  </si>
  <si>
    <t>Construction of a base with compacted sand (ρ=1.63 t/m³)</t>
  </si>
  <si>
    <t>Улаштування основи з ущільненого піску (ρ=1.63 т/м³)</t>
  </si>
  <si>
    <t>Construction of a base with optimal gravel-sand mixture C5, non-cement-reinforced</t>
  </si>
  <si>
    <t>Улаштування основи з оптимальної щебенево-піщаної суміші С5, не укріпленої цементом</t>
  </si>
  <si>
    <t>Gravel-sand mixture C5</t>
  </si>
  <si>
    <t>Щебенево-піщана суміші С5</t>
  </si>
  <si>
    <t>Construction of a base with optimal gravel-sand mixture C7, non-cement-reinforced</t>
  </si>
  <si>
    <t>Улаштування основи з оптимальної щебенево-піщаної суміші С7, не укріпленої цементом</t>
  </si>
  <si>
    <t>Gravel-sand mixture C7</t>
  </si>
  <si>
    <t>Щебенево-піщана суміші С7</t>
  </si>
  <si>
    <t>Construction of a bedding layer (gartsovka), grade 100, ratio 1:4 (ρ=150 kg/m²)</t>
  </si>
  <si>
    <t>Улаштування шару гарцовки, марка 100, співвідношення 1:4 (ρ=150 кг/м²)</t>
  </si>
  <si>
    <t>Bedding mixture (gartsovka), grade 100, ratio 1:4 (ρ=150 kg/m²)</t>
  </si>
  <si>
    <t>Суміш гарцовки, марка 100, співвідношення 1:4 (ρ=150 кг/м²)</t>
  </si>
  <si>
    <t>Laying of vibrated-pressed paving tiles, 80 mm</t>
  </si>
  <si>
    <t>Укладання тротуарної плитки вібропресованої, 80 мм</t>
  </si>
  <si>
    <t>Vibrated-pressed paving tiles, 80 mm</t>
  </si>
  <si>
    <t>Тротуарні плитки вібропресованої, 80 мм</t>
  </si>
  <si>
    <t>Diamond cutting wheel, diameter 230 mm</t>
  </si>
  <si>
    <t>Круг відрізний алмазний діаметром 230 мм</t>
  </si>
  <si>
    <t>Installation of concrete curb stones on a concrete base</t>
  </si>
  <si>
    <t>Установлення бетонних бортових каменів на бетону основу</t>
  </si>
  <si>
    <t>Concrete C8/10</t>
  </si>
  <si>
    <t>Бетон С8/10</t>
  </si>
  <si>
    <t>Curb stone</t>
  </si>
  <si>
    <t xml:space="preserve">Бортовий камінь </t>
  </si>
  <si>
    <t>Filling joints</t>
  </si>
  <si>
    <t>Заповнення швів</t>
  </si>
  <si>
    <t>Section 2. Type 2 for car traffic</t>
  </si>
  <si>
    <t>Розділ 2. Тип 2 для проїзду автомобілів</t>
  </si>
  <si>
    <t>Construction of roadbeds with soil displacement up to 100 m with a bed depth of up to 500 mm</t>
  </si>
  <si>
    <t>Улаштування дорожніх корит із
переміщенням ґрунту на відстань до 100
м при глибині корита до 500 мм</t>
  </si>
  <si>
    <t>Arrangement of leveling layers of the sand base</t>
  </si>
  <si>
    <t>Улаштування вирівнювальних шарів
основи з піску</t>
  </si>
  <si>
    <t>Arrangement of the top layer of a two-layer base of crushed stone with</t>
  </si>
  <si>
    <t>Улаштування верхнього шару
двошарової основи зі щебеню за
товщини 15 см</t>
  </si>
  <si>
    <t>Arrangement of a crushed stone base, for thickness changes for every 1 cm, add or subtract to/from standards 27-13-1 - 27-13-3</t>
  </si>
  <si>
    <t>Улаштування основи зі щебеню, за зміни
товщини на кожен 1 см додавати або
вилучати до/з норм 27-13-1 -  27-13-3</t>
  </si>
  <si>
    <t>Arrangement of the bottom layer of the coating with a thickness of 10 cm from asphalt concrete mixtures by an asphalt paver</t>
  </si>
  <si>
    <t>Улаштування нижнього шару покриття за
товщини 10 см з асфальтобетонних
сумішей асфальтоукладальником за
ширини укладання 9 м</t>
  </si>
  <si>
    <t>Arrangement of the bottom layer of the coating with a thickness of 10 cm from asphalt concrete mixtures by an asphalt paver, for changes in thickness for every 0.5 cm add to the norms 27-26-1 - 27-26-4</t>
  </si>
  <si>
    <t>Улаштування нижнього шару покриття за
товщини 10 см з асфальтобетонних
сумішей асфальтоукладальником, за
зміни товщини на кожні 0,5 см додавати
до норм 27-26-1 - 27-26-4</t>
  </si>
  <si>
    <t>Arrangement of the top layer of asphalt concrete mixtures 5 cm thick with an asphalt paver with a paving width of 9 m</t>
  </si>
  <si>
    <t>Улаштування верхнього шару покриття
товщиною 5 см з асфальтобетонних
сумішей асфальтоукладальником за
ширини укладання 9 м</t>
  </si>
  <si>
    <t>Installation of concrete curbstones on a crushed stone base, with a curb width in the upper part of up to 100 mm</t>
  </si>
  <si>
    <t>Установлення бетонних бортових
каменів на щебеневу основу, за ширини
борту у верхній його частині до 100 мм</t>
  </si>
  <si>
    <t>Side stone BR 100.20.08</t>
  </si>
  <si>
    <t>Бортовий камінь БР 100.20.08</t>
  </si>
  <si>
    <t>Section 3. Type 3 PEM Cover (Above Shelter)</t>
  </si>
  <si>
    <t xml:space="preserve">Розділ 3. Тип 3 ФЕМ покриття </t>
  </si>
  <si>
    <t>ТИП ІІІ Конструкція тротуарів з плитки ФЕМ                                               Тротуарна плитка вібропресована -60мм                                                          Гарцовка, марка 100 співвідношення 1:4 (ρ=150кг/м2) -60мм            Оптимальна щебенево-піщана суміш С7, не укріплена цементом -150мм                     Ущільнений пісок (ρ=1.63т/м3) -150мм                                                           Ущільнений місцевий грунт</t>
  </si>
  <si>
    <t>Construction of a base with optimal gravel-sand mixture C7</t>
  </si>
  <si>
    <t>Section 4. Type 4 Playgrounds and sports grounds</t>
  </si>
  <si>
    <t>Розділ 4. Тип 4 Ігрові та спортивні
майданчики</t>
  </si>
  <si>
    <t xml:space="preserve">ТИП ІV Ігрові та спортивні майданчики                                                                Грунтовка - поліуретановий праймер - 2мм
Поліуретанове спортивне покриття CONIPUR SP - 13мм                            Бетон C20/25, F 100 армований сіткою ∅5 Вр1 чарункою 100х100 мм - 80мм                                                             Оптимальна щебенево-піщана суміш С7, не укріплена цементом -50мм Оптимальна щебенево-піщана суміш С5, не укріплена цементом -100мм Пісок середньої крупності -200мм                                                               Ущільнений місцевий грунт                                                                                                                                 </t>
  </si>
  <si>
    <t>513.65</t>
  </si>
  <si>
    <t>Улаштування дорожніх корит із переміщенням ґрунту на відстань до 100 м при глибині корита до 500 мм</t>
  </si>
  <si>
    <t>Щебенево-піщана суміш С5</t>
  </si>
  <si>
    <t>Щебенево-піщана суміш С7</t>
  </si>
  <si>
    <t>Улаштування Бетону C20/25, F 100 армованого сіткою ∅5 Вр1 чарунок 100х100 мм</t>
  </si>
  <si>
    <t>Бетон C20/25, F 100</t>
  </si>
  <si>
    <t>Сітка ∅5 Вр1 чарунок 100х100 мм</t>
  </si>
  <si>
    <t>Улаштування поліуретанового спортивного покриття CONIPUR SP</t>
  </si>
  <si>
    <t xml:space="preserve">Поліуретанове спортивне покриття CONIPUR SP </t>
  </si>
  <si>
    <t xml:space="preserve">Грунтовання </t>
  </si>
  <si>
    <t>Грунтовка - поліуретанова праймер</t>
  </si>
  <si>
    <t>Установлення бетонних бортових каменів на бетонну С8/10 основу, за ширини борту у верхній його частині до 100 мм</t>
  </si>
  <si>
    <t>Бортовий камінь</t>
  </si>
  <si>
    <t>Section 5. blind area</t>
  </si>
  <si>
    <t>Розділ 5.  відмостка</t>
  </si>
  <si>
    <t>Arrangement of cement concrete pavement with a thickness of 26 cm using a concrete paver with a layi</t>
  </si>
  <si>
    <t>Улаштування цементнобетонного
покриття за товщини 26 см
бетоноукладальником  за ширини
укладання 7 м</t>
  </si>
  <si>
    <t>Film-forming materials for road works PM-100A</t>
  </si>
  <si>
    <t>Плівкоутворювальні матеріали для
дорожніх робіт ПМ-100А</t>
  </si>
  <si>
    <t>Reinforcement of subgrade layers and concrete overlays</t>
  </si>
  <si>
    <t>Армування підстилаючих шарів і
набетонок</t>
  </si>
  <si>
    <t>Arrangement of leveling layers of the base from granu</t>
  </si>
  <si>
    <t>Улаштування вирівнювальних шарів
основи з гранвідсіву</t>
  </si>
  <si>
    <t>Granvidsiv fraction 0-5mm</t>
  </si>
  <si>
    <t>Гранвідсів  фракція 0-5мм</t>
  </si>
  <si>
    <t>Arrangement of a covering of figured paving elements using a ready-made sand-cement mixture of platforms and sidewalks with a width of more than 2 m</t>
  </si>
  <si>
    <t>Улаштування покриття з фігурних
елементів мощення з використанням
готової піщано-цементної суміші
площадок та тротуарів шириною понад 2
м</t>
  </si>
  <si>
    <t>Diamond cutting wheel with a diameter o</t>
  </si>
  <si>
    <t>Круг відрізний алмазний діаметром
230мм</t>
  </si>
  <si>
    <t>Paving slabs, thickness 60 mm</t>
  </si>
  <si>
    <t>Тротуарна  плитка , товщина 60 мм</t>
  </si>
  <si>
    <t xml:space="preserve">Section 5. Type 5 Sports grounds made of sand and gravel materials </t>
  </si>
  <si>
    <t xml:space="preserve">Розділ 5. Тип 5 Спортивні майданчики з піщано-гравійних матеріалів </t>
  </si>
  <si>
    <t>ТИП V Спортивні майданчики з піщано-гравійних матеріалів                             Щебінь фракції 5-20мм (митий відсів) - 40 мм
Щебінь фракції 20-40мм, з розклинюванням
фракцією 5-20мм - 120 мм                                                                                  Геотекстиль
Пісок середньої крупності з пошаровим
ущільненням -150 мм                                                                                 Ущільнений грунт</t>
  </si>
  <si>
    <t>Arrangement of a layer of non-woven synthetic material under a coating of precast reinforced concrete slabs in strips</t>
  </si>
  <si>
    <t>Улаштування  прошарку з нетканого
синтетичного матеріалу під покриттям зі
збірних залізобетонних плит смугами</t>
  </si>
  <si>
    <t>Thermoformed geotextile</t>
  </si>
  <si>
    <t>Геотекстиль</t>
  </si>
  <si>
    <t>Arrangement of the top layer of a two-layer crushed stone base</t>
  </si>
  <si>
    <t>Улаштування верхнього шару
двошарової основи зі щебеню</t>
  </si>
  <si>
    <t>Crushed stone fraction 20-40mm, with wedging fraction 5-20mm</t>
  </si>
  <si>
    <t xml:space="preserve">Щебінь фракції 20-40мм, з розклинюванням
фракцією 5-20мм </t>
  </si>
  <si>
    <t>Arrangement of levelling layers of the base of crushed stone</t>
  </si>
  <si>
    <t>Улаштування вирівнювальних шарів
основи зі щебеню</t>
  </si>
  <si>
    <t>Crushed stone fraction 5-20mm</t>
  </si>
  <si>
    <t>Щебінь фракції 5-20мм</t>
  </si>
  <si>
    <t xml:space="preserve">Section 6. Type 6 Outdoor activity areas made of decking </t>
  </si>
  <si>
    <t xml:space="preserve">Розділ 6. Тип 6 Майданчики для занять на свіжому повітрі з терасної дошки </t>
  </si>
  <si>
    <t>ТИП VІ Майданчики для занять на свіжому повітрі з терасної дошки                  Дерев'яна терасна дошка - 26мм                                                                                Опори (дерев'яні лаги) - 100мм                                                                  Гідроізоляція                                                                                                                     Бетон C20/25, F 100 армований сіткою ∅5 Вр1 чарункою 100х100 мм - 100мм                                                                                                                           Ущільнений місцевий грунт</t>
  </si>
  <si>
    <t xml:space="preserve">Улаштування гідроізоляції </t>
  </si>
  <si>
    <t>Гідроізоляція</t>
  </si>
  <si>
    <t xml:space="preserve">Опори (дерев'яні лаги) - 100мм </t>
  </si>
  <si>
    <t xml:space="preserve">Дерев'яна терасна дошка - 26мм </t>
  </si>
  <si>
    <t>Section 7. Type 7 football field</t>
  </si>
  <si>
    <t>Розділ 7. Тип 7 футбольне поле</t>
  </si>
  <si>
    <t>ТИП VІІ Футбольне поле із штучних матеріалів                                                        Штучна трава, з наповнювачем з гумової крошки -50-65мм                                       Відсів гранітного щебеню фр.1-5мм -50мм                                                                                                                                                                            
Щебінь фракції 20-40мм, з розклинюванням
фракцією 5-20мм - 150 мм                                                                                     Геотекстиль                                                                                                           Ущільнений грунт до Ку 0.95</t>
  </si>
  <si>
    <t>Геотекстиль термофікований</t>
  </si>
  <si>
    <t>Щебінь</t>
  </si>
  <si>
    <t>Granvidsiv fraction</t>
  </si>
  <si>
    <t>Гранвідсів  фракція</t>
  </si>
  <si>
    <t>Installation of polyurethane coating, artificial grass</t>
  </si>
  <si>
    <t>Улаштування поліурітанового покриття,
штучна трава</t>
  </si>
  <si>
    <t>KN-2 adhesive rubber mastic</t>
  </si>
  <si>
    <t>Мастика клеюча каучукова КН-2</t>
  </si>
  <si>
    <t>Polyurethane coating, artificial grass</t>
  </si>
  <si>
    <t>Поліурітанове покриття, штучна трава</t>
  </si>
  <si>
    <t>Polymer-cement putty</t>
  </si>
  <si>
    <t>Шпаклівка полімерцементна</t>
  </si>
  <si>
    <t>Local estimate 07-01-02 for Improvement of the territory outside the site</t>
  </si>
  <si>
    <t>Локальний кошторис 07-01-02 на
Благоустрій території поза межами
ділянки</t>
  </si>
  <si>
    <t>Section 1. Type 2 for car traffic</t>
  </si>
  <si>
    <t>Розділ 1. Тип 2 для проїзду автомобілів</t>
  </si>
  <si>
    <t xml:space="preserve">ТИП ІI Конструкція асфальтобетонного проїзду                                      Асфальтобетон АСГ ДР.Щ на БНД 6090 тип А, марка І 50мм
Розлив бітумної емульсії ЕКМШ-60
Оптимальна щебенево-піщана суміш С7, не укріплена цементом 100мм Оптимальна щебенево-піщана суміш С5, не укріплена цементом 140мм                        Пісок крупний 200мм </t>
  </si>
  <si>
    <t>Улаштування верхнього шару
двошарової основи зі щебеню
товщиною 15 см</t>
  </si>
  <si>
    <t>Section 2. Type 2 PEM Coating</t>
  </si>
  <si>
    <t>Розділ 2. Тип 3 ФЕМ покриття</t>
  </si>
  <si>
    <t>Local estimate 07-01-03 for Greening</t>
  </si>
  <si>
    <t>Локальний кошторис 07-01-03 на
Озеленення</t>
  </si>
  <si>
    <t>Рослинний грунт з посівом багаторічних трав 150мм                                          Місцевий ущільнений грунт Спланована територія 150мм</t>
  </si>
  <si>
    <t>Manual soil preparation for arranging a parterre and regular lawn with the addition of a 15 cm layer of topsoil</t>
  </si>
  <si>
    <t>Підготовлення ґрунту вручну для
влаштування партерного і звичайного
газону з внесенням рослинної землі
шаром 15 см</t>
  </si>
  <si>
    <t>Vegetable soil</t>
  </si>
  <si>
    <t>Земля рослинна</t>
  </si>
  <si>
    <t>For every 5 cm change in the thickness of the top soil layer, add or subtract according to the norms 47-25-3, 47-25-4</t>
  </si>
  <si>
    <t>На кожні 5 см зміни товщини шару
рослинної землі додавати або віднімати
за нормами 47-25-3, 47-25-4</t>
  </si>
  <si>
    <t>Manual sowing of parterre, Moorish and regular lawns</t>
  </si>
  <si>
    <t>Посів газонів партерних, маврітанських
та звичайних вручну</t>
  </si>
  <si>
    <t>Lawn grass seed mixture</t>
  </si>
  <si>
    <t>Суміш насіння газонних трав</t>
  </si>
  <si>
    <t>с</t>
  </si>
  <si>
    <t>ц</t>
  </si>
  <si>
    <t>Manual preparation of standard sites for planting bare-root tree seedlings in natural soil with the addition of up to 50% topsoil</t>
  </si>
  <si>
    <t>Підготовлення вручну стандартних місць
для садіння дерев-саджанців з оголеною
кореневою системою у природному
ґрунті з добавленням рослинної землі до
50%</t>
  </si>
  <si>
    <t>Humus</t>
  </si>
  <si>
    <t>Перегній</t>
  </si>
  <si>
    <t>Planting tree seedlings with a bare root system in pits measuring 0.7x0.7 m</t>
  </si>
  <si>
    <t>Садіння дерев-саджанців з оголеною
кореневою системою в ями розміром 0,
7х0,7 м</t>
  </si>
  <si>
    <t>Chestnut, linden</t>
  </si>
  <si>
    <t>Каштан , липа</t>
  </si>
  <si>
    <t>Manual preparation of standard sites for planting shrubs and seedlings in groups in natural soil with the addition of up to 50% topsoil</t>
  </si>
  <si>
    <t>Підготовлення вручну стандартних місць
для садіння кущів-саджанців у групи у
природному ґрунті з добавленням
рослинної землі до 50%</t>
  </si>
  <si>
    <t>Planting bushes and seedlings in groups in pits measuring 0.5x0.5 m</t>
  </si>
  <si>
    <t>Садіння кущів-саджанців у групи в ями
розміром 0,5х0,5 м</t>
  </si>
  <si>
    <t>Evergreen boxwood</t>
  </si>
  <si>
    <t>Самшит вічнозелений</t>
  </si>
  <si>
    <t>Local estimate 07-01-04 on Ogorozh</t>
  </si>
  <si>
    <t>Локальний кошторис 07-01-04 на Огорожа</t>
  </si>
  <si>
    <t>Installation of a metal fence made of mesh panels on reinforced concrete posts without a base, up to 2.2 m high</t>
  </si>
  <si>
    <t>Установлення металевої огорожі з
сітчастих панелей по залізобетонних
стовпах без цоколя, висотою до 2,2 м</t>
  </si>
  <si>
    <t>Metal structures</t>
  </si>
  <si>
    <t>Металеві конструкції</t>
  </si>
  <si>
    <t xml:space="preserve"> t</t>
  </si>
  <si>
    <t>Oil painting with whitewash and adding color to grilles, frames, pipes with a diameter of less than 50 mm, etc. in two times</t>
  </si>
  <si>
    <t>Олійне фарбування білилами з
додаванням кольору грат, рам, труб
діаметром менше 50 мм тощо за два рази</t>
  </si>
  <si>
    <t>Installation of double-leaf gates with installation of metal posts</t>
  </si>
  <si>
    <t>Улаштування воріт двостулкових з
установленням металевих стовпів</t>
  </si>
  <si>
    <t>Installation of gates with installation of metal posts</t>
  </si>
  <si>
    <t>Улаштування хвірток з установленням
стовпів металевих</t>
  </si>
  <si>
    <t>Metal panels 2.5x2 complete with posts</t>
  </si>
  <si>
    <t>Панелі металеві 2,5х2 в комплекті зі
стовпчиками</t>
  </si>
  <si>
    <t>Metal panels 2.5x8 complete with posts</t>
  </si>
  <si>
    <t>Панелі металеві 2,5х8 в комплекті зі
стовпчиками</t>
  </si>
  <si>
    <t>Kits of components</t>
  </si>
  <si>
    <t>Комплекти елементів кпіплення</t>
  </si>
  <si>
    <t>Local estimate 07-01-05 on IAF</t>
  </si>
  <si>
    <t>Локальний кошторис 07-01-05 на МАФ</t>
  </si>
  <si>
    <t>Спортивне обладнання 7шт
14 Велопарковка 6шт
15 Ворота футлольні 2шт
16 Стійка баскетбольна 2шт
17 Стійка волейбольна 2шт
18 Навіс тіньовий 11,0х11,0м 3шт
19 Стіл з лавами 12шт
20 Лава з рослинністю 9шт
21 Навіс тіньовий 3,0х10,0м 1шт
22 Грядка дерев'яна 4,0х1,0х0,3м 6шт
23 Конетйнер для сміття 6шт
24 Посадка дерев 47шт
25 Посадка чагарників 1126шт</t>
  </si>
  <si>
    <t>Garden and park bench</t>
  </si>
  <si>
    <t>Лавка садово-паркова</t>
  </si>
  <si>
    <t>Urn</t>
  </si>
  <si>
    <t>Урна</t>
  </si>
  <si>
    <t>Street sports complex</t>
  </si>
  <si>
    <t>Спортивне обладнання</t>
  </si>
  <si>
    <t>Portable bicycle parkig</t>
  </si>
  <si>
    <t>Велопарковка</t>
  </si>
  <si>
    <t>Exercise bik</t>
  </si>
  <si>
    <t>Велотранажер</t>
  </si>
  <si>
    <t>Stepper</t>
  </si>
  <si>
    <t>Степпер</t>
  </si>
  <si>
    <t>Concrete hemispheres SB-5</t>
  </si>
  <si>
    <t>Бетонні півсфери СБ-5</t>
  </si>
  <si>
    <t xml:space="preserve">Ворота футлольні </t>
  </si>
  <si>
    <t xml:space="preserve">Ворота футбольні </t>
  </si>
  <si>
    <t xml:space="preserve">Стійка баскетбольна </t>
  </si>
  <si>
    <t>Стійка волейбольна</t>
  </si>
  <si>
    <t>Навіс тіньовий 11,0х11,0м</t>
  </si>
  <si>
    <t>Стіл з лавами</t>
  </si>
  <si>
    <t>Лава з рослинністю</t>
  </si>
  <si>
    <t xml:space="preserve">Навіс тіньовий 3,0х10,0м </t>
  </si>
  <si>
    <t>Грядка дерев'яна 4,0х1,0х0,3м</t>
  </si>
  <si>
    <t xml:space="preserve">Конетйнер для сміття </t>
  </si>
  <si>
    <r>
      <rPr>
        <b/>
        <sz val="11"/>
        <color indexed="8"/>
        <rFont val="Arial Cyr"/>
        <charset val="134"/>
      </rPr>
      <t>Total cost</t>
    </r>
    <r>
      <rPr>
        <b/>
        <sz val="10"/>
        <color indexed="8"/>
        <rFont val="Arial Cyr"/>
        <charset val="134"/>
      </rPr>
      <t>, VAT exclusive</t>
    </r>
  </si>
  <si>
    <t xml:space="preserve">Разом вартість, без пдв </t>
  </si>
  <si>
    <r>
      <rPr>
        <b/>
        <sz val="11"/>
        <color indexed="8"/>
        <rFont val="Arial Cyr"/>
        <charset val="134"/>
      </rPr>
      <t xml:space="preserve">VAT- </t>
    </r>
    <r>
      <rPr>
        <b/>
        <sz val="10"/>
        <color indexed="8"/>
        <rFont val="Calibri"/>
        <family val="2"/>
        <scheme val="minor"/>
      </rPr>
      <t xml:space="preserve"> %</t>
    </r>
  </si>
  <si>
    <t>VAT</t>
  </si>
  <si>
    <t xml:space="preserve">ПДВ </t>
  </si>
  <si>
    <r>
      <rPr>
        <b/>
        <sz val="11"/>
        <color indexed="8"/>
        <rFont val="Arial Cyr"/>
        <charset val="134"/>
      </rPr>
      <t>Total cost including VAT</t>
    </r>
    <r>
      <rPr>
        <b/>
        <sz val="10"/>
        <color indexed="8"/>
        <rFont val="Calibri"/>
        <family val="2"/>
        <scheme val="minor"/>
      </rPr>
      <t xml:space="preserve"> </t>
    </r>
  </si>
  <si>
    <t xml:space="preserve">Всьго вартість з врахуванням ПДВ </t>
  </si>
  <si>
    <t>* the cost of work should include all the necessary technical, organizational, and technological costs required to perform the scope of work according to the project documentation
* Consider references to a specific trade mark or firm, patent, design or type of the procurement item, its source of origin or manufacturer, specified in the technical task, as containing the expression "or equivalent".</t>
  </si>
  <si>
    <t>* у вартість робіт мають входити всі необхідні технічні та організаційно-технологічні витрати, необхідні для виконання обсягу робіт згідно проєктної документації
* Вважати зазначені у технічному завданні посилання на конкретні торгівельну марку чи фірму, патент, конструкцію або тип предмета закупівлі, джерело його походження або виробника такими, що містять вираз «або еквівалент».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</si>
</sst>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\ _₴"/>
    <numFmt numFmtId="166" formatCode="#,##0.00\ [$€-1]"/>
  </numFmts>
  <fonts count="34">
    <font>
      <sz val="10"/>
      <color rgb="FF000000"/>
      <name val="Calibri"/>
      <charset val="204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i/>
      <sz val="10"/>
      <color theme="1"/>
      <name val="Times New Roman"/>
      <family val="1"/>
    </font>
    <font>
      <b/>
      <i/>
      <sz val="10"/>
      <name val="Times New Roman"/>
      <family val="1"/>
    </font>
    <font>
      <sz val="10"/>
      <color rgb="FF000000"/>
      <name val="Times New Roman"/>
      <family val="1"/>
    </font>
    <font>
      <b/>
      <u/>
      <sz val="10"/>
      <name val="Times New Roman"/>
      <family val="1"/>
    </font>
    <font>
      <b/>
      <u/>
      <sz val="10"/>
      <color rgb="FF000000"/>
      <name val="Times New Roman"/>
      <family val="1"/>
    </font>
    <font>
      <u/>
      <sz val="10"/>
      <name val="Times New Roman"/>
      <family val="1"/>
    </font>
    <font>
      <u/>
      <sz val="10"/>
      <color rgb="FF00000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00B050"/>
      <name val="Times New Roman"/>
      <family val="1"/>
    </font>
    <font>
      <sz val="10"/>
      <color theme="1"/>
      <name val="Arimo"/>
      <charset val="134"/>
    </font>
    <font>
      <sz val="10"/>
      <color rgb="FF1B1C1D"/>
      <name val="Arial"/>
      <family val="2"/>
    </font>
    <font>
      <sz val="8"/>
      <color rgb="FF1B1C1D"/>
      <name val="Arial"/>
      <family val="2"/>
    </font>
    <font>
      <b/>
      <sz val="10"/>
      <color indexed="8"/>
      <name val="Arial Cyr"/>
      <charset val="134"/>
    </font>
    <font>
      <b/>
      <sz val="10"/>
      <color indexed="8"/>
      <name val="Calibri"/>
      <family val="2"/>
      <scheme val="minor"/>
    </font>
    <font>
      <b/>
      <sz val="11"/>
      <color indexed="8"/>
      <name val="Arial Cyr"/>
      <charset val="134"/>
    </font>
    <font>
      <sz val="10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</font>
    <font>
      <sz val="10"/>
      <color rgb="FF00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i/>
      <sz val="10"/>
      <color theme="0"/>
      <name val="Calibri"/>
      <family val="2"/>
    </font>
    <font>
      <b/>
      <i/>
      <u/>
      <sz val="10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FFF2CC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27" fillId="0" borderId="0"/>
    <xf numFmtId="0" fontId="28" fillId="0" borderId="0"/>
    <xf numFmtId="0" fontId="26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39" fontId="14" fillId="0" borderId="2" xfId="0" applyNumberFormat="1" applyFont="1" applyBorder="1" applyAlignment="1" applyProtection="1">
      <alignment horizontal="right" vertical="top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39" fontId="14" fillId="0" borderId="2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3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2" fillId="0" borderId="0" xfId="0" applyFont="1" applyAlignment="1">
      <alignment wrapText="1"/>
    </xf>
    <xf numFmtId="0" fontId="15" fillId="2" borderId="0" xfId="0" applyFont="1" applyFill="1" applyAlignment="1">
      <alignment vertical="center"/>
    </xf>
    <xf numFmtId="0" fontId="0" fillId="2" borderId="0" xfId="0" applyFill="1"/>
    <xf numFmtId="0" fontId="12" fillId="0" borderId="3" xfId="0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/>
    <xf numFmtId="0" fontId="8" fillId="2" borderId="0" xfId="0" applyFont="1" applyFill="1" applyAlignment="1">
      <alignment vertical="center"/>
    </xf>
    <xf numFmtId="0" fontId="17" fillId="0" borderId="0" xfId="0" applyFont="1" applyAlignment="1">
      <alignment horizontal="right" vertical="center" wrapText="1"/>
    </xf>
    <xf numFmtId="0" fontId="13" fillId="0" borderId="4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/>
    <xf numFmtId="0" fontId="8" fillId="0" borderId="0" xfId="0" applyFont="1"/>
    <xf numFmtId="39" fontId="14" fillId="0" borderId="2" xfId="0" applyNumberFormat="1" applyFont="1" applyBorder="1" applyAlignment="1" applyProtection="1">
      <alignment vertical="top" wrapText="1"/>
      <protection locked="0"/>
    </xf>
    <xf numFmtId="16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top"/>
    </xf>
    <xf numFmtId="0" fontId="13" fillId="0" borderId="5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5" xfId="0" applyFont="1" applyBorder="1" applyAlignment="1">
      <alignment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164" fontId="18" fillId="0" borderId="1" xfId="0" applyNumberFormat="1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164" fontId="18" fillId="0" borderId="3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/>
    </xf>
    <xf numFmtId="164" fontId="18" fillId="0" borderId="5" xfId="0" applyNumberFormat="1" applyFont="1" applyBorder="1" applyAlignment="1">
      <alignment vertical="center"/>
    </xf>
    <xf numFmtId="0" fontId="19" fillId="0" borderId="0" xfId="0" applyFont="1" applyAlignment="1">
      <alignment wrapText="1" readingOrder="1"/>
    </xf>
    <xf numFmtId="0" fontId="20" fillId="0" borderId="0" xfId="0" applyFont="1" applyAlignment="1">
      <alignment wrapText="1" readingOrder="1"/>
    </xf>
    <xf numFmtId="3" fontId="20" fillId="0" borderId="0" xfId="0" applyNumberFormat="1" applyFont="1" applyAlignment="1">
      <alignment wrapText="1" readingOrder="1"/>
    </xf>
    <xf numFmtId="0" fontId="8" fillId="0" borderId="0" xfId="0" applyFont="1" applyAlignment="1">
      <alignment vertical="center" wrapText="1"/>
    </xf>
    <xf numFmtId="0" fontId="13" fillId="0" borderId="3" xfId="0" applyFont="1" applyBorder="1" applyAlignment="1">
      <alignment vertical="center" wrapText="1"/>
    </xf>
    <xf numFmtId="165" fontId="22" fillId="0" borderId="13" xfId="0" applyNumberFormat="1" applyFont="1" applyBorder="1" applyAlignment="1">
      <alignment horizontal="right" vertical="center" wrapText="1"/>
    </xf>
    <xf numFmtId="165" fontId="22" fillId="0" borderId="17" xfId="0" applyNumberFormat="1" applyFont="1" applyBorder="1" applyAlignment="1">
      <alignment horizontal="right" vertical="center" wrapText="1"/>
    </xf>
    <xf numFmtId="165" fontId="22" fillId="0" borderId="21" xfId="0" applyNumberFormat="1" applyFont="1" applyBorder="1" applyAlignment="1">
      <alignment horizontal="right" vertical="center" wrapText="1"/>
    </xf>
    <xf numFmtId="0" fontId="24" fillId="0" borderId="0" xfId="0" applyFont="1" applyAlignment="1">
      <alignment vertical="top" wrapText="1"/>
    </xf>
    <xf numFmtId="165" fontId="14" fillId="0" borderId="22" xfId="0" applyNumberFormat="1" applyFont="1" applyBorder="1" applyAlignment="1">
      <alignment horizontal="right" vertical="top" wrapText="1"/>
    </xf>
    <xf numFmtId="165" fontId="22" fillId="0" borderId="23" xfId="0" applyNumberFormat="1" applyFont="1" applyBorder="1" applyAlignment="1">
      <alignment horizontal="right" vertical="center" wrapText="1"/>
    </xf>
    <xf numFmtId="165" fontId="14" fillId="0" borderId="23" xfId="0" applyNumberFormat="1" applyFont="1" applyBorder="1" applyAlignment="1">
      <alignment horizontal="right" vertical="top" wrapText="1"/>
    </xf>
    <xf numFmtId="165" fontId="25" fillId="0" borderId="24" xfId="0" applyNumberFormat="1" applyFont="1" applyBorder="1" applyAlignment="1">
      <alignment horizontal="right" vertical="top" wrapText="1"/>
    </xf>
    <xf numFmtId="39" fontId="0" fillId="0" borderId="0" xfId="0" applyNumberFormat="1"/>
    <xf numFmtId="0" fontId="29" fillId="0" borderId="0" xfId="0" applyFont="1"/>
    <xf numFmtId="4" fontId="31" fillId="4" borderId="2" xfId="0" applyNumberFormat="1" applyFont="1" applyFill="1" applyBorder="1" applyAlignment="1">
      <alignment horizontal="center" vertical="top" wrapText="1"/>
    </xf>
    <xf numFmtId="0" fontId="31" fillId="4" borderId="2" xfId="0" applyFont="1" applyFill="1" applyBorder="1" applyAlignment="1">
      <alignment horizontal="center" vertical="top" wrapText="1"/>
    </xf>
    <xf numFmtId="164" fontId="31" fillId="4" borderId="2" xfId="0" applyNumberFormat="1" applyFont="1" applyFill="1" applyBorder="1" applyAlignment="1">
      <alignment horizontal="right" vertical="top" wrapText="1"/>
    </xf>
    <xf numFmtId="0" fontId="33" fillId="3" borderId="16" xfId="0" applyFont="1" applyFill="1" applyBorder="1" applyAlignment="1">
      <alignment horizontal="left" vertical="top" wrapText="1"/>
    </xf>
    <xf numFmtId="2" fontId="33" fillId="3" borderId="16" xfId="0" applyNumberFormat="1" applyFont="1" applyFill="1" applyBorder="1" applyAlignment="1">
      <alignment horizontal="right" vertical="top" wrapText="1"/>
    </xf>
    <xf numFmtId="0" fontId="0" fillId="0" borderId="0" xfId="0"/>
    <xf numFmtId="0" fontId="29" fillId="3" borderId="0" xfId="0" applyFont="1" applyFill="1"/>
    <xf numFmtId="0" fontId="32" fillId="3" borderId="16" xfId="0" applyFont="1" applyFill="1" applyBorder="1" applyAlignment="1">
      <alignment horizontal="center" vertical="top"/>
    </xf>
    <xf numFmtId="0" fontId="33" fillId="3" borderId="16" xfId="0" applyFont="1" applyFill="1" applyBorder="1" applyAlignment="1">
      <alignment horizontal="center" vertical="top" wrapText="1"/>
    </xf>
    <xf numFmtId="166" fontId="29" fillId="3" borderId="0" xfId="0" applyNumberFormat="1" applyFont="1" applyFill="1"/>
    <xf numFmtId="0" fontId="30" fillId="3" borderId="0" xfId="0" applyFont="1" applyFill="1"/>
    <xf numFmtId="0" fontId="3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/>
    <xf numFmtId="165" fontId="21" fillId="0" borderId="10" xfId="0" applyNumberFormat="1" applyFont="1" applyBorder="1" applyAlignment="1">
      <alignment horizontal="right" vertical="center" wrapText="1"/>
    </xf>
    <xf numFmtId="165" fontId="22" fillId="0" borderId="11" xfId="0" applyNumberFormat="1" applyFont="1" applyBorder="1" applyAlignment="1">
      <alignment horizontal="right" vertical="center" wrapText="1"/>
    </xf>
    <xf numFmtId="165" fontId="22" fillId="0" borderId="12" xfId="0" applyNumberFormat="1" applyFont="1" applyBorder="1" applyAlignment="1">
      <alignment horizontal="right" vertical="center" wrapText="1"/>
    </xf>
    <xf numFmtId="165" fontId="22" fillId="0" borderId="14" xfId="0" applyNumberFormat="1" applyFont="1" applyBorder="1" applyAlignment="1">
      <alignment horizontal="right" vertical="center" wrapText="1"/>
    </xf>
    <xf numFmtId="165" fontId="22" fillId="0" borderId="15" xfId="0" applyNumberFormat="1" applyFont="1" applyBorder="1" applyAlignment="1">
      <alignment horizontal="right" vertical="center" wrapText="1"/>
    </xf>
    <xf numFmtId="165" fontId="22" fillId="0" borderId="16" xfId="0" applyNumberFormat="1" applyFont="1" applyBorder="1" applyAlignment="1">
      <alignment horizontal="right" vertical="center" wrapText="1"/>
    </xf>
    <xf numFmtId="165" fontId="23" fillId="0" borderId="14" xfId="0" applyNumberFormat="1" applyFont="1" applyBorder="1" applyAlignment="1">
      <alignment horizontal="right" vertical="center" wrapText="1"/>
    </xf>
    <xf numFmtId="165" fontId="22" fillId="0" borderId="18" xfId="0" applyNumberFormat="1" applyFont="1" applyBorder="1" applyAlignment="1">
      <alignment horizontal="right" vertical="center" wrapText="1"/>
    </xf>
    <xf numFmtId="165" fontId="22" fillId="0" borderId="19" xfId="0" applyNumberFormat="1" applyFont="1" applyBorder="1" applyAlignment="1">
      <alignment horizontal="right" vertical="center" wrapText="1"/>
    </xf>
    <xf numFmtId="165" fontId="22" fillId="0" borderId="20" xfId="0" applyNumberFormat="1" applyFont="1" applyBorder="1" applyAlignment="1">
      <alignment horizontal="right" vertical="center" wrapText="1"/>
    </xf>
  </cellXfs>
  <cellStyles count="4">
    <cellStyle name="Normal 2" xfId="1" xr:uid="{00000000-0005-0000-0000-000000000000}"/>
    <cellStyle name="Normal 3" xfId="2" xr:uid="{00000000-0005-0000-0000-000001000000}"/>
    <cellStyle name="Standard 3 2" xfId="3" xr:uid="{00000000-0005-0000-0000-000002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B1:F29"/>
  <sheetViews>
    <sheetView showGridLines="0" tabSelected="1" zoomScale="120" zoomScaleNormal="120" zoomScaleSheetLayoutView="130" workbookViewId="0">
      <selection activeCell="I5" sqref="I5"/>
    </sheetView>
  </sheetViews>
  <sheetFormatPr defaultColWidth="14.44140625" defaultRowHeight="13.8"/>
  <cols>
    <col min="1" max="1" width="9.109375" style="117" customWidth="1"/>
    <col min="2" max="2" width="6.5546875" style="117" customWidth="1"/>
    <col min="3" max="3" width="46.33203125" style="117" customWidth="1"/>
    <col min="4" max="4" width="8.5546875" style="117" customWidth="1"/>
    <col min="5" max="5" width="7.109375" style="3" customWidth="1"/>
    <col min="6" max="16384" width="14.44140625" style="117"/>
  </cols>
  <sheetData>
    <row r="1" spans="2:6" s="111" customFormat="1" ht="55.2">
      <c r="B1" s="112" t="s">
        <v>0</v>
      </c>
      <c r="C1" s="113" t="s">
        <v>2</v>
      </c>
      <c r="D1" s="112" t="s">
        <v>3</v>
      </c>
      <c r="E1" s="114" t="s">
        <v>4</v>
      </c>
    </row>
    <row r="2" spans="2:6" s="118" customFormat="1" ht="27.6">
      <c r="B2" s="119">
        <f>IF(ISBLANK(E2), "", MAX(B$1:B1) + 1)</f>
        <v>1</v>
      </c>
      <c r="C2" s="115" t="s">
        <v>7</v>
      </c>
      <c r="D2" s="120" t="s">
        <v>9</v>
      </c>
      <c r="E2" s="116">
        <v>218</v>
      </c>
      <c r="F2" s="121"/>
    </row>
    <row r="3" spans="2:6" s="118" customFormat="1">
      <c r="B3" s="119">
        <f>IF(ISBLANK(E3), "", MAX(B$1:B2) + 1)</f>
        <v>2</v>
      </c>
      <c r="C3" s="115" t="s">
        <v>10</v>
      </c>
      <c r="D3" s="120" t="s">
        <v>9</v>
      </c>
      <c r="E3" s="116">
        <v>152</v>
      </c>
      <c r="F3" s="121"/>
    </row>
    <row r="4" spans="2:6" s="118" customFormat="1">
      <c r="B4" s="119">
        <f>IF(ISBLANK(E4), "", MAX(B$1:B3) + 1)</f>
        <v>3</v>
      </c>
      <c r="C4" s="115" t="s">
        <v>11</v>
      </c>
      <c r="D4" s="120" t="s">
        <v>9</v>
      </c>
      <c r="E4" s="116">
        <v>50</v>
      </c>
      <c r="F4" s="121"/>
    </row>
    <row r="5" spans="2:6" s="118" customFormat="1">
      <c r="B5" s="119">
        <f>IF(ISBLANK(E5), "", MAX(B$1:B4) + 1)</f>
        <v>4</v>
      </c>
      <c r="C5" s="115" t="s">
        <v>12</v>
      </c>
      <c r="D5" s="120" t="s">
        <v>9</v>
      </c>
      <c r="E5" s="116">
        <v>50</v>
      </c>
      <c r="F5" s="121"/>
    </row>
    <row r="6" spans="2:6" s="118" customFormat="1">
      <c r="B6" s="119">
        <f>IF(ISBLANK(E6), "", MAX(B$1:B5) + 1)</f>
        <v>5</v>
      </c>
      <c r="C6" s="115" t="s">
        <v>13</v>
      </c>
      <c r="D6" s="120" t="s">
        <v>14</v>
      </c>
      <c r="E6" s="116">
        <v>12.768000000000001</v>
      </c>
      <c r="F6" s="121"/>
    </row>
    <row r="7" spans="2:6" s="118" customFormat="1">
      <c r="B7" s="119">
        <f>IF(ISBLANK(E7), "", MAX(B$1:B6) + 1)</f>
        <v>6</v>
      </c>
      <c r="C7" s="115" t="s">
        <v>15</v>
      </c>
      <c r="D7" s="120" t="s">
        <v>14</v>
      </c>
      <c r="E7" s="116">
        <v>14</v>
      </c>
      <c r="F7" s="121"/>
    </row>
    <row r="8" spans="2:6" s="122" customFormat="1" ht="27.6">
      <c r="B8" s="119">
        <f>IF(ISBLANK(E8), "", MAX(B$1:B7) + 1)</f>
        <v>7</v>
      </c>
      <c r="C8" s="115" t="s">
        <v>16</v>
      </c>
      <c r="D8" s="120" t="s">
        <v>18</v>
      </c>
      <c r="E8" s="116">
        <v>9</v>
      </c>
      <c r="F8" s="121"/>
    </row>
    <row r="9" spans="2:6" s="122" customFormat="1" ht="27.6">
      <c r="B9" s="119">
        <f>IF(ISBLANK(E9), "", MAX(B$1:B8) + 1)</f>
        <v>8</v>
      </c>
      <c r="C9" s="115" t="s">
        <v>19</v>
      </c>
      <c r="D9" s="120" t="s">
        <v>6</v>
      </c>
      <c r="E9" s="116">
        <v>31</v>
      </c>
      <c r="F9" s="121"/>
    </row>
    <row r="10" spans="2:6" s="122" customFormat="1">
      <c r="B10" s="119">
        <f>IF(ISBLANK(E10), "", MAX(B$1:B9) + 1)</f>
        <v>9</v>
      </c>
      <c r="C10" s="115" t="s">
        <v>20</v>
      </c>
      <c r="D10" s="120" t="s">
        <v>21</v>
      </c>
      <c r="E10" s="116">
        <v>60</v>
      </c>
      <c r="F10" s="121"/>
    </row>
    <row r="11" spans="2:6" s="122" customFormat="1" ht="27.6">
      <c r="B11" s="119">
        <f>IF(ISBLANK(E11), "", MAX(B$1:B10) + 1)</f>
        <v>10</v>
      </c>
      <c r="C11" s="115" t="s">
        <v>22</v>
      </c>
      <c r="D11" s="120" t="s">
        <v>21</v>
      </c>
      <c r="E11" s="116">
        <v>200</v>
      </c>
      <c r="F11" s="121"/>
    </row>
    <row r="12" spans="2:6" s="122" customFormat="1" ht="27.6">
      <c r="B12" s="119">
        <f>IF(ISBLANK(E12), "", MAX(B$1:B11) + 1)</f>
        <v>11</v>
      </c>
      <c r="C12" s="115" t="s">
        <v>23</v>
      </c>
      <c r="D12" s="120" t="s">
        <v>21</v>
      </c>
      <c r="E12" s="116">
        <v>120</v>
      </c>
      <c r="F12" s="121"/>
    </row>
    <row r="13" spans="2:6" s="122" customFormat="1">
      <c r="B13" s="119">
        <f>IF(ISBLANK(E13), "", MAX(B$1:B12) + 1)</f>
        <v>12</v>
      </c>
      <c r="C13" s="115" t="s">
        <v>24</v>
      </c>
      <c r="D13" s="120" t="s">
        <v>26</v>
      </c>
      <c r="E13" s="116">
        <v>400</v>
      </c>
      <c r="F13" s="121"/>
    </row>
    <row r="14" spans="2:6" s="122" customFormat="1">
      <c r="B14" s="119">
        <f>IF(ISBLANK(E14), "", MAX(B$1:B13) + 1)</f>
        <v>13</v>
      </c>
      <c r="C14" s="115" t="s">
        <v>27</v>
      </c>
      <c r="D14" s="120" t="s">
        <v>26</v>
      </c>
      <c r="E14" s="116">
        <v>40</v>
      </c>
      <c r="F14" s="121"/>
    </row>
    <row r="15" spans="2:6" s="122" customFormat="1">
      <c r="B15" s="119">
        <f>IF(ISBLANK(E15), "", MAX(B$1:B14) + 1)</f>
        <v>14</v>
      </c>
      <c r="C15" s="115" t="s">
        <v>28</v>
      </c>
      <c r="D15" s="120" t="s">
        <v>26</v>
      </c>
      <c r="E15" s="116">
        <v>80</v>
      </c>
      <c r="F15" s="121"/>
    </row>
    <row r="16" spans="2:6" s="122" customFormat="1">
      <c r="B16" s="119">
        <f>IF(ISBLANK(E16), "", MAX(B$1:B15) + 1)</f>
        <v>15</v>
      </c>
      <c r="C16" s="115" t="s">
        <v>29</v>
      </c>
      <c r="D16" s="120" t="s">
        <v>26</v>
      </c>
      <c r="E16" s="116">
        <v>30</v>
      </c>
      <c r="F16" s="121"/>
    </row>
    <row r="17" spans="2:6" s="122" customFormat="1">
      <c r="B17" s="119">
        <f>IF(ISBLANK(E17), "", MAX(B$1:B16) + 1)</f>
        <v>16</v>
      </c>
      <c r="C17" s="115" t="s">
        <v>30</v>
      </c>
      <c r="D17" s="120" t="s">
        <v>9</v>
      </c>
      <c r="E17" s="116">
        <v>100</v>
      </c>
      <c r="F17" s="121"/>
    </row>
    <row r="18" spans="2:6" s="122" customFormat="1">
      <c r="B18" s="119">
        <f>IF(ISBLANK(E18), "", MAX(B$1:B17) + 1)</f>
        <v>17</v>
      </c>
      <c r="C18" s="115" t="s">
        <v>31</v>
      </c>
      <c r="D18" s="120" t="s">
        <v>6</v>
      </c>
      <c r="E18" s="116">
        <v>20</v>
      </c>
      <c r="F18" s="121"/>
    </row>
    <row r="19" spans="2:6" s="122" customFormat="1">
      <c r="B19" s="119">
        <f>IF(ISBLANK(E19), "", MAX(B$1:B18) + 1)</f>
        <v>18</v>
      </c>
      <c r="C19" s="115" t="s">
        <v>32</v>
      </c>
      <c r="D19" s="120" t="s">
        <v>6</v>
      </c>
      <c r="E19" s="116">
        <v>65</v>
      </c>
      <c r="F19" s="121"/>
    </row>
    <row r="20" spans="2:6" s="122" customFormat="1">
      <c r="B20" s="119">
        <f>IF(ISBLANK(E20), "", MAX(B$1:B19) + 1)</f>
        <v>19</v>
      </c>
      <c r="C20" s="115" t="s">
        <v>33</v>
      </c>
      <c r="D20" s="120" t="s">
        <v>6</v>
      </c>
      <c r="E20" s="116">
        <v>36</v>
      </c>
      <c r="F20" s="121"/>
    </row>
    <row r="21" spans="2:6" s="122" customFormat="1">
      <c r="B21" s="119">
        <f>IF(ISBLANK(E21), "", MAX(B$1:B20) + 1)</f>
        <v>20</v>
      </c>
      <c r="C21" s="115" t="s">
        <v>34</v>
      </c>
      <c r="D21" s="120" t="s">
        <v>6</v>
      </c>
      <c r="E21" s="116">
        <v>6</v>
      </c>
      <c r="F21" s="121"/>
    </row>
    <row r="22" spans="2:6" s="122" customFormat="1">
      <c r="B22" s="119">
        <f>IF(ISBLANK(E22), "", MAX(B$1:B21) + 1)</f>
        <v>21</v>
      </c>
      <c r="C22" s="115" t="s">
        <v>35</v>
      </c>
      <c r="D22" s="120" t="s">
        <v>6</v>
      </c>
      <c r="E22" s="116">
        <v>2</v>
      </c>
      <c r="F22" s="121"/>
    </row>
    <row r="23" spans="2:6" s="122" customFormat="1">
      <c r="B23" s="119">
        <f>IF(ISBLANK(E23), "", MAX(B$1:B22) + 1)</f>
        <v>22</v>
      </c>
      <c r="C23" s="115" t="s">
        <v>36</v>
      </c>
      <c r="D23" s="120" t="s">
        <v>6</v>
      </c>
      <c r="E23" s="116">
        <v>10</v>
      </c>
      <c r="F23" s="121"/>
    </row>
    <row r="24" spans="2:6" s="122" customFormat="1">
      <c r="B24" s="119">
        <f>IF(ISBLANK(E24), "", MAX(B$1:B23) + 1)</f>
        <v>23</v>
      </c>
      <c r="C24" s="115" t="s">
        <v>37</v>
      </c>
      <c r="D24" s="120" t="s">
        <v>6</v>
      </c>
      <c r="E24" s="116">
        <v>18</v>
      </c>
      <c r="F24" s="121"/>
    </row>
    <row r="25" spans="2:6" s="122" customFormat="1">
      <c r="B25" s="119">
        <f>IF(ISBLANK(E25), "", MAX(B$1:B24) + 1)</f>
        <v>24</v>
      </c>
      <c r="C25" s="115" t="s">
        <v>38</v>
      </c>
      <c r="D25" s="120" t="s">
        <v>6</v>
      </c>
      <c r="E25" s="116">
        <v>4</v>
      </c>
      <c r="F25" s="121"/>
    </row>
    <row r="26" spans="2:6" s="122" customFormat="1">
      <c r="B26" s="119">
        <f>IF(ISBLANK(E26), "", MAX(B$1:B25) + 1)</f>
        <v>25</v>
      </c>
      <c r="C26" s="115" t="s">
        <v>39</v>
      </c>
      <c r="D26" s="120" t="s">
        <v>6</v>
      </c>
      <c r="E26" s="116">
        <v>40</v>
      </c>
      <c r="F26" s="121"/>
    </row>
    <row r="27" spans="2:6" s="122" customFormat="1">
      <c r="B27" s="119">
        <f>IF(ISBLANK(E27), "", MAX(B$1:B26) + 1)</f>
        <v>26</v>
      </c>
      <c r="C27" s="115" t="s">
        <v>40</v>
      </c>
      <c r="D27" s="120" t="s">
        <v>6</v>
      </c>
      <c r="E27" s="116">
        <v>10</v>
      </c>
      <c r="F27" s="121"/>
    </row>
    <row r="28" spans="2:6" s="122" customFormat="1">
      <c r="B28" s="119">
        <f>IF(ISBLANK(E28), "", MAX(B$1:B27) + 1)</f>
        <v>27</v>
      </c>
      <c r="C28" s="115" t="s">
        <v>41</v>
      </c>
      <c r="D28" s="120" t="s">
        <v>6</v>
      </c>
      <c r="E28" s="116">
        <v>5</v>
      </c>
      <c r="F28" s="121"/>
    </row>
    <row r="29" spans="2:6" ht="26.4" customHeight="1"/>
  </sheetData>
  <autoFilter ref="B1:E28" xr:uid="{00000000-0009-0000-0000-000000000000}"/>
  <pageMargins left="0.25" right="0.25" top="0.4" bottom="0.25" header="0.3" footer="0.3"/>
  <pageSetup scale="88" fitToHeight="0" orientation="landscape" r:id="rId1"/>
  <headerFooter>
    <oddHeader>&amp;R&amp;P /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422"/>
  <sheetViews>
    <sheetView showGridLines="0" workbookViewId="0">
      <selection activeCell="G5" sqref="G5"/>
    </sheetView>
  </sheetViews>
  <sheetFormatPr defaultColWidth="14.44140625" defaultRowHeight="15" customHeight="1"/>
  <cols>
    <col min="1" max="1" width="6.5546875" customWidth="1"/>
    <col min="2" max="2" width="41" style="1" customWidth="1"/>
    <col min="3" max="3" width="40.5546875" customWidth="1"/>
    <col min="4" max="5" width="13.44140625" customWidth="1"/>
    <col min="6" max="6" width="13" style="3" customWidth="1"/>
    <col min="7" max="9" width="14.44140625" customWidth="1"/>
    <col min="10" max="10" width="62.44140625" style="4" customWidth="1"/>
    <col min="11" max="12" width="32.44140625" customWidth="1"/>
    <col min="13" max="14" width="8" customWidth="1"/>
    <col min="15" max="15" width="42" customWidth="1"/>
    <col min="16" max="18" width="8" customWidth="1"/>
  </cols>
  <sheetData>
    <row r="1" spans="1:18" ht="14.25" customHeight="1">
      <c r="A1" s="123"/>
      <c r="B1" s="124"/>
      <c r="C1" s="124"/>
      <c r="D1" s="124"/>
      <c r="E1" s="124"/>
      <c r="F1" s="124"/>
      <c r="G1" s="124"/>
      <c r="H1" s="124"/>
      <c r="I1" s="124"/>
      <c r="J1" s="125"/>
      <c r="K1" s="22"/>
      <c r="L1" s="22"/>
      <c r="M1" s="22"/>
      <c r="N1" s="23"/>
      <c r="O1" s="22"/>
      <c r="P1" s="22"/>
      <c r="Q1" s="22"/>
      <c r="R1" s="22"/>
    </row>
    <row r="2" spans="1:18" ht="18.75" customHeight="1">
      <c r="A2" s="126" t="s">
        <v>74</v>
      </c>
      <c r="B2" s="124"/>
      <c r="C2" s="124"/>
      <c r="D2" s="124"/>
      <c r="E2" s="124"/>
      <c r="F2" s="124"/>
      <c r="G2" s="124"/>
      <c r="H2" s="124"/>
      <c r="I2" s="124"/>
      <c r="J2" s="24"/>
      <c r="K2" s="22"/>
      <c r="L2" s="22"/>
      <c r="M2" s="22"/>
      <c r="N2" s="23"/>
      <c r="O2" s="22"/>
      <c r="P2" s="22"/>
      <c r="Q2" s="22"/>
      <c r="R2" s="22"/>
    </row>
    <row r="3" spans="1:18" ht="59.25" customHeight="1">
      <c r="A3" s="127" t="s">
        <v>75</v>
      </c>
      <c r="B3" s="128"/>
      <c r="C3" s="128"/>
      <c r="D3" s="128"/>
      <c r="E3" s="128"/>
      <c r="F3" s="128"/>
      <c r="G3" s="128"/>
      <c r="H3" s="128"/>
      <c r="I3" s="128"/>
      <c r="J3" s="24"/>
      <c r="K3" s="22"/>
      <c r="L3" s="22"/>
      <c r="M3" s="22"/>
      <c r="N3" s="23"/>
      <c r="O3" s="22"/>
      <c r="P3" s="22"/>
      <c r="Q3" s="22"/>
      <c r="R3" s="22"/>
    </row>
    <row r="4" spans="1:18" ht="14.25" customHeight="1">
      <c r="A4" s="126"/>
      <c r="B4" s="124"/>
      <c r="C4" s="124"/>
      <c r="D4" s="124"/>
      <c r="E4" s="124"/>
      <c r="F4" s="124"/>
      <c r="G4" s="124"/>
      <c r="H4" s="124"/>
      <c r="I4" s="124"/>
      <c r="J4" s="24"/>
      <c r="K4" s="22"/>
      <c r="L4" s="22"/>
      <c r="M4" s="22"/>
      <c r="N4" s="23"/>
      <c r="O4" s="22"/>
      <c r="P4" s="22"/>
      <c r="Q4" s="22"/>
      <c r="R4" s="22"/>
    </row>
    <row r="5" spans="1:18" ht="41.4">
      <c r="A5" s="5" t="s">
        <v>76</v>
      </c>
      <c r="B5" s="6" t="s">
        <v>1</v>
      </c>
      <c r="C5" s="5" t="s">
        <v>2</v>
      </c>
      <c r="D5" s="5" t="s">
        <v>77</v>
      </c>
      <c r="E5" s="5" t="s">
        <v>77</v>
      </c>
      <c r="F5" s="7" t="s">
        <v>4</v>
      </c>
      <c r="G5" s="8" t="s">
        <v>78</v>
      </c>
      <c r="H5" s="7" t="s">
        <v>79</v>
      </c>
      <c r="I5" s="8" t="s">
        <v>80</v>
      </c>
      <c r="J5" s="24"/>
      <c r="K5" s="22"/>
      <c r="L5" s="22"/>
      <c r="M5" s="22"/>
      <c r="N5" s="23"/>
      <c r="O5" s="22"/>
      <c r="P5" s="22"/>
      <c r="Q5" s="22"/>
      <c r="R5" s="22"/>
    </row>
    <row r="6" spans="1:18" ht="66">
      <c r="A6" s="9"/>
      <c r="B6" s="10" t="s">
        <v>81</v>
      </c>
      <c r="C6" s="10" t="s">
        <v>82</v>
      </c>
      <c r="D6" s="11"/>
      <c r="E6" s="11"/>
      <c r="F6" s="12"/>
      <c r="G6" s="11"/>
      <c r="H6" s="12"/>
      <c r="I6" s="11"/>
      <c r="J6" s="24"/>
      <c r="K6" s="22"/>
      <c r="L6" s="22"/>
      <c r="M6" s="22"/>
      <c r="N6" s="23"/>
      <c r="O6" s="22"/>
      <c r="P6" s="22"/>
      <c r="Q6" s="22"/>
      <c r="R6" s="22"/>
    </row>
    <row r="7" spans="1:18" ht="26.4">
      <c r="A7" s="11"/>
      <c r="B7" s="13" t="s">
        <v>83</v>
      </c>
      <c r="C7" s="14" t="s">
        <v>84</v>
      </c>
      <c r="D7" s="14"/>
      <c r="E7" s="14"/>
      <c r="F7" s="15"/>
      <c r="G7" s="14"/>
      <c r="H7" s="15"/>
      <c r="I7" s="14"/>
      <c r="J7" s="24"/>
      <c r="K7" s="22"/>
      <c r="L7" s="22"/>
      <c r="M7" s="22"/>
      <c r="N7" s="23"/>
      <c r="O7" s="22"/>
      <c r="P7" s="22"/>
      <c r="Q7" s="22"/>
      <c r="R7" s="22"/>
    </row>
    <row r="8" spans="1:18" ht="15.45" customHeight="1">
      <c r="A8" s="11"/>
      <c r="B8" s="13" t="s">
        <v>85</v>
      </c>
      <c r="C8" s="16" t="s">
        <v>86</v>
      </c>
      <c r="D8" s="14"/>
      <c r="E8" s="14"/>
      <c r="F8" s="15"/>
      <c r="G8" s="14"/>
      <c r="H8" s="15"/>
      <c r="I8" s="14"/>
      <c r="J8" s="24"/>
      <c r="K8" s="22"/>
      <c r="L8" s="22"/>
      <c r="M8" s="22"/>
      <c r="N8" s="23"/>
      <c r="O8" s="22"/>
      <c r="P8" s="22"/>
      <c r="Q8" s="22"/>
      <c r="R8" s="22"/>
    </row>
    <row r="9" spans="1:18" ht="14.4">
      <c r="A9" s="9">
        <f>1</f>
        <v>1</v>
      </c>
      <c r="B9" s="17" t="s">
        <v>87</v>
      </c>
      <c r="C9" s="17" t="s">
        <v>88</v>
      </c>
      <c r="D9" s="9" t="s">
        <v>89</v>
      </c>
      <c r="E9" s="9" t="s">
        <v>90</v>
      </c>
      <c r="F9" s="18">
        <v>1</v>
      </c>
      <c r="G9" s="19">
        <f>1962.59*1.633198857*1.15</f>
        <v>3686.0947064735742</v>
      </c>
      <c r="H9" s="18">
        <v>30.01</v>
      </c>
      <c r="I9" s="25">
        <f>G9*H9</f>
        <v>110619.70214127196</v>
      </c>
      <c r="J9" s="24"/>
      <c r="K9" s="22"/>
      <c r="L9" s="22"/>
      <c r="M9" s="22"/>
      <c r="N9" s="23"/>
      <c r="O9" s="22"/>
      <c r="P9" s="22"/>
      <c r="Q9" s="22"/>
      <c r="R9" s="22"/>
    </row>
    <row r="10" spans="1:18" ht="26.4">
      <c r="A10" s="9">
        <f t="shared" ref="A10:A15" si="0">A9+1</f>
        <v>2</v>
      </c>
      <c r="B10" s="17" t="s">
        <v>91</v>
      </c>
      <c r="C10" s="17" t="s">
        <v>92</v>
      </c>
      <c r="D10" s="9" t="s">
        <v>89</v>
      </c>
      <c r="E10" s="9" t="s">
        <v>93</v>
      </c>
      <c r="F10" s="18">
        <v>1</v>
      </c>
      <c r="G10" s="19">
        <f>1.633198857*2813*1.15</f>
        <v>5283.3166424521496</v>
      </c>
      <c r="H10" s="18">
        <v>9</v>
      </c>
      <c r="I10" s="25">
        <f>G10*H10</f>
        <v>47549.849782069345</v>
      </c>
      <c r="J10" s="24"/>
      <c r="K10" s="22"/>
      <c r="L10" s="22"/>
      <c r="M10" s="22"/>
      <c r="N10" s="23"/>
      <c r="O10" s="22"/>
      <c r="P10" s="22"/>
      <c r="Q10" s="22"/>
      <c r="R10" s="22"/>
    </row>
    <row r="11" spans="1:18" ht="14.4">
      <c r="A11" s="9">
        <f t="shared" si="0"/>
        <v>3</v>
      </c>
      <c r="B11" s="17" t="s">
        <v>94</v>
      </c>
      <c r="C11" s="17" t="s">
        <v>95</v>
      </c>
      <c r="D11" s="9" t="s">
        <v>89</v>
      </c>
      <c r="E11" s="9" t="s">
        <v>90</v>
      </c>
      <c r="F11" s="18">
        <v>1</v>
      </c>
      <c r="G11" s="19">
        <f>1.633198857*1306.32*1.15</f>
        <v>2453.5023805076758</v>
      </c>
      <c r="H11" s="18">
        <v>96.6</v>
      </c>
      <c r="I11" s="25">
        <f t="shared" ref="I11:I74" si="1">G11*H11</f>
        <v>237008.32995704145</v>
      </c>
      <c r="J11" s="24"/>
      <c r="K11" s="22"/>
      <c r="L11" s="22"/>
      <c r="M11" s="22"/>
      <c r="N11" s="23"/>
      <c r="O11" s="22"/>
      <c r="P11" s="22"/>
      <c r="Q11" s="22"/>
      <c r="R11" s="22"/>
    </row>
    <row r="12" spans="1:18" ht="39.6">
      <c r="A12" s="9">
        <f t="shared" si="0"/>
        <v>4</v>
      </c>
      <c r="B12" s="17" t="s">
        <v>96</v>
      </c>
      <c r="C12" s="17" t="s">
        <v>97</v>
      </c>
      <c r="D12" s="9" t="s">
        <v>89</v>
      </c>
      <c r="E12" s="9" t="s">
        <v>90</v>
      </c>
      <c r="F12" s="18">
        <v>1</v>
      </c>
      <c r="G12" s="19">
        <f>1.633198857*252.04*1.15</f>
        <v>473.37615590602195</v>
      </c>
      <c r="H12" s="18">
        <v>66.3</v>
      </c>
      <c r="I12" s="25">
        <f t="shared" si="1"/>
        <v>31384.839136569255</v>
      </c>
      <c r="J12" s="24"/>
      <c r="K12" s="22"/>
      <c r="L12" s="22"/>
      <c r="M12" s="22"/>
      <c r="N12" s="23"/>
      <c r="O12" s="22"/>
      <c r="P12" s="22"/>
      <c r="Q12" s="22"/>
      <c r="R12" s="22"/>
    </row>
    <row r="13" spans="1:18" ht="26.4">
      <c r="A13" s="9">
        <f t="shared" si="0"/>
        <v>5</v>
      </c>
      <c r="B13" s="17" t="s">
        <v>98</v>
      </c>
      <c r="C13" s="17" t="s">
        <v>99</v>
      </c>
      <c r="D13" s="9" t="s">
        <v>89</v>
      </c>
      <c r="E13" s="9" t="s">
        <v>93</v>
      </c>
      <c r="F13" s="18">
        <v>1</v>
      </c>
      <c r="G13" s="19">
        <f>1.633198857*114.18*1.15</f>
        <v>214.45044231609899</v>
      </c>
      <c r="H13" s="18">
        <v>34</v>
      </c>
      <c r="I13" s="25">
        <f t="shared" si="1"/>
        <v>7291.3150387473652</v>
      </c>
      <c r="J13" s="24"/>
      <c r="K13" s="22"/>
      <c r="L13" s="22"/>
      <c r="M13" s="22"/>
      <c r="N13" s="23"/>
      <c r="O13" s="22"/>
      <c r="P13" s="22"/>
      <c r="Q13" s="22"/>
      <c r="R13" s="22"/>
    </row>
    <row r="14" spans="1:18" ht="15.45" customHeight="1">
      <c r="A14" s="9">
        <f t="shared" si="0"/>
        <v>6</v>
      </c>
      <c r="B14" s="13" t="s">
        <v>100</v>
      </c>
      <c r="C14" s="16" t="s">
        <v>101</v>
      </c>
      <c r="D14" s="14"/>
      <c r="E14" s="14"/>
      <c r="F14" s="18"/>
      <c r="G14" s="19"/>
      <c r="H14" s="15"/>
      <c r="I14" s="25"/>
      <c r="J14" s="24"/>
      <c r="K14" s="22"/>
      <c r="L14" s="22"/>
      <c r="M14" s="22"/>
      <c r="N14" s="23"/>
      <c r="O14" s="22"/>
      <c r="P14" s="22"/>
      <c r="Q14" s="22"/>
      <c r="R14" s="22"/>
    </row>
    <row r="15" spans="1:18" ht="66">
      <c r="A15" s="9">
        <f t="shared" si="0"/>
        <v>7</v>
      </c>
      <c r="B15" s="17" t="s">
        <v>102</v>
      </c>
      <c r="C15" s="17" t="s">
        <v>103</v>
      </c>
      <c r="D15" s="9" t="s">
        <v>104</v>
      </c>
      <c r="E15" s="9" t="s">
        <v>105</v>
      </c>
      <c r="F15" s="18">
        <v>1</v>
      </c>
      <c r="G15" s="19">
        <f>1.633198857*1755.19*1.15</f>
        <v>3296.5604470905041</v>
      </c>
      <c r="H15" s="18">
        <v>35</v>
      </c>
      <c r="I15" s="25">
        <f t="shared" si="1"/>
        <v>115379.61564816764</v>
      </c>
      <c r="J15" s="24"/>
      <c r="K15" s="22"/>
      <c r="L15" s="22"/>
      <c r="M15" s="22"/>
      <c r="N15" s="23"/>
      <c r="O15" s="22"/>
      <c r="P15" s="22"/>
      <c r="Q15" s="22"/>
      <c r="R15" s="22"/>
    </row>
    <row r="16" spans="1:18" ht="15.45" customHeight="1">
      <c r="A16" s="9"/>
      <c r="B16" s="13" t="s">
        <v>106</v>
      </c>
      <c r="C16" s="16" t="s">
        <v>107</v>
      </c>
      <c r="D16" s="14"/>
      <c r="E16" s="14"/>
      <c r="F16" s="18"/>
      <c r="G16" s="19"/>
      <c r="H16" s="15"/>
      <c r="I16" s="25"/>
      <c r="J16" s="24" t="s">
        <v>108</v>
      </c>
      <c r="K16" s="22"/>
      <c r="L16" s="22"/>
      <c r="M16" s="22"/>
      <c r="N16" s="23"/>
      <c r="O16" s="22"/>
      <c r="P16" s="22"/>
      <c r="Q16" s="22"/>
      <c r="R16" s="22"/>
    </row>
    <row r="17" spans="1:18" ht="62.25" customHeight="1">
      <c r="A17" s="9">
        <f>A15+1</f>
        <v>8</v>
      </c>
      <c r="B17" s="17" t="s">
        <v>109</v>
      </c>
      <c r="C17" s="17" t="s">
        <v>110</v>
      </c>
      <c r="D17" s="9" t="s">
        <v>89</v>
      </c>
      <c r="E17" s="9" t="s">
        <v>93</v>
      </c>
      <c r="F17" s="18">
        <v>1</v>
      </c>
      <c r="G17" s="19">
        <f>1.633198857*61.11*1.15</f>
        <v>114.77549947396049</v>
      </c>
      <c r="H17" s="18">
        <v>2781.97</v>
      </c>
      <c r="I17" s="25">
        <f t="shared" si="1"/>
        <v>319301.99627157388</v>
      </c>
      <c r="J17" s="26"/>
      <c r="K17" s="22"/>
      <c r="L17" s="22"/>
      <c r="M17" s="27"/>
      <c r="N17" s="23"/>
      <c r="O17" s="24"/>
      <c r="P17" s="22"/>
      <c r="Q17" s="22"/>
      <c r="R17" s="22"/>
    </row>
    <row r="18" spans="1:18" ht="39.6">
      <c r="A18" s="9">
        <f>A17+1</f>
        <v>9</v>
      </c>
      <c r="B18" s="17" t="s">
        <v>111</v>
      </c>
      <c r="C18" s="17" t="s">
        <v>112</v>
      </c>
      <c r="D18" s="9" t="s">
        <v>89</v>
      </c>
      <c r="E18" s="9" t="s">
        <v>93</v>
      </c>
      <c r="F18" s="18">
        <v>1</v>
      </c>
      <c r="G18" s="19">
        <f>1.633198857*91.76*1.15</f>
        <v>172.34167618606799</v>
      </c>
      <c r="H18" s="18">
        <v>2220.6999999999998</v>
      </c>
      <c r="I18" s="25">
        <f t="shared" si="1"/>
        <v>382719.16030640114</v>
      </c>
      <c r="J18" s="24"/>
      <c r="K18" s="22"/>
      <c r="L18" s="22"/>
      <c r="M18" s="22"/>
      <c r="N18" s="23"/>
      <c r="O18" s="22"/>
      <c r="P18" s="22"/>
      <c r="Q18" s="22"/>
      <c r="R18" s="22"/>
    </row>
    <row r="19" spans="1:18" ht="39.6">
      <c r="A19" s="9">
        <f>A18+1</f>
        <v>10</v>
      </c>
      <c r="B19" s="17" t="s">
        <v>113</v>
      </c>
      <c r="C19" s="17" t="s">
        <v>114</v>
      </c>
      <c r="D19" s="9" t="s">
        <v>89</v>
      </c>
      <c r="E19" s="9" t="s">
        <v>93</v>
      </c>
      <c r="F19" s="18">
        <v>1</v>
      </c>
      <c r="G19" s="19">
        <f>1.633198857*154.73*1.15</f>
        <v>290.61058801515145</v>
      </c>
      <c r="H19" s="18">
        <v>2220.6999999999998</v>
      </c>
      <c r="I19" s="25">
        <f t="shared" si="1"/>
        <v>645358.93280524679</v>
      </c>
      <c r="J19" s="24"/>
      <c r="K19" s="22"/>
      <c r="L19" s="22"/>
      <c r="M19" s="22"/>
      <c r="N19" s="23"/>
      <c r="O19" s="22"/>
      <c r="P19" s="22"/>
      <c r="Q19" s="22"/>
      <c r="R19" s="22"/>
    </row>
    <row r="20" spans="1:18" ht="26.4">
      <c r="A20" s="9">
        <f>A19+1</f>
        <v>11</v>
      </c>
      <c r="B20" s="17" t="s">
        <v>115</v>
      </c>
      <c r="C20" s="17" t="s">
        <v>116</v>
      </c>
      <c r="D20" s="9" t="s">
        <v>89</v>
      </c>
      <c r="E20" s="9" t="s">
        <v>93</v>
      </c>
      <c r="F20" s="18">
        <v>1</v>
      </c>
      <c r="G20" s="19">
        <f>1.633198857*31.78*1.15</f>
        <v>59.688518626778993</v>
      </c>
      <c r="H20" s="18">
        <f>H17</f>
        <v>2781.97</v>
      </c>
      <c r="I20" s="25">
        <f t="shared" si="1"/>
        <v>166051.66816414034</v>
      </c>
      <c r="J20" s="28">
        <v>17.440000000000001</v>
      </c>
      <c r="K20" s="22"/>
      <c r="L20" s="22"/>
      <c r="M20" s="22"/>
      <c r="N20" s="23"/>
      <c r="O20" s="22"/>
      <c r="P20" s="22"/>
      <c r="Q20" s="22"/>
      <c r="R20" s="22"/>
    </row>
    <row r="21" spans="1:18" ht="15.45" customHeight="1">
      <c r="A21" s="9"/>
      <c r="B21" s="13" t="s">
        <v>117</v>
      </c>
      <c r="C21" s="16" t="s">
        <v>118</v>
      </c>
      <c r="D21" s="14"/>
      <c r="E21" s="14"/>
      <c r="F21" s="18"/>
      <c r="G21" s="19"/>
      <c r="H21" s="15"/>
      <c r="I21" s="25"/>
      <c r="J21" s="24"/>
      <c r="K21" s="22"/>
      <c r="L21" s="22"/>
      <c r="M21" s="22"/>
      <c r="N21" s="23"/>
      <c r="O21" s="22"/>
      <c r="P21" s="22"/>
      <c r="Q21" s="22"/>
      <c r="R21" s="22"/>
    </row>
    <row r="22" spans="1:18" ht="14.4">
      <c r="A22" s="9">
        <f>A20+1</f>
        <v>12</v>
      </c>
      <c r="B22" s="17" t="s">
        <v>119</v>
      </c>
      <c r="C22" s="17" t="s">
        <v>120</v>
      </c>
      <c r="D22" s="20" t="s">
        <v>17</v>
      </c>
      <c r="E22" s="9" t="s">
        <v>43</v>
      </c>
      <c r="F22" s="18">
        <v>1</v>
      </c>
      <c r="G22" s="19">
        <f>1.633198857*19319.58*1.15</f>
        <v>36285.62336977807</v>
      </c>
      <c r="H22" s="18">
        <v>5.0999999999999996</v>
      </c>
      <c r="I22" s="25">
        <f t="shared" si="1"/>
        <v>185056.67918586815</v>
      </c>
      <c r="J22" s="24"/>
      <c r="K22" s="22"/>
      <c r="L22" s="22"/>
      <c r="M22" s="22"/>
      <c r="N22" s="23"/>
      <c r="O22" s="22"/>
      <c r="P22" s="22"/>
      <c r="Q22" s="22"/>
      <c r="R22" s="22"/>
    </row>
    <row r="23" spans="1:18" ht="14.4">
      <c r="A23" s="9">
        <f>A22+1</f>
        <v>13</v>
      </c>
      <c r="B23" s="17" t="s">
        <v>121</v>
      </c>
      <c r="C23" s="17" t="s">
        <v>122</v>
      </c>
      <c r="D23" s="20" t="s">
        <v>17</v>
      </c>
      <c r="E23" s="9" t="s">
        <v>43</v>
      </c>
      <c r="F23" s="18">
        <v>1</v>
      </c>
      <c r="G23" s="19">
        <f>1.633198857*3864.86*1.15</f>
        <v>7258.8976746347735</v>
      </c>
      <c r="H23" s="18">
        <v>277.14</v>
      </c>
      <c r="I23" s="25">
        <f t="shared" si="1"/>
        <v>2011730.9015482811</v>
      </c>
      <c r="J23" s="24"/>
      <c r="K23" s="22"/>
      <c r="L23" s="22"/>
      <c r="M23" s="22"/>
      <c r="N23" s="23"/>
      <c r="O23" s="22"/>
      <c r="P23" s="22"/>
      <c r="Q23" s="22"/>
      <c r="R23" s="22"/>
    </row>
    <row r="24" spans="1:18" ht="26.4">
      <c r="A24" s="9">
        <f>A23+1</f>
        <v>14</v>
      </c>
      <c r="B24" s="17" t="s">
        <v>123</v>
      </c>
      <c r="C24" s="17" t="s">
        <v>124</v>
      </c>
      <c r="D24" s="20" t="s">
        <v>17</v>
      </c>
      <c r="E24" s="9" t="s">
        <v>43</v>
      </c>
      <c r="F24" s="18">
        <v>1</v>
      </c>
      <c r="G24" s="19">
        <f>1.633198857*6206.67*1.15</f>
        <v>11657.235302242618</v>
      </c>
      <c r="H24" s="18">
        <v>44.21</v>
      </c>
      <c r="I24" s="25">
        <f t="shared" si="1"/>
        <v>515366.37271214614</v>
      </c>
      <c r="J24" s="24"/>
      <c r="K24" s="22"/>
      <c r="L24" s="22"/>
      <c r="M24" s="22"/>
      <c r="N24" s="23"/>
      <c r="O24" s="22"/>
      <c r="P24" s="22"/>
      <c r="Q24" s="22"/>
      <c r="R24" s="22"/>
    </row>
    <row r="25" spans="1:18" ht="14.4">
      <c r="A25" s="9">
        <f>A24+1</f>
        <v>15</v>
      </c>
      <c r="B25" s="17" t="s">
        <v>125</v>
      </c>
      <c r="C25" s="17" t="s">
        <v>126</v>
      </c>
      <c r="D25" s="20" t="s">
        <v>17</v>
      </c>
      <c r="E25" s="9" t="s">
        <v>43</v>
      </c>
      <c r="F25" s="18">
        <v>1</v>
      </c>
      <c r="G25" s="19">
        <f>1.633198857*2769.31*1.15</f>
        <v>5201.2590156804699</v>
      </c>
      <c r="H25" s="18">
        <v>57.14</v>
      </c>
      <c r="I25" s="25">
        <f t="shared" si="1"/>
        <v>297199.94015598204</v>
      </c>
      <c r="J25" s="24"/>
      <c r="K25" s="22"/>
      <c r="L25" s="22"/>
      <c r="M25" s="22"/>
      <c r="N25" s="23"/>
      <c r="O25" s="22"/>
      <c r="P25" s="22"/>
      <c r="Q25" s="22"/>
      <c r="R25" s="22"/>
    </row>
    <row r="26" spans="1:18" ht="14.4">
      <c r="A26" s="9">
        <f>A25+1</f>
        <v>16</v>
      </c>
      <c r="B26" s="17" t="s">
        <v>127</v>
      </c>
      <c r="C26" s="17" t="s">
        <v>128</v>
      </c>
      <c r="D26" s="20" t="s">
        <v>17</v>
      </c>
      <c r="E26" s="9" t="s">
        <v>43</v>
      </c>
      <c r="F26" s="18">
        <v>1</v>
      </c>
      <c r="G26" s="19">
        <f>1.633198857*990.09*1.15</f>
        <v>1859.5659347761994</v>
      </c>
      <c r="H26" s="18">
        <v>5.21</v>
      </c>
      <c r="I26" s="25">
        <f t="shared" si="1"/>
        <v>9688.3385201839992</v>
      </c>
      <c r="J26" s="24"/>
      <c r="K26" s="22"/>
      <c r="L26" s="22"/>
      <c r="M26" s="22"/>
      <c r="N26" s="23"/>
      <c r="O26" s="22"/>
      <c r="P26" s="22"/>
      <c r="Q26" s="22"/>
      <c r="R26" s="22"/>
    </row>
    <row r="27" spans="1:18" ht="26.4">
      <c r="A27" s="9">
        <f>A26+1</f>
        <v>17</v>
      </c>
      <c r="B27" s="17" t="s">
        <v>129</v>
      </c>
      <c r="C27" s="17" t="s">
        <v>130</v>
      </c>
      <c r="D27" s="9" t="s">
        <v>89</v>
      </c>
      <c r="E27" s="9" t="s">
        <v>93</v>
      </c>
      <c r="F27" s="18">
        <v>1</v>
      </c>
      <c r="G27" s="19">
        <f>1.633198857*81.38*1.15</f>
        <v>152.84618143005898</v>
      </c>
      <c r="H27" s="18">
        <v>3681.9</v>
      </c>
      <c r="I27" s="25">
        <f t="shared" si="1"/>
        <v>562764.35540733417</v>
      </c>
      <c r="J27" s="24"/>
      <c r="K27" s="22"/>
      <c r="L27" s="22"/>
      <c r="M27" s="22"/>
      <c r="N27" s="23"/>
      <c r="O27" s="22"/>
      <c r="P27" s="22"/>
      <c r="Q27" s="22"/>
      <c r="R27" s="22"/>
    </row>
    <row r="28" spans="1:18" ht="15.45" customHeight="1">
      <c r="A28" s="11"/>
      <c r="B28" s="13" t="s">
        <v>131</v>
      </c>
      <c r="C28" s="16" t="s">
        <v>132</v>
      </c>
      <c r="D28" s="14"/>
      <c r="E28" s="14"/>
      <c r="F28" s="18"/>
      <c r="G28" s="19"/>
      <c r="H28" s="15"/>
      <c r="I28" s="25"/>
      <c r="J28" s="24"/>
      <c r="K28" s="22"/>
      <c r="L28" s="22"/>
      <c r="M28" s="22"/>
      <c r="N28" s="23"/>
      <c r="O28" s="22"/>
      <c r="P28" s="22"/>
      <c r="Q28" s="22"/>
      <c r="R28" s="22"/>
    </row>
    <row r="29" spans="1:18" ht="14.4">
      <c r="A29" s="9">
        <f>A27+1</f>
        <v>18</v>
      </c>
      <c r="B29" s="17" t="s">
        <v>133</v>
      </c>
      <c r="C29" s="17" t="s">
        <v>134</v>
      </c>
      <c r="D29" s="20" t="s">
        <v>17</v>
      </c>
      <c r="E29" s="9" t="s">
        <v>43</v>
      </c>
      <c r="F29" s="18">
        <v>1</v>
      </c>
      <c r="G29" s="19">
        <f>1.633198857*10736.88*1.15</f>
        <v>20165.779165308079</v>
      </c>
      <c r="H29" s="18">
        <v>52.49</v>
      </c>
      <c r="I29" s="25">
        <f t="shared" si="1"/>
        <v>1058501.748387021</v>
      </c>
      <c r="J29" s="24"/>
      <c r="K29" s="22"/>
      <c r="L29" s="22"/>
      <c r="M29" s="22"/>
      <c r="N29" s="23"/>
      <c r="O29" s="22"/>
      <c r="P29" s="22"/>
      <c r="Q29" s="22"/>
      <c r="R29" s="22"/>
    </row>
    <row r="30" spans="1:18" ht="26.4">
      <c r="A30" s="9">
        <f>A29+1</f>
        <v>19</v>
      </c>
      <c r="B30" s="17" t="s">
        <v>135</v>
      </c>
      <c r="C30" s="17" t="s">
        <v>136</v>
      </c>
      <c r="D30" s="20" t="s">
        <v>17</v>
      </c>
      <c r="E30" s="9" t="s">
        <v>43</v>
      </c>
      <c r="F30" s="18">
        <v>1</v>
      </c>
      <c r="G30" s="19">
        <f>1.633198857*7751.36*1.15</f>
        <v>14558.439136024846</v>
      </c>
      <c r="H30" s="18">
        <v>0.89</v>
      </c>
      <c r="I30" s="25">
        <f t="shared" si="1"/>
        <v>12957.010831062113</v>
      </c>
      <c r="J30" s="24"/>
      <c r="K30" s="22"/>
      <c r="L30" s="22"/>
      <c r="M30" s="22"/>
      <c r="N30" s="23"/>
      <c r="O30" s="22"/>
      <c r="P30" s="22"/>
      <c r="Q30" s="22"/>
      <c r="R30" s="22"/>
    </row>
    <row r="31" spans="1:18" ht="26.4">
      <c r="A31" s="9">
        <f>A30+1</f>
        <v>20</v>
      </c>
      <c r="B31" s="17" t="s">
        <v>137</v>
      </c>
      <c r="C31" s="17" t="s">
        <v>138</v>
      </c>
      <c r="D31" s="20" t="s">
        <v>17</v>
      </c>
      <c r="E31" s="9" t="s">
        <v>43</v>
      </c>
      <c r="F31" s="18">
        <v>1</v>
      </c>
      <c r="G31" s="19">
        <f>1.633198857*4846.82*1.15</f>
        <v>9103.1940166974491</v>
      </c>
      <c r="H31" s="18">
        <v>11.84</v>
      </c>
      <c r="I31" s="25">
        <f t="shared" si="1"/>
        <v>107781.81715769779</v>
      </c>
      <c r="J31" s="24"/>
      <c r="K31" s="22"/>
      <c r="L31" s="22"/>
      <c r="M31" s="22"/>
      <c r="N31" s="23"/>
      <c r="O31" s="22"/>
      <c r="P31" s="22"/>
      <c r="Q31" s="22"/>
      <c r="R31" s="22"/>
    </row>
    <row r="32" spans="1:18" ht="26.4">
      <c r="A32" s="9">
        <f>A31+1</f>
        <v>21</v>
      </c>
      <c r="B32" s="17" t="s">
        <v>139</v>
      </c>
      <c r="C32" s="17" t="s">
        <v>140</v>
      </c>
      <c r="D32" s="9" t="s">
        <v>89</v>
      </c>
      <c r="E32" s="9" t="s">
        <v>93</v>
      </c>
      <c r="F32" s="18">
        <v>1</v>
      </c>
      <c r="G32" s="19">
        <f>1.633198857*39.54*1.15</f>
        <v>74.263185226646982</v>
      </c>
      <c r="H32" s="18">
        <v>591.5</v>
      </c>
      <c r="I32" s="25">
        <f t="shared" si="1"/>
        <v>43926.674061561687</v>
      </c>
      <c r="J32" s="24"/>
      <c r="K32" s="22"/>
      <c r="L32" s="22"/>
      <c r="M32" s="22"/>
      <c r="N32" s="23"/>
      <c r="O32" s="22"/>
      <c r="P32" s="22"/>
      <c r="Q32" s="22"/>
      <c r="R32" s="22"/>
    </row>
    <row r="33" spans="1:18" ht="26.4">
      <c r="A33" s="9">
        <f>A32+1</f>
        <v>22</v>
      </c>
      <c r="B33" s="17" t="s">
        <v>141</v>
      </c>
      <c r="C33" s="17" t="s">
        <v>142</v>
      </c>
      <c r="D33" s="9" t="s">
        <v>89</v>
      </c>
      <c r="E33" s="9" t="s">
        <v>93</v>
      </c>
      <c r="F33" s="18">
        <v>1</v>
      </c>
      <c r="G33" s="19">
        <f>1.633198857*220.13*1.15</f>
        <v>413.44347405012144</v>
      </c>
      <c r="H33" s="18">
        <v>51</v>
      </c>
      <c r="I33" s="25">
        <f t="shared" si="1"/>
        <v>21085.617176556192</v>
      </c>
      <c r="J33" s="24"/>
      <c r="K33" s="22"/>
      <c r="L33" s="22"/>
      <c r="M33" s="22"/>
      <c r="N33" s="23"/>
      <c r="O33" s="22"/>
      <c r="P33" s="22"/>
      <c r="Q33" s="22"/>
      <c r="R33" s="22"/>
    </row>
    <row r="34" spans="1:18" ht="26.4">
      <c r="A34" s="9">
        <f>A33+1</f>
        <v>23</v>
      </c>
      <c r="B34" s="17" t="s">
        <v>143</v>
      </c>
      <c r="C34" s="17" t="s">
        <v>144</v>
      </c>
      <c r="D34" s="9" t="s">
        <v>89</v>
      </c>
      <c r="E34" s="9" t="s">
        <v>93</v>
      </c>
      <c r="F34" s="18">
        <v>1</v>
      </c>
      <c r="G34" s="19">
        <f>1.633198857*147.09*1.15</f>
        <v>276.26130285754948</v>
      </c>
      <c r="H34" s="18">
        <v>3022.8</v>
      </c>
      <c r="I34" s="25">
        <f t="shared" si="1"/>
        <v>835082.66627780057</v>
      </c>
      <c r="J34" s="24"/>
      <c r="K34" s="22"/>
      <c r="L34" s="22"/>
      <c r="M34" s="22"/>
      <c r="N34" s="23"/>
      <c r="O34" s="22"/>
      <c r="P34" s="22"/>
      <c r="Q34" s="22"/>
      <c r="R34" s="22"/>
    </row>
    <row r="35" spans="1:18" ht="15.45" customHeight="1">
      <c r="A35" s="11"/>
      <c r="B35" s="13" t="s">
        <v>145</v>
      </c>
      <c r="C35" s="16" t="s">
        <v>146</v>
      </c>
      <c r="D35" s="14"/>
      <c r="E35" s="14"/>
      <c r="F35" s="18"/>
      <c r="G35" s="19"/>
      <c r="H35" s="15"/>
      <c r="I35" s="25"/>
      <c r="J35" s="24" t="s">
        <v>147</v>
      </c>
      <c r="K35" s="22"/>
      <c r="L35" s="22"/>
      <c r="M35" s="22"/>
      <c r="N35" s="23"/>
      <c r="O35" s="22"/>
      <c r="P35" s="22"/>
      <c r="Q35" s="22"/>
      <c r="R35" s="22"/>
    </row>
    <row r="36" spans="1:18" ht="14.4">
      <c r="A36" s="9">
        <f>A34+1</f>
        <v>24</v>
      </c>
      <c r="B36" s="17" t="s">
        <v>148</v>
      </c>
      <c r="C36" s="21" t="s">
        <v>149</v>
      </c>
      <c r="D36" s="9" t="s">
        <v>89</v>
      </c>
      <c r="E36" s="9" t="s">
        <v>93</v>
      </c>
      <c r="F36" s="18">
        <v>1</v>
      </c>
      <c r="G36" s="19">
        <f>1.633198857*129.88*1.15</f>
        <v>243.93784767923398</v>
      </c>
      <c r="H36" s="18">
        <v>736.14</v>
      </c>
      <c r="I36" s="25">
        <f t="shared" si="1"/>
        <v>179572.4071905913</v>
      </c>
      <c r="J36" s="29">
        <v>704.9</v>
      </c>
      <c r="K36" s="22"/>
      <c r="L36" s="22"/>
      <c r="M36" s="22"/>
      <c r="N36" s="23"/>
      <c r="O36" s="22"/>
      <c r="P36" s="22"/>
      <c r="Q36" s="22"/>
      <c r="R36" s="22"/>
    </row>
    <row r="37" spans="1:18" ht="26.4">
      <c r="A37" s="9">
        <f>A36+1</f>
        <v>25</v>
      </c>
      <c r="B37" s="17" t="s">
        <v>150</v>
      </c>
      <c r="C37" s="17" t="s">
        <v>151</v>
      </c>
      <c r="D37" s="9" t="s">
        <v>89</v>
      </c>
      <c r="E37" s="9" t="s">
        <v>93</v>
      </c>
      <c r="F37" s="18">
        <v>1</v>
      </c>
      <c r="G37" s="19">
        <f>1.633198857*266.73*1.15</f>
        <v>500.96660079675149</v>
      </c>
      <c r="H37" s="18">
        <v>101.4</v>
      </c>
      <c r="I37" s="25">
        <f t="shared" si="1"/>
        <v>50798.013320790604</v>
      </c>
      <c r="J37" s="24"/>
      <c r="K37" s="22"/>
      <c r="L37" s="22"/>
      <c r="M37" s="22"/>
      <c r="N37" s="23"/>
      <c r="O37" s="22"/>
      <c r="P37" s="22"/>
      <c r="Q37" s="22"/>
      <c r="R37" s="22"/>
    </row>
    <row r="38" spans="1:18" ht="26.4">
      <c r="A38" s="9">
        <f>A37+1</f>
        <v>26</v>
      </c>
      <c r="B38" s="17" t="s">
        <v>152</v>
      </c>
      <c r="C38" s="17" t="s">
        <v>153</v>
      </c>
      <c r="D38" s="9" t="s">
        <v>104</v>
      </c>
      <c r="E38" s="9" t="s">
        <v>105</v>
      </c>
      <c r="F38" s="18">
        <v>1</v>
      </c>
      <c r="G38" s="19">
        <f>1.633198857*388.62*1.15</f>
        <v>729.89780077844091</v>
      </c>
      <c r="H38" s="18">
        <v>187</v>
      </c>
      <c r="I38" s="25">
        <f t="shared" si="1"/>
        <v>136490.88874556846</v>
      </c>
      <c r="J38" s="29">
        <v>181</v>
      </c>
      <c r="K38" s="22"/>
      <c r="L38" s="22"/>
      <c r="M38" s="22">
        <v>192</v>
      </c>
      <c r="N38" s="23" t="s">
        <v>154</v>
      </c>
      <c r="O38" s="22"/>
      <c r="P38" s="22"/>
      <c r="Q38" s="22"/>
      <c r="R38" s="22"/>
    </row>
    <row r="39" spans="1:18" ht="26.4">
      <c r="A39" s="9">
        <f>A38+1</f>
        <v>27</v>
      </c>
      <c r="B39" s="17" t="s">
        <v>155</v>
      </c>
      <c r="C39" s="17" t="s">
        <v>156</v>
      </c>
      <c r="D39" s="9" t="s">
        <v>104</v>
      </c>
      <c r="E39" s="9" t="s">
        <v>105</v>
      </c>
      <c r="F39" s="18">
        <v>1</v>
      </c>
      <c r="G39" s="19">
        <f>1.633198857*446.11*1.15</f>
        <v>837.87429341071049</v>
      </c>
      <c r="H39" s="18">
        <v>109</v>
      </c>
      <c r="I39" s="25">
        <f t="shared" si="1"/>
        <v>91328.29798176745</v>
      </c>
      <c r="J39" s="24"/>
      <c r="K39" s="22"/>
      <c r="L39" s="22"/>
      <c r="M39" s="22"/>
      <c r="N39" s="23"/>
      <c r="O39" s="22"/>
      <c r="P39" s="22"/>
      <c r="Q39" s="22"/>
      <c r="R39" s="22"/>
    </row>
    <row r="40" spans="1:18" ht="14.4">
      <c r="A40" s="9">
        <f>A39+1</f>
        <v>28</v>
      </c>
      <c r="B40" s="17" t="s">
        <v>157</v>
      </c>
      <c r="C40" s="17" t="s">
        <v>20</v>
      </c>
      <c r="D40" s="9" t="s">
        <v>89</v>
      </c>
      <c r="E40" s="9" t="s">
        <v>93</v>
      </c>
      <c r="F40" s="18">
        <v>1</v>
      </c>
      <c r="G40" s="19">
        <f>1.633198857*97.1*1.15</f>
        <v>182.37115036690497</v>
      </c>
      <c r="H40" s="18">
        <v>245.1</v>
      </c>
      <c r="I40" s="25">
        <f t="shared" si="1"/>
        <v>44699.168954928406</v>
      </c>
      <c r="J40" s="24"/>
      <c r="K40" s="22"/>
      <c r="L40" s="22"/>
      <c r="M40" s="22"/>
      <c r="N40" s="23"/>
      <c r="O40" s="22"/>
      <c r="P40" s="22"/>
      <c r="Q40" s="22"/>
      <c r="R40" s="22"/>
    </row>
    <row r="41" spans="1:18" ht="14.4">
      <c r="A41" s="9">
        <f>A40+1</f>
        <v>29</v>
      </c>
      <c r="B41" s="17" t="s">
        <v>158</v>
      </c>
      <c r="C41" s="17" t="s">
        <v>159</v>
      </c>
      <c r="D41" s="9" t="s">
        <v>89</v>
      </c>
      <c r="E41" s="9" t="s">
        <v>93</v>
      </c>
      <c r="F41" s="18">
        <v>1</v>
      </c>
      <c r="G41" s="19">
        <f>1.633198857*14.14*1.15</f>
        <v>26.557446613677001</v>
      </c>
      <c r="H41" s="18">
        <v>1144.5</v>
      </c>
      <c r="I41" s="25">
        <f t="shared" si="1"/>
        <v>30394.997649353329</v>
      </c>
      <c r="J41" s="24"/>
      <c r="K41" s="22"/>
      <c r="L41" s="22"/>
      <c r="M41" s="22"/>
      <c r="N41" s="23"/>
      <c r="O41" s="22"/>
      <c r="P41" s="22"/>
      <c r="Q41" s="22"/>
      <c r="R41" s="22"/>
    </row>
    <row r="42" spans="1:18" ht="15.45" customHeight="1">
      <c r="A42" s="11"/>
      <c r="B42" s="13" t="s">
        <v>160</v>
      </c>
      <c r="C42" s="16" t="s">
        <v>161</v>
      </c>
      <c r="D42" s="14"/>
      <c r="E42" s="14"/>
      <c r="F42" s="18"/>
      <c r="G42" s="19"/>
      <c r="H42" s="15"/>
      <c r="I42" s="25"/>
      <c r="J42" s="24"/>
      <c r="K42" s="22"/>
      <c r="L42" s="22"/>
      <c r="M42" s="22"/>
      <c r="N42" s="23"/>
      <c r="O42" s="22"/>
      <c r="P42" s="22"/>
      <c r="Q42" s="22"/>
      <c r="R42" s="22"/>
    </row>
    <row r="43" spans="1:18" ht="14.4">
      <c r="A43" s="9">
        <f>A41+1</f>
        <v>30</v>
      </c>
      <c r="B43" s="17" t="s">
        <v>162</v>
      </c>
      <c r="C43" s="17" t="s">
        <v>163</v>
      </c>
      <c r="D43" s="9" t="s">
        <v>56</v>
      </c>
      <c r="E43" s="9" t="s">
        <v>57</v>
      </c>
      <c r="F43" s="18">
        <v>1</v>
      </c>
      <c r="G43" s="19">
        <f>1.633198857*697.32*1.15</f>
        <v>1309.691561007726</v>
      </c>
      <c r="H43" s="18">
        <v>628</v>
      </c>
      <c r="I43" s="25">
        <f t="shared" si="1"/>
        <v>822486.3003128519</v>
      </c>
      <c r="J43" s="24"/>
      <c r="K43" s="22"/>
      <c r="L43" s="22"/>
      <c r="M43" s="22"/>
      <c r="N43" s="23"/>
      <c r="O43" s="22"/>
      <c r="P43" s="22"/>
      <c r="Q43" s="22"/>
      <c r="R43" s="22"/>
    </row>
    <row r="44" spans="1:18" ht="14.4">
      <c r="A44" s="9">
        <f>A43+1</f>
        <v>31</v>
      </c>
      <c r="B44" s="17" t="s">
        <v>164</v>
      </c>
      <c r="C44" s="17" t="s">
        <v>165</v>
      </c>
      <c r="D44" s="9" t="s">
        <v>56</v>
      </c>
      <c r="E44" s="9" t="s">
        <v>42</v>
      </c>
      <c r="F44" s="18">
        <v>1</v>
      </c>
      <c r="G44" s="19">
        <f>1.633198857*302.89*1.15</f>
        <v>568.88154206623938</v>
      </c>
      <c r="H44" s="18">
        <v>628</v>
      </c>
      <c r="I44" s="25">
        <f t="shared" si="1"/>
        <v>357257.60841759836</v>
      </c>
      <c r="J44" s="24"/>
      <c r="K44" s="22"/>
      <c r="L44" s="22"/>
      <c r="M44" s="22"/>
      <c r="N44" s="23"/>
      <c r="O44" s="22"/>
      <c r="P44" s="22"/>
      <c r="Q44" s="22"/>
      <c r="R44" s="22"/>
    </row>
    <row r="45" spans="1:18" ht="14.4">
      <c r="A45" s="9">
        <f>A44+1</f>
        <v>32</v>
      </c>
      <c r="B45" s="17" t="s">
        <v>166</v>
      </c>
      <c r="C45" s="17" t="s">
        <v>167</v>
      </c>
      <c r="D45" s="9" t="s">
        <v>56</v>
      </c>
      <c r="E45" s="9" t="s">
        <v>57</v>
      </c>
      <c r="F45" s="18">
        <v>1</v>
      </c>
      <c r="G45" s="19">
        <f>1.633198857*347.46*1.15</f>
        <v>652.59196608120283</v>
      </c>
      <c r="H45" s="18">
        <v>62.8</v>
      </c>
      <c r="I45" s="25">
        <f t="shared" si="1"/>
        <v>40982.775469899534</v>
      </c>
      <c r="J45" s="24"/>
      <c r="K45" s="22"/>
      <c r="L45" s="22"/>
      <c r="M45" s="22"/>
      <c r="N45" s="23"/>
      <c r="O45" s="22"/>
      <c r="P45" s="22"/>
      <c r="Q45" s="22"/>
      <c r="R45" s="22"/>
    </row>
    <row r="46" spans="1:18" ht="39.6">
      <c r="A46" s="9">
        <f>A45+1</f>
        <v>33</v>
      </c>
      <c r="B46" s="17" t="s">
        <v>168</v>
      </c>
      <c r="C46" s="17" t="s">
        <v>169</v>
      </c>
      <c r="D46" s="9" t="s">
        <v>56</v>
      </c>
      <c r="E46" s="9" t="s">
        <v>57</v>
      </c>
      <c r="F46" s="18">
        <v>1</v>
      </c>
      <c r="G46" s="19">
        <f>1.633198857*84.66*1.15</f>
        <v>159.006607518663</v>
      </c>
      <c r="H46" s="18">
        <v>565.20000000000005</v>
      </c>
      <c r="I46" s="25">
        <f t="shared" si="1"/>
        <v>89870.534569548341</v>
      </c>
      <c r="J46" s="24"/>
      <c r="K46" s="22"/>
      <c r="L46" s="22"/>
      <c r="M46" s="22"/>
      <c r="N46" s="23"/>
      <c r="O46" s="22"/>
      <c r="P46" s="22"/>
      <c r="Q46" s="22"/>
      <c r="R46" s="22"/>
    </row>
    <row r="47" spans="1:18" ht="26.4">
      <c r="A47" s="9" t="s">
        <v>61</v>
      </c>
      <c r="B47" s="13" t="s">
        <v>170</v>
      </c>
      <c r="C47" s="14" t="s">
        <v>171</v>
      </c>
      <c r="D47" s="14"/>
      <c r="E47" s="14"/>
      <c r="F47" s="18"/>
      <c r="G47" s="19"/>
      <c r="H47" s="15"/>
      <c r="I47" s="25"/>
      <c r="J47" s="24"/>
      <c r="K47" s="22"/>
      <c r="L47" s="22"/>
      <c r="M47" s="22"/>
      <c r="N47" s="23"/>
      <c r="O47" s="22"/>
      <c r="P47" s="22"/>
      <c r="Q47" s="22"/>
      <c r="R47" s="22"/>
    </row>
    <row r="48" spans="1:18" ht="14.4">
      <c r="A48" s="9" t="s">
        <v>61</v>
      </c>
      <c r="B48" s="13" t="s">
        <v>172</v>
      </c>
      <c r="C48" s="14" t="s">
        <v>173</v>
      </c>
      <c r="D48" s="14"/>
      <c r="E48" s="14"/>
      <c r="F48" s="18"/>
      <c r="G48" s="19"/>
      <c r="H48" s="15"/>
      <c r="I48" s="25"/>
      <c r="J48" s="24" t="s">
        <v>174</v>
      </c>
      <c r="K48" s="22"/>
      <c r="L48" s="22"/>
      <c r="M48" s="22"/>
      <c r="N48" s="23"/>
      <c r="O48" s="22"/>
      <c r="P48" s="22"/>
      <c r="Q48" s="22"/>
      <c r="R48" s="22"/>
    </row>
    <row r="49" spans="1:18" ht="26.4">
      <c r="A49" s="9">
        <f>A46+1</f>
        <v>34</v>
      </c>
      <c r="B49" s="17" t="s">
        <v>175</v>
      </c>
      <c r="C49" s="21" t="s">
        <v>176</v>
      </c>
      <c r="D49" s="20" t="s">
        <v>17</v>
      </c>
      <c r="E49" s="9" t="s">
        <v>14</v>
      </c>
      <c r="F49" s="18">
        <v>1</v>
      </c>
      <c r="G49" s="19">
        <f>1.633198857*391.52</f>
        <v>639.43001649263999</v>
      </c>
      <c r="H49" s="18">
        <v>39.450000000000003</v>
      </c>
      <c r="I49" s="25">
        <f t="shared" si="1"/>
        <v>25225.514150634648</v>
      </c>
      <c r="J49" s="24"/>
      <c r="K49" s="22"/>
      <c r="L49" s="22"/>
      <c r="M49" s="22"/>
      <c r="N49" s="23"/>
      <c r="O49" s="22"/>
      <c r="P49" s="22"/>
      <c r="Q49" s="22"/>
      <c r="R49" s="22"/>
    </row>
    <row r="50" spans="1:18" ht="14.4">
      <c r="A50" s="9">
        <f t="shared" ref="A50:A70" si="2">A49+1</f>
        <v>35</v>
      </c>
      <c r="B50" s="17" t="s">
        <v>177</v>
      </c>
      <c r="C50" s="21" t="s">
        <v>58</v>
      </c>
      <c r="D50" s="20" t="s">
        <v>17</v>
      </c>
      <c r="E50" s="9" t="s">
        <v>43</v>
      </c>
      <c r="F50" s="18">
        <v>1</v>
      </c>
      <c r="G50" s="19">
        <f>714</f>
        <v>714</v>
      </c>
      <c r="H50" s="18">
        <v>43.395000000000003</v>
      </c>
      <c r="I50" s="25">
        <f t="shared" si="1"/>
        <v>30984.030000000002</v>
      </c>
      <c r="J50" s="24"/>
      <c r="K50" s="22"/>
      <c r="L50" s="22"/>
      <c r="M50" s="22"/>
      <c r="N50" s="23"/>
      <c r="O50" s="22"/>
      <c r="P50" s="22"/>
      <c r="Q50" s="22"/>
      <c r="R50" s="22"/>
    </row>
    <row r="51" spans="1:18" ht="26.4">
      <c r="A51" s="9">
        <f t="shared" si="2"/>
        <v>36</v>
      </c>
      <c r="B51" s="17" t="s">
        <v>178</v>
      </c>
      <c r="C51" s="21" t="s">
        <v>179</v>
      </c>
      <c r="D51" s="20" t="s">
        <v>17</v>
      </c>
      <c r="E51" s="9" t="s">
        <v>14</v>
      </c>
      <c r="F51" s="18">
        <v>1</v>
      </c>
      <c r="G51" s="19">
        <f>1.633198857*464.97</f>
        <v>759.38847253929009</v>
      </c>
      <c r="H51" s="18">
        <v>52.6</v>
      </c>
      <c r="I51" s="25">
        <f t="shared" si="1"/>
        <v>39943.833655566661</v>
      </c>
      <c r="J51" s="24"/>
      <c r="K51" s="22"/>
      <c r="L51" s="22"/>
      <c r="M51" s="22"/>
      <c r="N51" s="23"/>
      <c r="O51" s="22"/>
      <c r="P51" s="22"/>
      <c r="Q51" s="22"/>
      <c r="R51" s="22"/>
    </row>
    <row r="52" spans="1:18" ht="39.6">
      <c r="A52" s="9">
        <f t="shared" si="2"/>
        <v>37</v>
      </c>
      <c r="B52" s="17" t="s">
        <v>180</v>
      </c>
      <c r="C52" s="21" t="s">
        <v>181</v>
      </c>
      <c r="D52" s="20" t="s">
        <v>17</v>
      </c>
      <c r="E52" s="9" t="s">
        <v>43</v>
      </c>
      <c r="F52" s="18">
        <v>1</v>
      </c>
      <c r="G52" s="19">
        <f>1960.81</f>
        <v>1960.81</v>
      </c>
      <c r="H52" s="18">
        <v>60.49</v>
      </c>
      <c r="I52" s="25">
        <f t="shared" si="1"/>
        <v>118609.39690000001</v>
      </c>
      <c r="J52" s="24"/>
      <c r="K52" s="22"/>
      <c r="L52" s="22"/>
      <c r="M52" s="22"/>
      <c r="N52" s="23"/>
      <c r="O52" s="22"/>
      <c r="P52" s="22"/>
      <c r="Q52" s="22"/>
      <c r="R52" s="22"/>
    </row>
    <row r="53" spans="1:18" ht="14.4">
      <c r="A53" s="9">
        <f t="shared" si="2"/>
        <v>38</v>
      </c>
      <c r="B53" s="17" t="s">
        <v>182</v>
      </c>
      <c r="C53" s="21" t="s">
        <v>183</v>
      </c>
      <c r="D53" s="20" t="s">
        <v>17</v>
      </c>
      <c r="E53" s="9" t="s">
        <v>14</v>
      </c>
      <c r="F53" s="18">
        <v>1</v>
      </c>
      <c r="G53" s="19">
        <f>1.633198857*274.56</f>
        <v>448.41107817791999</v>
      </c>
      <c r="H53" s="18">
        <v>25</v>
      </c>
      <c r="I53" s="25">
        <f t="shared" si="1"/>
        <v>11210.276954448</v>
      </c>
      <c r="J53" s="18">
        <f>0.263*100</f>
        <v>26.3</v>
      </c>
      <c r="K53" s="22"/>
      <c r="L53" s="22"/>
      <c r="M53" s="22"/>
      <c r="N53" s="23"/>
      <c r="O53" s="22"/>
      <c r="P53" s="22"/>
      <c r="Q53" s="22"/>
      <c r="R53" s="22"/>
    </row>
    <row r="54" spans="1:18" ht="14.4">
      <c r="A54" s="9">
        <f t="shared" si="2"/>
        <v>39</v>
      </c>
      <c r="B54" s="17" t="s">
        <v>184</v>
      </c>
      <c r="C54" s="21" t="s">
        <v>185</v>
      </c>
      <c r="D54" s="20" t="s">
        <v>17</v>
      </c>
      <c r="E54" s="9" t="s">
        <v>43</v>
      </c>
      <c r="F54" s="18">
        <v>1</v>
      </c>
      <c r="G54" s="19">
        <f>2958</f>
        <v>2958</v>
      </c>
      <c r="H54" s="18">
        <f>25*1.02</f>
        <v>25.5</v>
      </c>
      <c r="I54" s="25">
        <f t="shared" si="1"/>
        <v>75429</v>
      </c>
      <c r="J54" s="18">
        <v>26.826000000000001</v>
      </c>
      <c r="K54" s="22"/>
      <c r="L54" s="22"/>
      <c r="M54" s="22"/>
      <c r="N54" s="23"/>
      <c r="O54" s="22"/>
      <c r="P54" s="22"/>
      <c r="Q54" s="22"/>
      <c r="R54" s="22"/>
    </row>
    <row r="55" spans="1:18" ht="26.4">
      <c r="A55" s="9">
        <f t="shared" si="2"/>
        <v>40</v>
      </c>
      <c r="B55" s="17" t="s">
        <v>186</v>
      </c>
      <c r="C55" s="21" t="s">
        <v>187</v>
      </c>
      <c r="D55" s="9" t="s">
        <v>89</v>
      </c>
      <c r="E55" s="9" t="s">
        <v>93</v>
      </c>
      <c r="F55" s="18">
        <v>1</v>
      </c>
      <c r="G55" s="19">
        <f>1.633198857*42.01</f>
        <v>68.610683982569995</v>
      </c>
      <c r="H55" s="18">
        <v>263</v>
      </c>
      <c r="I55" s="25">
        <f t="shared" si="1"/>
        <v>18044.609887415907</v>
      </c>
      <c r="J55" s="24"/>
      <c r="K55" s="22"/>
      <c r="L55" s="22"/>
      <c r="M55" s="22"/>
      <c r="N55" s="23"/>
      <c r="O55" s="22"/>
      <c r="P55" s="22"/>
      <c r="Q55" s="22"/>
      <c r="R55" s="22"/>
    </row>
    <row r="56" spans="1:18" ht="39.6">
      <c r="A56" s="9">
        <f t="shared" si="2"/>
        <v>41</v>
      </c>
      <c r="B56" s="17" t="s">
        <v>188</v>
      </c>
      <c r="C56" s="21" t="s">
        <v>189</v>
      </c>
      <c r="D56" s="9" t="s">
        <v>89</v>
      </c>
      <c r="E56" s="9" t="s">
        <v>93</v>
      </c>
      <c r="F56" s="18">
        <v>1</v>
      </c>
      <c r="G56" s="19">
        <f>1.633198857*40.98</f>
        <v>66.928489159859993</v>
      </c>
      <c r="H56" s="18">
        <v>263</v>
      </c>
      <c r="I56" s="25">
        <f t="shared" si="1"/>
        <v>17602.19264904318</v>
      </c>
      <c r="J56" s="24"/>
      <c r="K56" s="22"/>
      <c r="L56" s="22"/>
      <c r="M56" s="22"/>
      <c r="N56" s="23"/>
      <c r="O56" s="22"/>
      <c r="P56" s="22"/>
      <c r="Q56" s="22"/>
      <c r="R56" s="22"/>
    </row>
    <row r="57" spans="1:18" ht="26.4">
      <c r="A57" s="9">
        <f t="shared" si="2"/>
        <v>42</v>
      </c>
      <c r="B57" s="17" t="s">
        <v>190</v>
      </c>
      <c r="C57" s="21" t="s">
        <v>191</v>
      </c>
      <c r="D57" s="9" t="s">
        <v>44</v>
      </c>
      <c r="E57" s="9" t="s">
        <v>45</v>
      </c>
      <c r="F57" s="18">
        <v>1</v>
      </c>
      <c r="G57" s="19">
        <f>22.61</f>
        <v>22.61</v>
      </c>
      <c r="H57" s="18">
        <v>1315</v>
      </c>
      <c r="I57" s="25">
        <f t="shared" si="1"/>
        <v>29732.149999999998</v>
      </c>
      <c r="J57" s="24"/>
      <c r="K57" s="22"/>
      <c r="L57" s="22"/>
      <c r="M57" s="22"/>
      <c r="N57" s="23"/>
      <c r="O57" s="22"/>
      <c r="P57" s="22"/>
      <c r="Q57" s="22"/>
      <c r="R57" s="22"/>
    </row>
    <row r="58" spans="1:18" ht="26.4">
      <c r="A58" s="9">
        <f t="shared" si="2"/>
        <v>43</v>
      </c>
      <c r="B58" s="17" t="s">
        <v>192</v>
      </c>
      <c r="C58" s="21" t="s">
        <v>193</v>
      </c>
      <c r="D58" s="20" t="s">
        <v>17</v>
      </c>
      <c r="E58" s="9" t="s">
        <v>43</v>
      </c>
      <c r="F58" s="18">
        <v>1</v>
      </c>
      <c r="G58" s="19">
        <f>1.633198857*441.51</f>
        <v>721.07362735407003</v>
      </c>
      <c r="H58" s="18">
        <v>97</v>
      </c>
      <c r="I58" s="25">
        <f t="shared" si="1"/>
        <v>69944.141853344787</v>
      </c>
      <c r="J58" s="18">
        <f>0.91*100</f>
        <v>91</v>
      </c>
      <c r="K58" s="22"/>
      <c r="L58" s="22"/>
      <c r="M58" s="22"/>
      <c r="N58" s="23"/>
      <c r="O58" s="22"/>
      <c r="P58" s="22"/>
      <c r="Q58" s="22"/>
      <c r="R58" s="22"/>
    </row>
    <row r="59" spans="1:18" ht="14.4">
      <c r="A59" s="9">
        <f t="shared" si="2"/>
        <v>44</v>
      </c>
      <c r="B59" s="17" t="s">
        <v>194</v>
      </c>
      <c r="C59" s="21" t="s">
        <v>195</v>
      </c>
      <c r="D59" s="20" t="s">
        <v>17</v>
      </c>
      <c r="E59" s="9" t="s">
        <v>43</v>
      </c>
      <c r="F59" s="18">
        <v>1</v>
      </c>
      <c r="G59" s="19">
        <f>2958</f>
        <v>2958</v>
      </c>
      <c r="H59" s="18">
        <f>97*1.02</f>
        <v>98.94</v>
      </c>
      <c r="I59" s="25">
        <f t="shared" si="1"/>
        <v>292664.52</v>
      </c>
      <c r="J59" s="18">
        <v>92.82</v>
      </c>
      <c r="K59" s="22"/>
      <c r="L59" s="22"/>
      <c r="M59" s="22"/>
      <c r="N59" s="23"/>
      <c r="O59" s="22"/>
      <c r="P59" s="22"/>
      <c r="Q59" s="22"/>
      <c r="R59" s="22"/>
    </row>
    <row r="60" spans="1:18" ht="26.4">
      <c r="A60" s="9">
        <f t="shared" si="2"/>
        <v>45</v>
      </c>
      <c r="B60" s="17" t="s">
        <v>196</v>
      </c>
      <c r="C60" s="21" t="s">
        <v>197</v>
      </c>
      <c r="D60" s="9" t="s">
        <v>56</v>
      </c>
      <c r="E60" s="9" t="s">
        <v>42</v>
      </c>
      <c r="F60" s="18">
        <v>1</v>
      </c>
      <c r="G60" s="19">
        <f>1.633198857*40352.64</f>
        <v>65903.885524932484</v>
      </c>
      <c r="H60" s="18">
        <v>9.8650000000000002</v>
      </c>
      <c r="I60" s="25">
        <f t="shared" si="1"/>
        <v>650141.83070345898</v>
      </c>
      <c r="J60" s="18">
        <v>8.36</v>
      </c>
      <c r="K60" s="22"/>
      <c r="L60" s="22"/>
      <c r="M60" s="22"/>
      <c r="N60" s="23"/>
      <c r="O60" s="22"/>
      <c r="P60" s="22"/>
      <c r="Q60" s="22"/>
      <c r="R60" s="22"/>
    </row>
    <row r="61" spans="1:18" ht="39.6">
      <c r="A61" s="9">
        <f t="shared" si="2"/>
        <v>46</v>
      </c>
      <c r="B61" s="17" t="s">
        <v>198</v>
      </c>
      <c r="C61" s="21" t="s">
        <v>199</v>
      </c>
      <c r="D61" s="9" t="s">
        <v>56</v>
      </c>
      <c r="E61" s="9" t="s">
        <v>42</v>
      </c>
      <c r="F61" s="18">
        <v>1</v>
      </c>
      <c r="G61" s="19">
        <f>30969.88</f>
        <v>30969.88</v>
      </c>
      <c r="H61" s="18">
        <v>3.6999999999999998E-2</v>
      </c>
      <c r="I61" s="25">
        <f t="shared" si="1"/>
        <v>1145.8855599999999</v>
      </c>
      <c r="J61" s="18">
        <v>0.50880000000000003</v>
      </c>
      <c r="K61" s="22"/>
      <c r="L61" s="22"/>
      <c r="M61" s="22"/>
      <c r="N61" s="23"/>
      <c r="O61" s="22"/>
      <c r="P61" s="22"/>
      <c r="Q61" s="22"/>
      <c r="R61" s="22"/>
    </row>
    <row r="62" spans="1:18" ht="39.6">
      <c r="A62" s="9">
        <f t="shared" si="2"/>
        <v>47</v>
      </c>
      <c r="B62" s="17" t="s">
        <v>200</v>
      </c>
      <c r="C62" s="21" t="s">
        <v>201</v>
      </c>
      <c r="D62" s="9" t="s">
        <v>56</v>
      </c>
      <c r="E62" s="9" t="s">
        <v>42</v>
      </c>
      <c r="F62" s="18">
        <v>1</v>
      </c>
      <c r="G62" s="19">
        <f>30969.88</f>
        <v>30969.88</v>
      </c>
      <c r="H62" s="18">
        <v>7.77</v>
      </c>
      <c r="I62" s="25">
        <f t="shared" si="1"/>
        <v>240635.9676</v>
      </c>
      <c r="J62" s="18">
        <v>6.0208000000000004</v>
      </c>
      <c r="K62" s="22"/>
      <c r="L62" s="22"/>
      <c r="M62" s="22"/>
      <c r="N62" s="23"/>
      <c r="O62" s="22"/>
      <c r="P62" s="22"/>
      <c r="Q62" s="22"/>
      <c r="R62" s="22"/>
    </row>
    <row r="63" spans="1:18" ht="39.6">
      <c r="A63" s="9">
        <f t="shared" si="2"/>
        <v>48</v>
      </c>
      <c r="B63" s="17" t="s">
        <v>202</v>
      </c>
      <c r="C63" s="21" t="s">
        <v>203</v>
      </c>
      <c r="D63" s="9" t="s">
        <v>56</v>
      </c>
      <c r="E63" s="9" t="s">
        <v>42</v>
      </c>
      <c r="F63" s="18">
        <v>1</v>
      </c>
      <c r="G63" s="19">
        <f>30969.88</f>
        <v>30969.88</v>
      </c>
      <c r="H63" s="18">
        <v>1.6020000000000001</v>
      </c>
      <c r="I63" s="25">
        <f t="shared" si="1"/>
        <v>49613.747760000006</v>
      </c>
      <c r="J63" s="18">
        <v>0.24379999999999999</v>
      </c>
      <c r="K63" s="22"/>
      <c r="L63" s="22"/>
      <c r="M63" s="22"/>
      <c r="N63" s="23"/>
      <c r="O63" s="22"/>
      <c r="P63" s="22"/>
      <c r="Q63" s="22"/>
      <c r="R63" s="22"/>
    </row>
    <row r="64" spans="1:18" ht="39.6">
      <c r="A64" s="9">
        <f t="shared" si="2"/>
        <v>49</v>
      </c>
      <c r="B64" s="17" t="s">
        <v>204</v>
      </c>
      <c r="C64" s="21" t="s">
        <v>205</v>
      </c>
      <c r="D64" s="9" t="s">
        <v>56</v>
      </c>
      <c r="E64" s="9" t="s">
        <v>42</v>
      </c>
      <c r="F64" s="18">
        <v>1</v>
      </c>
      <c r="G64" s="19">
        <f>30969.88</f>
        <v>30969.88</v>
      </c>
      <c r="H64" s="18">
        <v>0.45600000000000002</v>
      </c>
      <c r="I64" s="25">
        <f t="shared" si="1"/>
        <v>14122.265280000001</v>
      </c>
      <c r="J64" s="18">
        <v>2.0882000000000001</v>
      </c>
      <c r="K64" s="22"/>
      <c r="L64" s="22"/>
      <c r="M64" s="22"/>
      <c r="N64" s="23"/>
      <c r="O64" s="22"/>
      <c r="P64" s="22"/>
      <c r="Q64" s="22"/>
      <c r="R64" s="22"/>
    </row>
    <row r="65" spans="1:18" ht="14.4">
      <c r="A65" s="9">
        <f t="shared" si="2"/>
        <v>50</v>
      </c>
      <c r="B65" s="17" t="s">
        <v>206</v>
      </c>
      <c r="C65" s="21" t="s">
        <v>207</v>
      </c>
      <c r="D65" s="9" t="s">
        <v>56</v>
      </c>
      <c r="E65" s="9" t="s">
        <v>42</v>
      </c>
      <c r="F65" s="18">
        <v>1</v>
      </c>
      <c r="G65" s="19">
        <f>1.633198857*3994.24</f>
        <v>6523.3882025836792</v>
      </c>
      <c r="H65" s="18">
        <v>9.8650000000000002</v>
      </c>
      <c r="I65" s="25">
        <f t="shared" si="1"/>
        <v>64353.224618487999</v>
      </c>
      <c r="J65" s="18">
        <v>8.36</v>
      </c>
      <c r="K65" s="22"/>
      <c r="L65" s="22"/>
      <c r="M65" s="22"/>
      <c r="N65" s="23"/>
      <c r="O65" s="22"/>
      <c r="P65" s="22"/>
      <c r="Q65" s="22"/>
      <c r="R65" s="22"/>
    </row>
    <row r="66" spans="1:18" ht="26.4">
      <c r="A66" s="9">
        <f t="shared" si="2"/>
        <v>51</v>
      </c>
      <c r="B66" s="17" t="s">
        <v>208</v>
      </c>
      <c r="C66" s="21" t="s">
        <v>209</v>
      </c>
      <c r="D66" s="20" t="s">
        <v>210</v>
      </c>
      <c r="E66" s="9" t="s">
        <v>211</v>
      </c>
      <c r="F66" s="18">
        <v>1</v>
      </c>
      <c r="G66" s="19">
        <f>1.633198857*119.62</f>
        <v>195.36324727434001</v>
      </c>
      <c r="H66" s="18">
        <v>70</v>
      </c>
      <c r="I66" s="25">
        <f t="shared" si="1"/>
        <v>13675.4273092038</v>
      </c>
      <c r="J66" s="24"/>
      <c r="K66" s="22"/>
      <c r="L66" s="22"/>
      <c r="M66" s="22"/>
      <c r="N66" s="23"/>
      <c r="O66" s="22"/>
      <c r="P66" s="22"/>
      <c r="Q66" s="22"/>
      <c r="R66" s="22"/>
    </row>
    <row r="67" spans="1:18" ht="14.4">
      <c r="A67" s="9">
        <f t="shared" si="2"/>
        <v>52</v>
      </c>
      <c r="B67" s="17" t="s">
        <v>212</v>
      </c>
      <c r="C67" s="21" t="s">
        <v>213</v>
      </c>
      <c r="D67" s="9" t="s">
        <v>25</v>
      </c>
      <c r="E67" s="9" t="s">
        <v>26</v>
      </c>
      <c r="F67" s="18">
        <v>1</v>
      </c>
      <c r="G67" s="19">
        <f>50.63</f>
        <v>50.63</v>
      </c>
      <c r="H67" s="18">
        <v>70</v>
      </c>
      <c r="I67" s="25">
        <f t="shared" si="1"/>
        <v>3544.1000000000004</v>
      </c>
      <c r="J67" s="24"/>
      <c r="K67" s="22"/>
      <c r="L67" s="22"/>
      <c r="M67" s="22"/>
      <c r="N67" s="23"/>
      <c r="O67" s="22"/>
      <c r="P67" s="22"/>
      <c r="Q67" s="22"/>
      <c r="R67" s="22"/>
    </row>
    <row r="68" spans="1:18" ht="14.4">
      <c r="A68" s="9">
        <f t="shared" si="2"/>
        <v>53</v>
      </c>
      <c r="B68" s="17" t="s">
        <v>214</v>
      </c>
      <c r="C68" s="21" t="s">
        <v>215</v>
      </c>
      <c r="D68" s="9" t="s">
        <v>44</v>
      </c>
      <c r="E68" s="9" t="s">
        <v>45</v>
      </c>
      <c r="F68" s="18">
        <v>1</v>
      </c>
      <c r="G68" s="19">
        <v>335.44</v>
      </c>
      <c r="H68" s="18">
        <v>1.54</v>
      </c>
      <c r="I68" s="25">
        <f t="shared" si="1"/>
        <v>516.57759999999996</v>
      </c>
      <c r="J68" s="24"/>
      <c r="K68" s="22"/>
      <c r="L68" s="22"/>
      <c r="M68" s="22"/>
      <c r="N68" s="23"/>
      <c r="O68" s="22"/>
      <c r="P68" s="22"/>
      <c r="Q68" s="22"/>
      <c r="R68" s="22"/>
    </row>
    <row r="69" spans="1:18" ht="26.4">
      <c r="A69" s="9">
        <f t="shared" si="2"/>
        <v>54</v>
      </c>
      <c r="B69" s="17" t="s">
        <v>216</v>
      </c>
      <c r="C69" s="21" t="s">
        <v>217</v>
      </c>
      <c r="D69" s="9" t="s">
        <v>89</v>
      </c>
      <c r="E69" s="9" t="s">
        <v>93</v>
      </c>
      <c r="F69" s="18">
        <v>1</v>
      </c>
      <c r="G69" s="19">
        <f>1.633198857*650.44</f>
        <v>1062.2978645470801</v>
      </c>
      <c r="H69" s="18">
        <v>14.7</v>
      </c>
      <c r="I69" s="25">
        <f t="shared" si="1"/>
        <v>15615.778608842076</v>
      </c>
      <c r="J69" s="24"/>
      <c r="K69" s="22"/>
      <c r="L69" s="22"/>
      <c r="M69" s="22"/>
      <c r="N69" s="23"/>
      <c r="O69" s="22"/>
      <c r="P69" s="22"/>
      <c r="Q69" s="22"/>
      <c r="R69" s="22"/>
    </row>
    <row r="70" spans="1:18" ht="14.4">
      <c r="A70" s="9">
        <f t="shared" si="2"/>
        <v>55</v>
      </c>
      <c r="B70" s="30" t="s">
        <v>218</v>
      </c>
      <c r="C70" s="30" t="s">
        <v>219</v>
      </c>
      <c r="D70" s="31" t="s">
        <v>48</v>
      </c>
      <c r="E70" s="20" t="s">
        <v>220</v>
      </c>
      <c r="F70" s="18">
        <v>1</v>
      </c>
      <c r="G70" s="19"/>
      <c r="H70" s="32">
        <v>1</v>
      </c>
      <c r="I70" s="25"/>
      <c r="J70" s="24"/>
      <c r="K70" s="22"/>
      <c r="L70" s="22"/>
      <c r="M70" s="22"/>
      <c r="N70" s="23"/>
      <c r="O70" s="22"/>
      <c r="P70" s="22"/>
      <c r="Q70" s="22"/>
      <c r="R70" s="22"/>
    </row>
    <row r="71" spans="1:18" ht="14.4">
      <c r="A71" s="9" t="s">
        <v>61</v>
      </c>
      <c r="B71" s="13" t="s">
        <v>221</v>
      </c>
      <c r="C71" s="14" t="s">
        <v>222</v>
      </c>
      <c r="D71" s="14"/>
      <c r="E71" s="14"/>
      <c r="F71" s="18"/>
      <c r="G71" s="19"/>
      <c r="H71" s="15"/>
      <c r="I71" s="25"/>
      <c r="J71" s="24"/>
      <c r="K71" s="22"/>
      <c r="L71" s="22"/>
      <c r="M71" s="22"/>
      <c r="N71" s="23"/>
      <c r="O71" s="22"/>
      <c r="P71" s="22"/>
      <c r="Q71" s="22"/>
      <c r="R71" s="22"/>
    </row>
    <row r="72" spans="1:18" ht="39.6">
      <c r="A72" s="9">
        <f>A70+1</f>
        <v>56</v>
      </c>
      <c r="B72" s="17" t="s">
        <v>223</v>
      </c>
      <c r="C72" s="21" t="s">
        <v>224</v>
      </c>
      <c r="D72" s="20" t="s">
        <v>17</v>
      </c>
      <c r="E72" s="9" t="s">
        <v>43</v>
      </c>
      <c r="F72" s="18">
        <v>1</v>
      </c>
      <c r="G72" s="19">
        <f>1.633198857*3420.27</f>
        <v>5585.9810546313902</v>
      </c>
      <c r="H72" s="18">
        <f>(0.696*6)+(0.848*4)</f>
        <v>7.5679999999999996</v>
      </c>
      <c r="I72" s="25">
        <f t="shared" si="1"/>
        <v>42274.704621450357</v>
      </c>
      <c r="J72" s="18">
        <v>27.5</v>
      </c>
      <c r="K72" s="22"/>
      <c r="L72" s="22"/>
      <c r="M72" s="22"/>
      <c r="N72" s="23"/>
      <c r="O72" s="22"/>
      <c r="P72" s="22"/>
      <c r="Q72" s="22"/>
      <c r="R72" s="22"/>
    </row>
    <row r="73" spans="1:18" ht="14.4">
      <c r="A73" s="9">
        <f t="shared" ref="A73:A83" si="3">A72+1</f>
        <v>57</v>
      </c>
      <c r="B73" s="17" t="s">
        <v>225</v>
      </c>
      <c r="C73" s="21" t="s">
        <v>226</v>
      </c>
      <c r="D73" s="20" t="s">
        <v>17</v>
      </c>
      <c r="E73" s="9" t="s">
        <v>43</v>
      </c>
      <c r="F73" s="18">
        <v>1</v>
      </c>
      <c r="G73" s="19">
        <f>2958</f>
        <v>2958</v>
      </c>
      <c r="H73" s="18">
        <f>H72*1.02</f>
        <v>7.71936</v>
      </c>
      <c r="I73" s="25">
        <f t="shared" si="1"/>
        <v>22833.866880000001</v>
      </c>
      <c r="J73" s="18">
        <v>27.912500000000001</v>
      </c>
      <c r="K73" s="22"/>
      <c r="L73" s="22"/>
      <c r="M73" s="22"/>
      <c r="N73" s="23"/>
      <c r="O73" s="22"/>
      <c r="P73" s="22"/>
      <c r="Q73" s="22"/>
      <c r="R73" s="22"/>
    </row>
    <row r="74" spans="1:18" ht="39.6">
      <c r="A74" s="9">
        <f t="shared" si="3"/>
        <v>58</v>
      </c>
      <c r="B74" s="17" t="s">
        <v>227</v>
      </c>
      <c r="C74" s="21" t="s">
        <v>228</v>
      </c>
      <c r="D74" s="9" t="s">
        <v>229</v>
      </c>
      <c r="E74" s="9" t="s">
        <v>230</v>
      </c>
      <c r="F74" s="18">
        <v>1</v>
      </c>
      <c r="G74" s="19">
        <f>1.633198857*11.69</f>
        <v>19.09209463833</v>
      </c>
      <c r="H74" s="18">
        <v>33.28</v>
      </c>
      <c r="I74" s="25">
        <f t="shared" si="1"/>
        <v>635.38490956362239</v>
      </c>
      <c r="J74" s="24"/>
      <c r="K74" s="22"/>
      <c r="L74" s="22"/>
      <c r="M74" s="22"/>
      <c r="N74" s="23"/>
      <c r="O74" s="22"/>
      <c r="P74" s="22"/>
      <c r="Q74" s="22"/>
      <c r="R74" s="22"/>
    </row>
    <row r="75" spans="1:18" ht="26.4">
      <c r="A75" s="9">
        <f t="shared" si="3"/>
        <v>59</v>
      </c>
      <c r="B75" s="17" t="s">
        <v>196</v>
      </c>
      <c r="C75" s="21" t="s">
        <v>197</v>
      </c>
      <c r="D75" s="9" t="s">
        <v>56</v>
      </c>
      <c r="E75" s="9" t="s">
        <v>42</v>
      </c>
      <c r="F75" s="18">
        <v>1</v>
      </c>
      <c r="G75" s="19">
        <f>1.633198857*40254.6</f>
        <v>65743.766708992203</v>
      </c>
      <c r="H75" s="18">
        <v>2.4300000000000002</v>
      </c>
      <c r="I75" s="25">
        <f t="shared" ref="I75:I138" si="4">G75*H75</f>
        <v>159757.35310285108</v>
      </c>
      <c r="J75" s="24">
        <v>2.69</v>
      </c>
      <c r="K75" s="22"/>
      <c r="L75" s="22"/>
      <c r="M75" s="22"/>
      <c r="N75" s="23"/>
      <c r="O75" s="22"/>
      <c r="P75" s="22"/>
      <c r="Q75" s="22"/>
      <c r="R75" s="22"/>
    </row>
    <row r="76" spans="1:18" ht="14.4">
      <c r="A76" s="9">
        <f t="shared" si="3"/>
        <v>60</v>
      </c>
      <c r="B76" s="17" t="s">
        <v>231</v>
      </c>
      <c r="C76" s="21" t="s">
        <v>232</v>
      </c>
      <c r="D76" s="20" t="s">
        <v>17</v>
      </c>
      <c r="E76" s="9" t="s">
        <v>43</v>
      </c>
      <c r="F76" s="18">
        <v>1</v>
      </c>
      <c r="G76" s="19">
        <f>163.4</f>
        <v>163.4</v>
      </c>
      <c r="H76" s="18">
        <v>1.5269999999999999</v>
      </c>
      <c r="I76" s="25">
        <f t="shared" si="4"/>
        <v>249.51179999999999</v>
      </c>
      <c r="J76" s="24"/>
      <c r="K76" s="22"/>
      <c r="L76" s="22"/>
      <c r="M76" s="22"/>
      <c r="N76" s="23"/>
      <c r="O76" s="22"/>
      <c r="P76" s="22"/>
      <c r="Q76" s="22"/>
      <c r="R76" s="22"/>
    </row>
    <row r="77" spans="1:18" ht="14.4">
      <c r="A77" s="9">
        <f t="shared" si="3"/>
        <v>61</v>
      </c>
      <c r="B77" s="17" t="s">
        <v>233</v>
      </c>
      <c r="C77" s="21" t="s">
        <v>234</v>
      </c>
      <c r="D77" s="9" t="s">
        <v>56</v>
      </c>
      <c r="E77" s="9" t="s">
        <v>42</v>
      </c>
      <c r="F77" s="18">
        <v>1</v>
      </c>
      <c r="G77" s="19">
        <f>1.633198857*4703.76</f>
        <v>7682.1754556023207</v>
      </c>
      <c r="H77" s="18">
        <v>2.4300000000000002</v>
      </c>
      <c r="I77" s="25">
        <f t="shared" si="4"/>
        <v>18667.686357113642</v>
      </c>
      <c r="J77" s="24">
        <v>2.69</v>
      </c>
      <c r="K77" s="22"/>
      <c r="L77" s="22"/>
      <c r="M77" s="22"/>
      <c r="N77" s="23"/>
      <c r="O77" s="22"/>
      <c r="P77" s="22"/>
      <c r="Q77" s="22"/>
      <c r="R77" s="22"/>
    </row>
    <row r="78" spans="1:18" ht="39.6">
      <c r="A78" s="9">
        <f t="shared" si="3"/>
        <v>62</v>
      </c>
      <c r="B78" s="17" t="s">
        <v>235</v>
      </c>
      <c r="C78" s="21" t="s">
        <v>236</v>
      </c>
      <c r="D78" s="9" t="s">
        <v>56</v>
      </c>
      <c r="E78" s="9" t="s">
        <v>42</v>
      </c>
      <c r="F78" s="18">
        <v>1</v>
      </c>
      <c r="G78" s="19">
        <f>30969.88</f>
        <v>30969.88</v>
      </c>
      <c r="H78" s="33">
        <f>(0.015*6)+(0.017*4)</f>
        <v>0.158</v>
      </c>
      <c r="I78" s="25">
        <f t="shared" si="4"/>
        <v>4893.2410399999999</v>
      </c>
      <c r="J78" s="18">
        <v>0.24909999999999999</v>
      </c>
      <c r="K78" s="22"/>
      <c r="L78" s="22"/>
      <c r="M78" s="22"/>
      <c r="N78" s="23"/>
      <c r="O78" s="22"/>
      <c r="P78" s="22"/>
      <c r="Q78" s="22"/>
      <c r="R78" s="22"/>
    </row>
    <row r="79" spans="1:18" ht="39.6">
      <c r="A79" s="9">
        <f t="shared" si="3"/>
        <v>63</v>
      </c>
      <c r="B79" s="17" t="s">
        <v>200</v>
      </c>
      <c r="C79" s="21" t="s">
        <v>201</v>
      </c>
      <c r="D79" s="9" t="s">
        <v>56</v>
      </c>
      <c r="E79" s="9" t="s">
        <v>42</v>
      </c>
      <c r="F79" s="18">
        <v>1</v>
      </c>
      <c r="G79" s="19">
        <f>30969.88</f>
        <v>30969.88</v>
      </c>
      <c r="H79" s="18">
        <v>0.6</v>
      </c>
      <c r="I79" s="25">
        <f t="shared" si="4"/>
        <v>18581.928</v>
      </c>
      <c r="J79" s="18">
        <v>1.484</v>
      </c>
      <c r="K79" s="22"/>
      <c r="L79" s="22"/>
      <c r="M79" s="22"/>
      <c r="N79" s="23"/>
      <c r="O79" s="22"/>
      <c r="P79" s="22"/>
      <c r="Q79" s="22"/>
      <c r="R79" s="22"/>
    </row>
    <row r="80" spans="1:18" ht="39.6">
      <c r="A80" s="9">
        <f t="shared" si="3"/>
        <v>64</v>
      </c>
      <c r="B80" s="17" t="s">
        <v>237</v>
      </c>
      <c r="C80" s="21" t="s">
        <v>203</v>
      </c>
      <c r="D80" s="9" t="s">
        <v>56</v>
      </c>
      <c r="E80" s="9" t="s">
        <v>42</v>
      </c>
      <c r="F80" s="18">
        <v>1</v>
      </c>
      <c r="G80" s="19">
        <f>30969.88</f>
        <v>30969.88</v>
      </c>
      <c r="H80" s="33">
        <f>(0.149*6)+(0.196*4)</f>
        <v>1.6779999999999999</v>
      </c>
      <c r="I80" s="25">
        <f t="shared" si="4"/>
        <v>51967.458639999997</v>
      </c>
      <c r="J80" s="18">
        <v>0.96460000000000001</v>
      </c>
      <c r="K80" s="22"/>
      <c r="L80" s="22"/>
      <c r="M80" s="22"/>
      <c r="N80" s="23"/>
      <c r="O80" s="22"/>
      <c r="P80" s="22"/>
      <c r="Q80" s="22"/>
      <c r="R80" s="22"/>
    </row>
    <row r="81" spans="1:18" ht="26.4">
      <c r="A81" s="9">
        <f t="shared" si="3"/>
        <v>65</v>
      </c>
      <c r="B81" s="17" t="s">
        <v>238</v>
      </c>
      <c r="C81" s="21" t="s">
        <v>239</v>
      </c>
      <c r="D81" s="9" t="s">
        <v>89</v>
      </c>
      <c r="E81" s="9" t="s">
        <v>93</v>
      </c>
      <c r="F81" s="18">
        <v>1</v>
      </c>
      <c r="G81" s="19">
        <f>1.633198857*54.04</f>
        <v>88.258066232280001</v>
      </c>
      <c r="H81" s="18">
        <v>20</v>
      </c>
      <c r="I81" s="25">
        <f t="shared" si="4"/>
        <v>1765.1613246456</v>
      </c>
      <c r="J81" s="34">
        <v>175.7</v>
      </c>
      <c r="K81" s="22"/>
      <c r="L81" s="22"/>
      <c r="M81" s="22"/>
      <c r="N81" s="23"/>
      <c r="O81" s="22"/>
      <c r="P81" s="22"/>
      <c r="Q81" s="22"/>
      <c r="R81" s="22"/>
    </row>
    <row r="82" spans="1:18" ht="14.4">
      <c r="A82" s="9">
        <f t="shared" si="3"/>
        <v>66</v>
      </c>
      <c r="B82" s="17" t="s">
        <v>240</v>
      </c>
      <c r="C82" s="21" t="s">
        <v>241</v>
      </c>
      <c r="D82" s="9" t="s">
        <v>52</v>
      </c>
      <c r="E82" s="9" t="s">
        <v>53</v>
      </c>
      <c r="F82" s="18">
        <v>1</v>
      </c>
      <c r="G82" s="19">
        <v>60.77</v>
      </c>
      <c r="H82" s="18">
        <v>11.8</v>
      </c>
      <c r="I82" s="25">
        <f t="shared" si="4"/>
        <v>717.08600000000013</v>
      </c>
      <c r="J82" s="34">
        <v>118.41506</v>
      </c>
      <c r="K82" s="22"/>
      <c r="L82" s="22"/>
      <c r="M82" s="22"/>
      <c r="N82" s="23"/>
      <c r="O82" s="22"/>
      <c r="P82" s="22"/>
      <c r="Q82" s="22"/>
      <c r="R82" s="22"/>
    </row>
    <row r="83" spans="1:18" ht="14.4">
      <c r="A83" s="9">
        <f t="shared" si="3"/>
        <v>67</v>
      </c>
      <c r="B83" s="30" t="s">
        <v>218</v>
      </c>
      <c r="C83" s="30" t="s">
        <v>219</v>
      </c>
      <c r="D83" s="31" t="s">
        <v>48</v>
      </c>
      <c r="E83" s="20" t="s">
        <v>220</v>
      </c>
      <c r="F83" s="18">
        <v>1</v>
      </c>
      <c r="G83" s="19"/>
      <c r="H83" s="32">
        <v>1</v>
      </c>
      <c r="I83" s="25"/>
      <c r="J83" s="35"/>
      <c r="K83" s="22"/>
      <c r="L83" s="22"/>
      <c r="M83" s="22"/>
      <c r="N83" s="23"/>
      <c r="O83" s="22"/>
      <c r="P83" s="22"/>
      <c r="Q83" s="22"/>
      <c r="R83" s="22"/>
    </row>
    <row r="84" spans="1:18" ht="14.4">
      <c r="A84" s="9" t="s">
        <v>61</v>
      </c>
      <c r="B84" s="13" t="s">
        <v>242</v>
      </c>
      <c r="C84" s="14" t="s">
        <v>243</v>
      </c>
      <c r="D84" s="14"/>
      <c r="E84" s="14"/>
      <c r="F84" s="18"/>
      <c r="G84" s="19"/>
      <c r="H84" s="15"/>
      <c r="I84" s="25"/>
      <c r="J84" s="24" t="s">
        <v>244</v>
      </c>
      <c r="K84" s="22"/>
      <c r="L84" s="22"/>
      <c r="M84" s="22"/>
      <c r="N84" s="23"/>
      <c r="O84" s="22"/>
      <c r="P84" s="22"/>
      <c r="Q84" s="22"/>
      <c r="R84" s="22"/>
    </row>
    <row r="85" spans="1:18" s="1" customFormat="1" ht="39.6">
      <c r="A85" s="20">
        <f>A83+1</f>
        <v>68</v>
      </c>
      <c r="B85" s="17" t="s">
        <v>223</v>
      </c>
      <c r="C85" s="17" t="s">
        <v>224</v>
      </c>
      <c r="D85" s="20" t="s">
        <v>17</v>
      </c>
      <c r="E85" s="9" t="s">
        <v>43</v>
      </c>
      <c r="F85" s="18">
        <v>1</v>
      </c>
      <c r="G85" s="19">
        <f>1.633198857*3434.42</f>
        <v>5609.0908184579403</v>
      </c>
      <c r="H85" s="32">
        <f>5.9*2</f>
        <v>11.8</v>
      </c>
      <c r="I85" s="25">
        <f t="shared" si="4"/>
        <v>66187.271657803693</v>
      </c>
      <c r="J85" s="32">
        <v>12.5</v>
      </c>
      <c r="K85" s="36"/>
      <c r="L85" s="36"/>
      <c r="M85" s="36"/>
      <c r="N85" s="23"/>
      <c r="O85" s="36"/>
      <c r="P85" s="36"/>
      <c r="Q85" s="36"/>
      <c r="R85" s="36"/>
    </row>
    <row r="86" spans="1:18" s="1" customFormat="1" ht="14.4">
      <c r="A86" s="20">
        <f>A85+1</f>
        <v>69</v>
      </c>
      <c r="B86" s="17" t="s">
        <v>245</v>
      </c>
      <c r="C86" s="17" t="s">
        <v>246</v>
      </c>
      <c r="D86" s="20" t="s">
        <v>17</v>
      </c>
      <c r="E86" s="20" t="s">
        <v>43</v>
      </c>
      <c r="F86" s="18">
        <v>1</v>
      </c>
      <c r="G86" s="19">
        <f>2958</f>
        <v>2958</v>
      </c>
      <c r="H86" s="32">
        <f>(5.9*2)*1.02</f>
        <v>12.036000000000001</v>
      </c>
      <c r="I86" s="25">
        <f t="shared" si="4"/>
        <v>35602.488000000005</v>
      </c>
      <c r="J86" s="32">
        <v>12.636749999999999</v>
      </c>
      <c r="K86" s="36"/>
      <c r="L86" s="36"/>
      <c r="M86" s="36"/>
      <c r="N86" s="23"/>
      <c r="O86" s="36"/>
      <c r="P86" s="36"/>
      <c r="Q86" s="36"/>
      <c r="R86" s="36"/>
    </row>
    <row r="87" spans="1:18" s="1" customFormat="1" ht="26.4">
      <c r="A87" s="20">
        <f>A86+1</f>
        <v>70</v>
      </c>
      <c r="B87" s="17" t="s">
        <v>196</v>
      </c>
      <c r="C87" s="17" t="s">
        <v>197</v>
      </c>
      <c r="D87" s="9" t="s">
        <v>56</v>
      </c>
      <c r="E87" s="20" t="s">
        <v>42</v>
      </c>
      <c r="F87" s="18">
        <v>1</v>
      </c>
      <c r="G87" s="19">
        <f>1.633198857*40352.64</f>
        <v>65903.885524932484</v>
      </c>
      <c r="H87" s="32">
        <v>1.47</v>
      </c>
      <c r="I87" s="25">
        <f t="shared" si="4"/>
        <v>96878.711721650747</v>
      </c>
      <c r="J87" s="32">
        <v>1.5449999999999999</v>
      </c>
      <c r="K87" s="36"/>
      <c r="L87" s="36"/>
      <c r="M87" s="36"/>
      <c r="N87" s="23"/>
      <c r="O87" s="36"/>
      <c r="P87" s="36"/>
      <c r="Q87" s="36"/>
      <c r="R87" s="36"/>
    </row>
    <row r="88" spans="1:18" s="1" customFormat="1" ht="14.4">
      <c r="A88" s="20">
        <f>A87+1</f>
        <v>71</v>
      </c>
      <c r="B88" s="17" t="s">
        <v>233</v>
      </c>
      <c r="C88" s="17" t="s">
        <v>234</v>
      </c>
      <c r="D88" s="9" t="s">
        <v>56</v>
      </c>
      <c r="E88" s="20" t="s">
        <v>42</v>
      </c>
      <c r="F88" s="18">
        <v>1</v>
      </c>
      <c r="G88" s="19">
        <f>1.633198857*4703.76</f>
        <v>7682.1754556023207</v>
      </c>
      <c r="H88" s="32">
        <v>1.47</v>
      </c>
      <c r="I88" s="25">
        <f t="shared" si="4"/>
        <v>11292.797919735411</v>
      </c>
      <c r="J88" s="32">
        <v>1.5449999999999999</v>
      </c>
      <c r="K88" s="36"/>
      <c r="L88" s="36"/>
      <c r="M88" s="36"/>
      <c r="N88" s="23"/>
      <c r="O88" s="36"/>
      <c r="P88" s="36"/>
      <c r="Q88" s="36"/>
      <c r="R88" s="36"/>
    </row>
    <row r="89" spans="1:18" s="1" customFormat="1" ht="39.6">
      <c r="A89" s="20">
        <f>A88+1</f>
        <v>72</v>
      </c>
      <c r="B89" s="17" t="s">
        <v>200</v>
      </c>
      <c r="C89" s="17" t="s">
        <v>201</v>
      </c>
      <c r="D89" s="9" t="s">
        <v>56</v>
      </c>
      <c r="E89" s="20" t="s">
        <v>42</v>
      </c>
      <c r="F89" s="18">
        <v>1</v>
      </c>
      <c r="G89" s="19">
        <f>30969.88</f>
        <v>30969.88</v>
      </c>
      <c r="H89" s="32">
        <v>1.47</v>
      </c>
      <c r="I89" s="25">
        <f t="shared" si="4"/>
        <v>45525.723599999998</v>
      </c>
      <c r="J89" s="32">
        <v>1.6376999999999999</v>
      </c>
      <c r="K89" s="36"/>
      <c r="L89" s="36"/>
      <c r="M89" s="36"/>
      <c r="N89" s="23"/>
      <c r="O89" s="36"/>
      <c r="P89" s="36"/>
      <c r="Q89" s="36"/>
      <c r="R89" s="36"/>
    </row>
    <row r="90" spans="1:18" s="1" customFormat="1" ht="14.4">
      <c r="A90" s="20">
        <f>A89+1</f>
        <v>73</v>
      </c>
      <c r="B90" s="30" t="s">
        <v>218</v>
      </c>
      <c r="C90" s="30" t="s">
        <v>219</v>
      </c>
      <c r="D90" s="31" t="s">
        <v>48</v>
      </c>
      <c r="E90" s="20" t="s">
        <v>220</v>
      </c>
      <c r="F90" s="18">
        <v>1</v>
      </c>
      <c r="G90" s="19"/>
      <c r="H90" s="32">
        <v>1</v>
      </c>
      <c r="I90" s="25">
        <f>SUM(I9:I69)*0.05</f>
        <v>567522.14971880347</v>
      </c>
      <c r="J90" s="37"/>
      <c r="K90" s="36"/>
      <c r="L90" s="36"/>
      <c r="M90" s="36"/>
      <c r="N90" s="23"/>
      <c r="O90" s="36"/>
      <c r="P90" s="36"/>
      <c r="Q90" s="36"/>
      <c r="R90" s="36"/>
    </row>
    <row r="91" spans="1:18" ht="14.4">
      <c r="A91" s="9" t="s">
        <v>61</v>
      </c>
      <c r="B91" s="13" t="s">
        <v>247</v>
      </c>
      <c r="C91" s="14" t="s">
        <v>248</v>
      </c>
      <c r="D91" s="14"/>
      <c r="E91" s="14"/>
      <c r="F91" s="18"/>
      <c r="G91" s="19"/>
      <c r="H91" s="15"/>
      <c r="I91" s="25"/>
      <c r="J91" s="24"/>
      <c r="K91" s="22"/>
      <c r="L91" s="22"/>
      <c r="M91" s="22"/>
      <c r="N91" s="23"/>
      <c r="O91" s="22"/>
      <c r="P91" s="22"/>
      <c r="Q91" s="22"/>
      <c r="R91" s="22"/>
    </row>
    <row r="92" spans="1:18" s="2" customFormat="1" ht="14.4">
      <c r="A92" s="20">
        <f>A90+1</f>
        <v>74</v>
      </c>
      <c r="B92" s="17" t="s">
        <v>249</v>
      </c>
      <c r="C92" s="17" t="s">
        <v>250</v>
      </c>
      <c r="D92" s="20" t="s">
        <v>17</v>
      </c>
      <c r="E92" s="20" t="s">
        <v>43</v>
      </c>
      <c r="F92" s="18">
        <v>1</v>
      </c>
      <c r="G92" s="19">
        <f>1.633198857*3434.42</f>
        <v>5609.0908184579403</v>
      </c>
      <c r="H92" s="32">
        <v>15.27</v>
      </c>
      <c r="I92" s="25">
        <f t="shared" si="4"/>
        <v>85650.816797852749</v>
      </c>
      <c r="J92" s="38">
        <v>17</v>
      </c>
      <c r="K92" s="39"/>
      <c r="L92" s="39"/>
      <c r="M92" s="39"/>
      <c r="N92" s="23">
        <f>SUM(3.6+3.7+0.37+7.6)</f>
        <v>15.27</v>
      </c>
      <c r="O92" s="39"/>
      <c r="P92" s="39"/>
      <c r="Q92" s="39"/>
      <c r="R92" s="39"/>
    </row>
    <row r="93" spans="1:18" s="2" customFormat="1" ht="14.4">
      <c r="A93" s="20">
        <f t="shared" ref="A93:A98" si="5">A92+1</f>
        <v>75</v>
      </c>
      <c r="B93" s="17" t="s">
        <v>225</v>
      </c>
      <c r="C93" s="17" t="s">
        <v>226</v>
      </c>
      <c r="D93" s="20" t="s">
        <v>17</v>
      </c>
      <c r="E93" s="20" t="s">
        <v>43</v>
      </c>
      <c r="F93" s="18">
        <v>1</v>
      </c>
      <c r="G93" s="19">
        <f>2958</f>
        <v>2958</v>
      </c>
      <c r="H93" s="32">
        <f>H92*1.002</f>
        <v>15.30054</v>
      </c>
      <c r="I93" s="25">
        <f t="shared" si="4"/>
        <v>45258.997320000002</v>
      </c>
      <c r="J93" s="38">
        <v>17.254999999999999</v>
      </c>
      <c r="K93" s="39"/>
      <c r="L93" s="39"/>
      <c r="M93" s="39"/>
      <c r="N93" s="23"/>
      <c r="O93" s="39"/>
      <c r="P93" s="39"/>
      <c r="Q93" s="39"/>
      <c r="R93" s="39"/>
    </row>
    <row r="94" spans="1:18" s="2" customFormat="1" ht="26.4">
      <c r="A94" s="20">
        <f t="shared" si="5"/>
        <v>76</v>
      </c>
      <c r="B94" s="17" t="s">
        <v>196</v>
      </c>
      <c r="C94" s="17" t="s">
        <v>197</v>
      </c>
      <c r="D94" s="9" t="s">
        <v>56</v>
      </c>
      <c r="E94" s="20" t="s">
        <v>42</v>
      </c>
      <c r="F94" s="18">
        <v>1</v>
      </c>
      <c r="G94" s="19">
        <f>1.633198857*40254.6</f>
        <v>65743.766708992203</v>
      </c>
      <c r="H94" s="32">
        <v>2.33</v>
      </c>
      <c r="I94" s="25">
        <f t="shared" si="4"/>
        <v>153182.97643195183</v>
      </c>
      <c r="J94" s="38">
        <v>2.33</v>
      </c>
      <c r="K94" s="39"/>
      <c r="L94" s="39"/>
      <c r="M94" s="39"/>
      <c r="N94" s="23"/>
      <c r="O94" s="39"/>
      <c r="P94" s="39"/>
      <c r="Q94" s="39"/>
      <c r="R94" s="39"/>
    </row>
    <row r="95" spans="1:18" s="2" customFormat="1" ht="14.4">
      <c r="A95" s="20">
        <f t="shared" si="5"/>
        <v>77</v>
      </c>
      <c r="B95" s="17" t="s">
        <v>231</v>
      </c>
      <c r="C95" s="17" t="s">
        <v>232</v>
      </c>
      <c r="D95" s="20" t="s">
        <v>17</v>
      </c>
      <c r="E95" s="20" t="s">
        <v>43</v>
      </c>
      <c r="F95" s="18">
        <v>1</v>
      </c>
      <c r="G95" s="19">
        <f>163.4</f>
        <v>163.4</v>
      </c>
      <c r="H95" s="32">
        <v>1.3979999999999999</v>
      </c>
      <c r="I95" s="25">
        <f t="shared" si="4"/>
        <v>228.4332</v>
      </c>
      <c r="J95" s="40"/>
      <c r="K95" s="39"/>
      <c r="L95" s="39"/>
      <c r="M95" s="39"/>
      <c r="N95" s="23"/>
      <c r="O95" s="39"/>
      <c r="P95" s="39"/>
      <c r="Q95" s="39"/>
      <c r="R95" s="39"/>
    </row>
    <row r="96" spans="1:18" s="2" customFormat="1" ht="14.4">
      <c r="A96" s="20">
        <f t="shared" si="5"/>
        <v>78</v>
      </c>
      <c r="B96" s="17" t="s">
        <v>233</v>
      </c>
      <c r="C96" s="17" t="s">
        <v>234</v>
      </c>
      <c r="D96" s="9" t="s">
        <v>56</v>
      </c>
      <c r="E96" s="20" t="s">
        <v>42</v>
      </c>
      <c r="F96" s="18">
        <v>1</v>
      </c>
      <c r="G96" s="19">
        <f>1.633198857*4703.76</f>
        <v>7682.1754556023207</v>
      </c>
      <c r="H96" s="32">
        <v>2.33</v>
      </c>
      <c r="I96" s="25">
        <f t="shared" si="4"/>
        <v>17899.468811553408</v>
      </c>
      <c r="J96" s="40"/>
      <c r="K96" s="39"/>
      <c r="L96" s="39"/>
      <c r="M96" s="39"/>
      <c r="N96" s="23"/>
      <c r="O96" s="39"/>
      <c r="P96" s="39"/>
      <c r="Q96" s="39"/>
      <c r="R96" s="39"/>
    </row>
    <row r="97" spans="1:18" s="2" customFormat="1" ht="39.6">
      <c r="A97" s="20">
        <f t="shared" si="5"/>
        <v>79</v>
      </c>
      <c r="B97" s="17" t="s">
        <v>200</v>
      </c>
      <c r="C97" s="17" t="s">
        <v>201</v>
      </c>
      <c r="D97" s="9" t="s">
        <v>56</v>
      </c>
      <c r="E97" s="20" t="s">
        <v>42</v>
      </c>
      <c r="F97" s="18">
        <v>1</v>
      </c>
      <c r="G97" s="19">
        <f>30969.88</f>
        <v>30969.88</v>
      </c>
      <c r="H97" s="32">
        <v>2.4698000000000002</v>
      </c>
      <c r="I97" s="25">
        <f t="shared" si="4"/>
        <v>76489.409624000007</v>
      </c>
      <c r="J97" s="40"/>
      <c r="K97" s="39"/>
      <c r="L97" s="39"/>
      <c r="M97" s="39"/>
      <c r="N97" s="23">
        <f>1.516+0.321+0.46</f>
        <v>2.2970000000000002</v>
      </c>
      <c r="O97" s="39"/>
      <c r="P97" s="39"/>
      <c r="Q97" s="39"/>
      <c r="R97" s="39"/>
    </row>
    <row r="98" spans="1:18" s="2" customFormat="1" ht="14.4">
      <c r="A98" s="20">
        <f t="shared" si="5"/>
        <v>80</v>
      </c>
      <c r="B98" s="30" t="s">
        <v>218</v>
      </c>
      <c r="C98" s="30" t="s">
        <v>219</v>
      </c>
      <c r="D98" s="31" t="s">
        <v>48</v>
      </c>
      <c r="E98" s="20" t="s">
        <v>220</v>
      </c>
      <c r="F98" s="18">
        <v>1</v>
      </c>
      <c r="G98" s="19"/>
      <c r="H98" s="32">
        <v>1</v>
      </c>
      <c r="I98" s="25">
        <f>SUM(I92:I97)*0.05</f>
        <v>18935.505109267902</v>
      </c>
      <c r="J98" s="40"/>
      <c r="K98" s="39"/>
      <c r="L98" s="39"/>
      <c r="M98" s="39"/>
      <c r="N98" s="23"/>
      <c r="O98" s="39"/>
      <c r="P98" s="39"/>
      <c r="Q98" s="39"/>
      <c r="R98" s="39"/>
    </row>
    <row r="99" spans="1:18" ht="14.4">
      <c r="A99" s="9" t="s">
        <v>61</v>
      </c>
      <c r="B99" s="13" t="s">
        <v>251</v>
      </c>
      <c r="C99" s="14" t="s">
        <v>252</v>
      </c>
      <c r="D99" s="14"/>
      <c r="E99" s="14"/>
      <c r="F99" s="18"/>
      <c r="G99" s="19"/>
      <c r="H99" s="15"/>
      <c r="I99" s="25"/>
      <c r="J99" s="24"/>
      <c r="K99" s="22"/>
      <c r="L99" s="22"/>
      <c r="M99" s="22"/>
      <c r="N99" s="23"/>
      <c r="O99" s="22"/>
      <c r="P99" s="22"/>
      <c r="Q99" s="22"/>
      <c r="R99" s="22"/>
    </row>
    <row r="100" spans="1:18" s="2" customFormat="1" ht="26.4">
      <c r="A100" s="20">
        <f>A98+1</f>
        <v>81</v>
      </c>
      <c r="B100" s="17" t="s">
        <v>253</v>
      </c>
      <c r="C100" s="17" t="s">
        <v>254</v>
      </c>
      <c r="D100" s="20" t="s">
        <v>17</v>
      </c>
      <c r="E100" s="20" t="s">
        <v>14</v>
      </c>
      <c r="F100" s="18">
        <v>1</v>
      </c>
      <c r="G100" s="19">
        <f>1.633198857*1724.87</f>
        <v>2817.0557124735897</v>
      </c>
      <c r="H100" s="32">
        <v>86.5</v>
      </c>
      <c r="I100" s="25">
        <f t="shared" si="4"/>
        <v>243675.31912896549</v>
      </c>
      <c r="J100" s="40"/>
      <c r="K100" s="39"/>
      <c r="L100" s="39"/>
      <c r="M100" s="39"/>
      <c r="N100" s="23"/>
      <c r="O100" s="39"/>
      <c r="P100" s="39"/>
      <c r="Q100" s="39"/>
      <c r="R100" s="39"/>
    </row>
    <row r="101" spans="1:18" s="2" customFormat="1" ht="26.4">
      <c r="A101" s="20">
        <f t="shared" ref="A101:A111" si="6">A100+1</f>
        <v>82</v>
      </c>
      <c r="B101" s="17" t="s">
        <v>255</v>
      </c>
      <c r="C101" s="17" t="s">
        <v>256</v>
      </c>
      <c r="D101" s="20" t="s">
        <v>257</v>
      </c>
      <c r="E101" s="20" t="s">
        <v>105</v>
      </c>
      <c r="F101" s="18">
        <v>1</v>
      </c>
      <c r="G101" s="19">
        <f>9.97</f>
        <v>9.9700000000000006</v>
      </c>
      <c r="H101" s="32">
        <v>34168</v>
      </c>
      <c r="I101" s="25">
        <f t="shared" si="4"/>
        <v>340654.96</v>
      </c>
      <c r="J101" s="40"/>
      <c r="K101" s="39"/>
      <c r="L101" s="39"/>
      <c r="M101" s="39"/>
      <c r="N101" s="23"/>
      <c r="O101" s="39"/>
      <c r="P101" s="39"/>
      <c r="Q101" s="39"/>
      <c r="R101" s="39"/>
    </row>
    <row r="102" spans="1:18" s="2" customFormat="1" ht="26.4">
      <c r="A102" s="20">
        <f t="shared" si="6"/>
        <v>83</v>
      </c>
      <c r="B102" s="17" t="s">
        <v>258</v>
      </c>
      <c r="C102" s="17" t="s">
        <v>259</v>
      </c>
      <c r="D102" s="20" t="s">
        <v>17</v>
      </c>
      <c r="E102" s="20" t="s">
        <v>43</v>
      </c>
      <c r="F102" s="18">
        <v>1</v>
      </c>
      <c r="G102" s="19">
        <f>2448</f>
        <v>2448</v>
      </c>
      <c r="H102" s="32">
        <v>20.76</v>
      </c>
      <c r="I102" s="25">
        <f t="shared" si="4"/>
        <v>50820.480000000003</v>
      </c>
      <c r="J102" s="40"/>
      <c r="K102" s="39"/>
      <c r="L102" s="39"/>
      <c r="M102" s="39"/>
      <c r="N102" s="23"/>
      <c r="O102" s="39"/>
      <c r="P102" s="39"/>
      <c r="Q102" s="39"/>
      <c r="R102" s="39"/>
    </row>
    <row r="103" spans="1:18" s="2" customFormat="1" ht="26.4">
      <c r="A103" s="20">
        <f t="shared" si="6"/>
        <v>84</v>
      </c>
      <c r="B103" s="17" t="s">
        <v>260</v>
      </c>
      <c r="C103" s="17" t="s">
        <v>261</v>
      </c>
      <c r="D103" s="9" t="s">
        <v>89</v>
      </c>
      <c r="E103" s="20" t="s">
        <v>90</v>
      </c>
      <c r="F103" s="18">
        <v>1</v>
      </c>
      <c r="G103" s="19">
        <f>1.633198857*13992.75</f>
        <v>22852.94330628675</v>
      </c>
      <c r="H103" s="32">
        <v>36</v>
      </c>
      <c r="I103" s="25">
        <f t="shared" si="4"/>
        <v>822705.95902632305</v>
      </c>
      <c r="J103" s="40"/>
      <c r="K103" s="39"/>
      <c r="L103" s="39"/>
      <c r="M103" s="39"/>
      <c r="N103" s="23"/>
      <c r="O103" s="39"/>
      <c r="P103" s="39"/>
      <c r="Q103" s="39"/>
      <c r="R103" s="39"/>
    </row>
    <row r="104" spans="1:18" s="2" customFormat="1" ht="26.4">
      <c r="A104" s="20">
        <f t="shared" si="6"/>
        <v>85</v>
      </c>
      <c r="B104" s="17" t="s">
        <v>262</v>
      </c>
      <c r="C104" s="17" t="s">
        <v>263</v>
      </c>
      <c r="D104" s="20" t="s">
        <v>8</v>
      </c>
      <c r="E104" s="20" t="s">
        <v>9</v>
      </c>
      <c r="F104" s="18">
        <v>1</v>
      </c>
      <c r="G104" s="19">
        <f>1300.4</f>
        <v>1300.4000000000001</v>
      </c>
      <c r="H104" s="32">
        <v>36</v>
      </c>
      <c r="I104" s="25">
        <f t="shared" si="4"/>
        <v>46814.400000000001</v>
      </c>
      <c r="J104" s="40"/>
      <c r="K104" s="39"/>
      <c r="L104" s="39"/>
      <c r="M104" s="39"/>
      <c r="N104" s="23"/>
      <c r="O104" s="39"/>
      <c r="P104" s="39"/>
      <c r="Q104" s="39"/>
      <c r="R104" s="39"/>
    </row>
    <row r="105" spans="1:18" s="2" customFormat="1" ht="14.4">
      <c r="A105" s="20">
        <f t="shared" si="6"/>
        <v>86</v>
      </c>
      <c r="B105" s="17" t="s">
        <v>264</v>
      </c>
      <c r="C105" s="17" t="s">
        <v>265</v>
      </c>
      <c r="D105" s="20" t="s">
        <v>17</v>
      </c>
      <c r="E105" s="20" t="s">
        <v>14</v>
      </c>
      <c r="F105" s="18">
        <v>1</v>
      </c>
      <c r="G105" s="19">
        <f>1.633198857*822.45</f>
        <v>1343.2243999396501</v>
      </c>
      <c r="H105" s="32">
        <v>176.06</v>
      </c>
      <c r="I105" s="25">
        <f t="shared" si="4"/>
        <v>236488.0878533748</v>
      </c>
      <c r="J105" s="40"/>
      <c r="K105" s="39"/>
      <c r="L105" s="39"/>
      <c r="M105" s="39"/>
      <c r="N105" s="23"/>
      <c r="O105" s="39"/>
      <c r="P105" s="39"/>
      <c r="Q105" s="39"/>
      <c r="R105" s="39"/>
    </row>
    <row r="106" spans="1:18" s="2" customFormat="1" ht="14.4">
      <c r="A106" s="20">
        <f t="shared" si="6"/>
        <v>87</v>
      </c>
      <c r="B106" s="17" t="s">
        <v>266</v>
      </c>
      <c r="C106" s="17" t="s">
        <v>267</v>
      </c>
      <c r="D106" s="20" t="s">
        <v>17</v>
      </c>
      <c r="E106" s="20" t="s">
        <v>43</v>
      </c>
      <c r="F106" s="18">
        <v>1</v>
      </c>
      <c r="G106" s="19">
        <f>3709.75</f>
        <v>3709.75</v>
      </c>
      <c r="H106" s="32">
        <v>174.29939999999999</v>
      </c>
      <c r="I106" s="25">
        <f t="shared" si="4"/>
        <v>646607.19915</v>
      </c>
      <c r="J106" s="40"/>
      <c r="K106" s="39"/>
      <c r="L106" s="39"/>
      <c r="M106" s="39"/>
      <c r="N106" s="23"/>
      <c r="O106" s="39"/>
      <c r="P106" s="39"/>
      <c r="Q106" s="39"/>
      <c r="R106" s="39"/>
    </row>
    <row r="107" spans="1:18" s="2" customFormat="1" ht="14.4">
      <c r="A107" s="20">
        <f t="shared" si="6"/>
        <v>88</v>
      </c>
      <c r="B107" s="17" t="s">
        <v>268</v>
      </c>
      <c r="C107" s="17" t="s">
        <v>269</v>
      </c>
      <c r="D107" s="9" t="s">
        <v>44</v>
      </c>
      <c r="E107" s="20" t="s">
        <v>45</v>
      </c>
      <c r="F107" s="18">
        <v>1</v>
      </c>
      <c r="G107" s="19">
        <f>7.03</f>
        <v>7.03</v>
      </c>
      <c r="H107" s="32">
        <v>4401.5</v>
      </c>
      <c r="I107" s="25">
        <f t="shared" si="4"/>
        <v>30942.545000000002</v>
      </c>
      <c r="J107" s="40"/>
      <c r="K107" s="39"/>
      <c r="L107" s="39"/>
      <c r="M107" s="39"/>
      <c r="N107" s="23"/>
      <c r="O107" s="39"/>
      <c r="P107" s="39"/>
      <c r="Q107" s="39"/>
      <c r="R107" s="39"/>
    </row>
    <row r="108" spans="1:18" s="2" customFormat="1" ht="26.4">
      <c r="A108" s="20">
        <f t="shared" si="6"/>
        <v>89</v>
      </c>
      <c r="B108" s="17" t="s">
        <v>270</v>
      </c>
      <c r="C108" s="17" t="s">
        <v>271</v>
      </c>
      <c r="D108" s="9" t="s">
        <v>56</v>
      </c>
      <c r="E108" s="20" t="s">
        <v>42</v>
      </c>
      <c r="F108" s="18">
        <v>1</v>
      </c>
      <c r="G108" s="19">
        <f>1.633198857*97280.88</f>
        <v>158879.02202395417</v>
      </c>
      <c r="H108" s="32">
        <v>1.01</v>
      </c>
      <c r="I108" s="25">
        <f t="shared" si="4"/>
        <v>160467.81224419372</v>
      </c>
      <c r="J108" s="40"/>
      <c r="K108" s="39"/>
      <c r="L108" s="39"/>
      <c r="M108" s="39"/>
      <c r="N108" s="23"/>
      <c r="O108" s="39"/>
      <c r="P108" s="39"/>
      <c r="Q108" s="39"/>
      <c r="R108" s="39"/>
    </row>
    <row r="109" spans="1:18" s="2" customFormat="1" ht="26.4">
      <c r="A109" s="20">
        <f t="shared" si="6"/>
        <v>90</v>
      </c>
      <c r="B109" s="17" t="s">
        <v>123</v>
      </c>
      <c r="C109" s="17" t="s">
        <v>124</v>
      </c>
      <c r="D109" s="20" t="s">
        <v>17</v>
      </c>
      <c r="E109" s="20" t="s">
        <v>43</v>
      </c>
      <c r="F109" s="18">
        <v>1</v>
      </c>
      <c r="G109" s="19">
        <f>1.633198857*3128.88</f>
        <v>5110.0832396901606</v>
      </c>
      <c r="H109" s="32">
        <v>2.98</v>
      </c>
      <c r="I109" s="25">
        <f t="shared" si="4"/>
        <v>15228.048054276678</v>
      </c>
      <c r="J109" s="40"/>
      <c r="K109" s="39"/>
      <c r="L109" s="39"/>
      <c r="M109" s="39"/>
      <c r="N109" s="23"/>
      <c r="O109" s="39"/>
      <c r="P109" s="39"/>
      <c r="Q109" s="39"/>
      <c r="R109" s="39"/>
    </row>
    <row r="110" spans="1:18" s="2" customFormat="1" ht="14.4">
      <c r="A110" s="20">
        <f t="shared" si="6"/>
        <v>91</v>
      </c>
      <c r="B110" s="17" t="s">
        <v>272</v>
      </c>
      <c r="C110" s="17" t="s">
        <v>273</v>
      </c>
      <c r="D110" s="9" t="s">
        <v>56</v>
      </c>
      <c r="E110" s="20" t="s">
        <v>42</v>
      </c>
      <c r="F110" s="18">
        <v>1</v>
      </c>
      <c r="G110" s="19">
        <f>1.633198857*97280.88</f>
        <v>158879.02202395417</v>
      </c>
      <c r="H110" s="32">
        <v>1.5358000000000001</v>
      </c>
      <c r="I110" s="25">
        <f t="shared" si="4"/>
        <v>244006.40202438881</v>
      </c>
      <c r="J110" s="40"/>
      <c r="K110" s="39"/>
      <c r="L110" s="39"/>
      <c r="M110" s="39"/>
      <c r="N110" s="23"/>
      <c r="O110" s="39"/>
      <c r="P110" s="39"/>
      <c r="Q110" s="39"/>
      <c r="R110" s="39"/>
    </row>
    <row r="111" spans="1:18" s="2" customFormat="1" ht="14.4">
      <c r="A111" s="20">
        <f t="shared" si="6"/>
        <v>92</v>
      </c>
      <c r="B111" s="30" t="s">
        <v>218</v>
      </c>
      <c r="C111" s="30" t="s">
        <v>219</v>
      </c>
      <c r="D111" s="31" t="s">
        <v>48</v>
      </c>
      <c r="E111" s="20" t="s">
        <v>220</v>
      </c>
      <c r="F111" s="18">
        <v>1</v>
      </c>
      <c r="G111" s="19"/>
      <c r="H111" s="32">
        <v>1</v>
      </c>
      <c r="I111" s="25">
        <f>SUM(I100:I110)*0.05</f>
        <v>141920.56062407611</v>
      </c>
      <c r="J111" s="40"/>
      <c r="K111" s="39"/>
      <c r="L111" s="39"/>
      <c r="M111" s="39"/>
      <c r="N111" s="23"/>
      <c r="O111" s="39"/>
      <c r="P111" s="39"/>
      <c r="Q111" s="39"/>
      <c r="R111" s="39"/>
    </row>
    <row r="112" spans="1:18" ht="26.4">
      <c r="A112" s="9" t="s">
        <v>61</v>
      </c>
      <c r="B112" s="13" t="s">
        <v>274</v>
      </c>
      <c r="C112" s="14" t="s">
        <v>275</v>
      </c>
      <c r="D112" s="14"/>
      <c r="E112" s="14"/>
      <c r="F112" s="18"/>
      <c r="G112" s="19"/>
      <c r="H112" s="15"/>
      <c r="I112" s="25"/>
      <c r="J112" s="24" t="s">
        <v>276</v>
      </c>
      <c r="K112" s="22"/>
      <c r="L112" s="22"/>
      <c r="M112" s="22"/>
      <c r="N112" s="23"/>
      <c r="O112" s="22"/>
      <c r="P112" s="22"/>
      <c r="Q112" s="22"/>
      <c r="R112" s="22"/>
    </row>
    <row r="113" spans="1:18" s="2" customFormat="1" ht="39.6">
      <c r="A113" s="20">
        <f>A111+1</f>
        <v>93</v>
      </c>
      <c r="B113" s="17" t="s">
        <v>277</v>
      </c>
      <c r="C113" s="17" t="s">
        <v>278</v>
      </c>
      <c r="D113" s="20" t="s">
        <v>17</v>
      </c>
      <c r="E113" s="20" t="s">
        <v>43</v>
      </c>
      <c r="F113" s="18">
        <v>1</v>
      </c>
      <c r="G113" s="19">
        <f>1.633198857*2490.42</f>
        <v>4067.35109744994</v>
      </c>
      <c r="H113" s="32">
        <v>71</v>
      </c>
      <c r="I113" s="25">
        <f t="shared" si="4"/>
        <v>288781.92791894573</v>
      </c>
      <c r="J113" s="32">
        <v>96.9</v>
      </c>
      <c r="K113" s="39"/>
      <c r="L113" s="39"/>
      <c r="M113" s="39"/>
      <c r="N113" s="23"/>
      <c r="O113" s="39"/>
      <c r="P113" s="39"/>
      <c r="Q113" s="39"/>
      <c r="R113" s="39"/>
    </row>
    <row r="114" spans="1:18" s="2" customFormat="1" ht="14.4">
      <c r="A114" s="20">
        <f t="shared" ref="A114:A135" si="7">A113+1</f>
        <v>94</v>
      </c>
      <c r="B114" s="17" t="s">
        <v>279</v>
      </c>
      <c r="C114" s="17" t="s">
        <v>280</v>
      </c>
      <c r="D114" s="20" t="s">
        <v>17</v>
      </c>
      <c r="E114" s="20" t="s">
        <v>43</v>
      </c>
      <c r="F114" s="18">
        <v>1</v>
      </c>
      <c r="G114" s="19">
        <f>2958</f>
        <v>2958</v>
      </c>
      <c r="H114" s="32">
        <v>71</v>
      </c>
      <c r="I114" s="25">
        <f t="shared" si="4"/>
        <v>210018</v>
      </c>
      <c r="J114" s="32">
        <v>98.353499999999997</v>
      </c>
      <c r="K114" s="39"/>
      <c r="L114" s="39"/>
      <c r="M114" s="39"/>
      <c r="N114" s="23"/>
      <c r="O114" s="39"/>
      <c r="P114" s="39"/>
      <c r="Q114" s="39"/>
      <c r="R114" s="39"/>
    </row>
    <row r="115" spans="1:18" s="2" customFormat="1" ht="14.4">
      <c r="A115" s="20">
        <f t="shared" si="7"/>
        <v>95</v>
      </c>
      <c r="B115" s="17" t="s">
        <v>281</v>
      </c>
      <c r="C115" s="17" t="s">
        <v>282</v>
      </c>
      <c r="D115" s="9" t="s">
        <v>56</v>
      </c>
      <c r="E115" s="20" t="s">
        <v>42</v>
      </c>
      <c r="F115" s="18">
        <v>1</v>
      </c>
      <c r="G115" s="19">
        <f>1.633198857*40254.6*1.15</f>
        <v>75605.331715341032</v>
      </c>
      <c r="H115" s="32">
        <v>11.55</v>
      </c>
      <c r="I115" s="25">
        <f t="shared" si="4"/>
        <v>873241.581312189</v>
      </c>
      <c r="J115" s="32">
        <v>9.92</v>
      </c>
      <c r="K115" s="39"/>
      <c r="L115" s="39"/>
      <c r="M115" s="39"/>
      <c r="N115" s="23"/>
      <c r="O115" s="39"/>
      <c r="P115" s="39"/>
      <c r="Q115" s="39"/>
      <c r="R115" s="39"/>
    </row>
    <row r="116" spans="1:18" s="2" customFormat="1" ht="14.4">
      <c r="A116" s="20">
        <f t="shared" si="7"/>
        <v>96</v>
      </c>
      <c r="B116" s="17" t="s">
        <v>231</v>
      </c>
      <c r="C116" s="17" t="s">
        <v>232</v>
      </c>
      <c r="D116" s="20" t="s">
        <v>17</v>
      </c>
      <c r="E116" s="20" t="s">
        <v>43</v>
      </c>
      <c r="F116" s="18">
        <v>1</v>
      </c>
      <c r="G116" s="19">
        <f>163.4</f>
        <v>163.4</v>
      </c>
      <c r="H116" s="32">
        <v>5.952</v>
      </c>
      <c r="I116" s="25">
        <f t="shared" si="4"/>
        <v>972.55680000000007</v>
      </c>
      <c r="J116" s="40"/>
      <c r="K116" s="39"/>
      <c r="L116" s="39"/>
      <c r="M116" s="39"/>
      <c r="N116" s="23"/>
      <c r="O116" s="39"/>
      <c r="P116" s="39"/>
      <c r="Q116" s="39"/>
      <c r="R116" s="39"/>
    </row>
    <row r="117" spans="1:18" s="2" customFormat="1" ht="14.4">
      <c r="A117" s="20">
        <f t="shared" si="7"/>
        <v>97</v>
      </c>
      <c r="B117" s="17" t="s">
        <v>233</v>
      </c>
      <c r="C117" s="17" t="s">
        <v>234</v>
      </c>
      <c r="D117" s="9" t="s">
        <v>56</v>
      </c>
      <c r="E117" s="20" t="s">
        <v>42</v>
      </c>
      <c r="F117" s="18">
        <v>1</v>
      </c>
      <c r="G117" s="19">
        <f>1.633198857*4703.76</f>
        <v>7682.1754556023207</v>
      </c>
      <c r="H117" s="32">
        <v>11.55</v>
      </c>
      <c r="I117" s="25">
        <f t="shared" si="4"/>
        <v>88729.126512206814</v>
      </c>
      <c r="J117" s="32">
        <v>9.92</v>
      </c>
      <c r="K117" s="39"/>
      <c r="L117" s="39"/>
      <c r="M117" s="39"/>
      <c r="N117" s="23"/>
      <c r="O117" s="39"/>
      <c r="P117" s="39"/>
      <c r="Q117" s="39"/>
      <c r="R117" s="39"/>
    </row>
    <row r="118" spans="1:18" s="2" customFormat="1" ht="39.6">
      <c r="A118" s="20">
        <f t="shared" si="7"/>
        <v>98</v>
      </c>
      <c r="B118" s="17" t="s">
        <v>283</v>
      </c>
      <c r="C118" s="17" t="s">
        <v>199</v>
      </c>
      <c r="D118" s="9" t="s">
        <v>56</v>
      </c>
      <c r="E118" s="20" t="s">
        <v>42</v>
      </c>
      <c r="F118" s="18">
        <v>1</v>
      </c>
      <c r="G118" s="19">
        <f>30969.88</f>
        <v>30969.88</v>
      </c>
      <c r="H118" s="32">
        <v>0.32800000000000001</v>
      </c>
      <c r="I118" s="25">
        <f t="shared" si="4"/>
        <v>10158.120640000001</v>
      </c>
      <c r="J118" s="32">
        <v>0.39219999999999999</v>
      </c>
      <c r="K118" s="39"/>
      <c r="L118" s="39"/>
      <c r="M118" s="39"/>
      <c r="N118" s="23"/>
      <c r="O118" s="39"/>
      <c r="P118" s="39"/>
      <c r="Q118" s="39"/>
      <c r="R118" s="39"/>
    </row>
    <row r="119" spans="1:18" s="2" customFormat="1" ht="39.6">
      <c r="A119" s="20">
        <f t="shared" si="7"/>
        <v>99</v>
      </c>
      <c r="B119" s="17" t="s">
        <v>200</v>
      </c>
      <c r="C119" s="17" t="s">
        <v>284</v>
      </c>
      <c r="D119" s="9" t="s">
        <v>56</v>
      </c>
      <c r="E119" s="20" t="s">
        <v>42</v>
      </c>
      <c r="F119" s="18">
        <v>1</v>
      </c>
      <c r="G119" s="19">
        <f>30969.88</f>
        <v>30969.88</v>
      </c>
      <c r="H119" s="32">
        <v>4.4560000000000004</v>
      </c>
      <c r="I119" s="25">
        <f t="shared" si="4"/>
        <v>138001.78528000001</v>
      </c>
      <c r="J119" s="32">
        <v>6.2539999999999996</v>
      </c>
      <c r="K119" s="39"/>
      <c r="L119" s="39"/>
      <c r="M119" s="39"/>
      <c r="N119" s="23"/>
      <c r="O119" s="39"/>
      <c r="P119" s="39"/>
      <c r="Q119" s="39"/>
      <c r="R119" s="39"/>
    </row>
    <row r="120" spans="1:18" s="2" customFormat="1" ht="39.6">
      <c r="A120" s="20">
        <f t="shared" si="7"/>
        <v>100</v>
      </c>
      <c r="B120" s="17" t="s">
        <v>237</v>
      </c>
      <c r="C120" s="17" t="s">
        <v>285</v>
      </c>
      <c r="D120" s="9" t="s">
        <v>56</v>
      </c>
      <c r="E120" s="20" t="s">
        <v>42</v>
      </c>
      <c r="F120" s="18">
        <v>1</v>
      </c>
      <c r="G120" s="19">
        <f>30969.88</f>
        <v>30969.88</v>
      </c>
      <c r="H120" s="32">
        <v>1.4419999999999999</v>
      </c>
      <c r="I120" s="25">
        <f t="shared" si="4"/>
        <v>44658.566959999996</v>
      </c>
      <c r="J120" s="32">
        <v>1.7807999999999999</v>
      </c>
      <c r="K120" s="39"/>
      <c r="L120" s="39"/>
      <c r="M120" s="39"/>
      <c r="N120" s="23"/>
      <c r="O120" s="39"/>
      <c r="P120" s="39"/>
      <c r="Q120" s="39"/>
      <c r="R120" s="39"/>
    </row>
    <row r="121" spans="1:18" s="2" customFormat="1" ht="39.6">
      <c r="A121" s="20">
        <f t="shared" si="7"/>
        <v>101</v>
      </c>
      <c r="B121" s="17" t="s">
        <v>202</v>
      </c>
      <c r="C121" s="17" t="s">
        <v>203</v>
      </c>
      <c r="D121" s="9" t="s">
        <v>56</v>
      </c>
      <c r="E121" s="20" t="s">
        <v>42</v>
      </c>
      <c r="F121" s="18">
        <v>1</v>
      </c>
      <c r="G121" s="19">
        <f>30969.88</f>
        <v>30969.88</v>
      </c>
      <c r="H121" s="32">
        <v>5.33</v>
      </c>
      <c r="I121" s="25">
        <f t="shared" si="4"/>
        <v>165069.46040000001</v>
      </c>
      <c r="J121" s="32">
        <v>2.0882000000000001</v>
      </c>
      <c r="K121" s="39"/>
      <c r="L121" s="39"/>
      <c r="M121" s="39"/>
      <c r="N121" s="23"/>
      <c r="O121" s="39"/>
      <c r="P121" s="39"/>
      <c r="Q121" s="39"/>
      <c r="R121" s="39"/>
    </row>
    <row r="122" spans="1:18" s="2" customFormat="1" ht="14.4">
      <c r="A122" s="20">
        <f t="shared" si="7"/>
        <v>102</v>
      </c>
      <c r="B122" s="17" t="s">
        <v>286</v>
      </c>
      <c r="C122" s="17" t="s">
        <v>287</v>
      </c>
      <c r="D122" s="9" t="s">
        <v>89</v>
      </c>
      <c r="E122" s="20" t="s">
        <v>90</v>
      </c>
      <c r="F122" s="18">
        <v>1</v>
      </c>
      <c r="G122" s="19">
        <f>1.633198857*41.69</f>
        <v>68.088060348330004</v>
      </c>
      <c r="H122" s="32">
        <v>323</v>
      </c>
      <c r="I122" s="25">
        <f t="shared" si="4"/>
        <v>21992.443492510592</v>
      </c>
      <c r="J122" s="40"/>
      <c r="K122" s="39"/>
      <c r="L122" s="39"/>
      <c r="M122" s="39"/>
      <c r="N122" s="23"/>
      <c r="O122" s="39"/>
      <c r="P122" s="39"/>
      <c r="Q122" s="39"/>
      <c r="R122" s="39"/>
    </row>
    <row r="123" spans="1:18" s="2" customFormat="1" ht="26.4">
      <c r="A123" s="20">
        <f t="shared" si="7"/>
        <v>103</v>
      </c>
      <c r="B123" s="17" t="s">
        <v>288</v>
      </c>
      <c r="C123" s="17" t="s">
        <v>289</v>
      </c>
      <c r="D123" s="9" t="s">
        <v>89</v>
      </c>
      <c r="E123" s="20" t="s">
        <v>90</v>
      </c>
      <c r="F123" s="18">
        <v>1</v>
      </c>
      <c r="G123" s="19">
        <f>1.633198857*271.62</f>
        <v>443.60947353834001</v>
      </c>
      <c r="H123" s="32">
        <v>323</v>
      </c>
      <c r="I123" s="25">
        <f t="shared" si="4"/>
        <v>143285.85995288382</v>
      </c>
      <c r="J123" s="40"/>
      <c r="K123" s="39"/>
      <c r="L123" s="39"/>
      <c r="M123" s="39"/>
      <c r="N123" s="23"/>
      <c r="O123" s="39"/>
      <c r="P123" s="39"/>
      <c r="Q123" s="39"/>
      <c r="R123" s="39"/>
    </row>
    <row r="124" spans="1:18" s="2" customFormat="1" ht="14.4">
      <c r="A124" s="20">
        <f t="shared" si="7"/>
        <v>104</v>
      </c>
      <c r="B124" s="17" t="s">
        <v>290</v>
      </c>
      <c r="C124" s="17" t="s">
        <v>291</v>
      </c>
      <c r="D124" s="20" t="s">
        <v>8</v>
      </c>
      <c r="E124" s="20" t="s">
        <v>9</v>
      </c>
      <c r="F124" s="18">
        <v>1</v>
      </c>
      <c r="G124" s="19">
        <f>74.22</f>
        <v>74.22</v>
      </c>
      <c r="H124" s="32">
        <v>355.3</v>
      </c>
      <c r="I124" s="25">
        <f t="shared" si="4"/>
        <v>26370.366000000002</v>
      </c>
      <c r="J124" s="40"/>
      <c r="K124" s="39"/>
      <c r="L124" s="39"/>
      <c r="M124" s="39"/>
      <c r="N124" s="23"/>
      <c r="O124" s="39"/>
      <c r="P124" s="39"/>
      <c r="Q124" s="39"/>
      <c r="R124" s="39"/>
    </row>
    <row r="125" spans="1:18" s="2" customFormat="1" ht="26.4">
      <c r="A125" s="20">
        <f t="shared" si="7"/>
        <v>105</v>
      </c>
      <c r="B125" s="17" t="s">
        <v>292</v>
      </c>
      <c r="C125" s="17" t="s">
        <v>293</v>
      </c>
      <c r="D125" s="9" t="s">
        <v>89</v>
      </c>
      <c r="E125" s="20" t="s">
        <v>90</v>
      </c>
      <c r="F125" s="18">
        <v>1</v>
      </c>
      <c r="G125" s="19">
        <f>1.633198857*13.67</f>
        <v>22.32582837519</v>
      </c>
      <c r="H125" s="32">
        <v>323</v>
      </c>
      <c r="I125" s="25">
        <f t="shared" si="4"/>
        <v>7211.2425651863696</v>
      </c>
      <c r="J125" s="40"/>
      <c r="K125" s="39"/>
      <c r="L125" s="39"/>
      <c r="M125" s="39"/>
      <c r="N125" s="23"/>
      <c r="O125" s="39"/>
      <c r="P125" s="39"/>
      <c r="Q125" s="39"/>
      <c r="R125" s="39"/>
    </row>
    <row r="126" spans="1:18" s="2" customFormat="1" ht="14.4">
      <c r="A126" s="20">
        <f t="shared" si="7"/>
        <v>106</v>
      </c>
      <c r="B126" s="17" t="s">
        <v>294</v>
      </c>
      <c r="C126" s="17" t="s">
        <v>295</v>
      </c>
      <c r="D126" s="20" t="s">
        <v>8</v>
      </c>
      <c r="E126" s="20" t="s">
        <v>9</v>
      </c>
      <c r="F126" s="18">
        <v>1</v>
      </c>
      <c r="G126" s="19">
        <f>26.07</f>
        <v>26.07</v>
      </c>
      <c r="H126" s="32">
        <v>355.3</v>
      </c>
      <c r="I126" s="25">
        <f t="shared" si="4"/>
        <v>9262.6710000000003</v>
      </c>
      <c r="J126" s="40"/>
      <c r="K126" s="39"/>
      <c r="L126" s="39"/>
      <c r="M126" s="39"/>
      <c r="N126" s="23"/>
      <c r="O126" s="39"/>
      <c r="P126" s="39"/>
      <c r="Q126" s="39"/>
      <c r="R126" s="39"/>
    </row>
    <row r="127" spans="1:18" s="2" customFormat="1" ht="14.4">
      <c r="A127" s="20">
        <f t="shared" si="7"/>
        <v>107</v>
      </c>
      <c r="B127" s="17" t="s">
        <v>296</v>
      </c>
      <c r="C127" s="17" t="s">
        <v>297</v>
      </c>
      <c r="D127" s="20" t="s">
        <v>8</v>
      </c>
      <c r="E127" s="20" t="s">
        <v>9</v>
      </c>
      <c r="F127" s="18">
        <v>1</v>
      </c>
      <c r="G127" s="19">
        <f>1.633198857*194.08</f>
        <v>316.97123416656001</v>
      </c>
      <c r="H127" s="32">
        <v>323</v>
      </c>
      <c r="I127" s="25">
        <f t="shared" si="4"/>
        <v>102381.70863579889</v>
      </c>
      <c r="J127" s="40"/>
      <c r="K127" s="39"/>
      <c r="L127" s="39"/>
      <c r="M127" s="39"/>
      <c r="N127" s="23"/>
      <c r="O127" s="39"/>
      <c r="P127" s="39"/>
      <c r="Q127" s="39"/>
      <c r="R127" s="39"/>
    </row>
    <row r="128" spans="1:18" s="2" customFormat="1" ht="14.4">
      <c r="A128" s="20">
        <f t="shared" si="7"/>
        <v>108</v>
      </c>
      <c r="B128" s="17" t="s">
        <v>298</v>
      </c>
      <c r="C128" s="17" t="s">
        <v>299</v>
      </c>
      <c r="D128" s="20" t="s">
        <v>17</v>
      </c>
      <c r="E128" s="20" t="s">
        <v>14</v>
      </c>
      <c r="F128" s="18">
        <v>1</v>
      </c>
      <c r="G128" s="19">
        <f>1.633198857*1914.32</f>
        <v>3126.4652359322399</v>
      </c>
      <c r="H128" s="32">
        <v>32.299999999999997</v>
      </c>
      <c r="I128" s="25">
        <f t="shared" si="4"/>
        <v>100984.82712061134</v>
      </c>
      <c r="J128" s="40"/>
      <c r="K128" s="39"/>
      <c r="L128" s="39"/>
      <c r="M128" s="39"/>
      <c r="N128" s="23"/>
      <c r="O128" s="39"/>
      <c r="P128" s="39"/>
      <c r="Q128" s="39"/>
      <c r="R128" s="39"/>
    </row>
    <row r="129" spans="1:18" s="2" customFormat="1" ht="26.4">
      <c r="A129" s="20">
        <f t="shared" si="7"/>
        <v>109</v>
      </c>
      <c r="B129" s="17" t="s">
        <v>300</v>
      </c>
      <c r="C129" s="17" t="s">
        <v>301</v>
      </c>
      <c r="D129" s="20" t="s">
        <v>17</v>
      </c>
      <c r="E129" s="20" t="s">
        <v>43</v>
      </c>
      <c r="F129" s="18">
        <v>1</v>
      </c>
      <c r="G129" s="19">
        <f>5103.35</f>
        <v>5103.3500000000004</v>
      </c>
      <c r="H129" s="32">
        <v>345.61</v>
      </c>
      <c r="I129" s="25">
        <f t="shared" si="4"/>
        <v>1763768.7935000001</v>
      </c>
      <c r="J129" s="40"/>
      <c r="K129" s="39"/>
      <c r="L129" s="39"/>
      <c r="M129" s="39"/>
      <c r="N129" s="23"/>
      <c r="O129" s="39"/>
      <c r="P129" s="39"/>
      <c r="Q129" s="39"/>
      <c r="R129" s="39"/>
    </row>
    <row r="130" spans="1:18" s="2" customFormat="1" ht="26.4">
      <c r="A130" s="20">
        <f t="shared" si="7"/>
        <v>110</v>
      </c>
      <c r="B130" s="17" t="s">
        <v>302</v>
      </c>
      <c r="C130" s="17" t="s">
        <v>303</v>
      </c>
      <c r="D130" s="9" t="s">
        <v>44</v>
      </c>
      <c r="E130" s="20" t="s">
        <v>45</v>
      </c>
      <c r="F130" s="18">
        <v>1</v>
      </c>
      <c r="G130" s="19">
        <f>16.51</f>
        <v>16.510000000000002</v>
      </c>
      <c r="H130" s="32">
        <v>2099.5</v>
      </c>
      <c r="I130" s="25">
        <f t="shared" si="4"/>
        <v>34662.745000000003</v>
      </c>
      <c r="J130" s="40"/>
      <c r="K130" s="39"/>
      <c r="L130" s="39"/>
      <c r="M130" s="39"/>
      <c r="N130" s="23"/>
      <c r="O130" s="39"/>
      <c r="P130" s="39"/>
      <c r="Q130" s="39"/>
      <c r="R130" s="39"/>
    </row>
    <row r="131" spans="1:18" s="2" customFormat="1" ht="26.4">
      <c r="A131" s="20">
        <f t="shared" si="7"/>
        <v>111</v>
      </c>
      <c r="B131" s="17" t="s">
        <v>304</v>
      </c>
      <c r="C131" s="17" t="s">
        <v>305</v>
      </c>
      <c r="D131" s="20" t="s">
        <v>5</v>
      </c>
      <c r="E131" s="20" t="s">
        <v>6</v>
      </c>
      <c r="F131" s="18">
        <v>1</v>
      </c>
      <c r="G131" s="19">
        <f>6.13</f>
        <v>6.13</v>
      </c>
      <c r="H131" s="32">
        <v>3230</v>
      </c>
      <c r="I131" s="25">
        <f t="shared" si="4"/>
        <v>19799.900000000001</v>
      </c>
      <c r="J131" s="40"/>
      <c r="K131" s="39"/>
      <c r="L131" s="39"/>
      <c r="M131" s="39"/>
      <c r="N131" s="23"/>
      <c r="O131" s="39"/>
      <c r="P131" s="39"/>
      <c r="Q131" s="39"/>
      <c r="R131" s="39"/>
    </row>
    <row r="132" spans="1:18" s="2" customFormat="1" ht="14.4">
      <c r="A132" s="20">
        <f t="shared" si="7"/>
        <v>112</v>
      </c>
      <c r="B132" s="17" t="s">
        <v>306</v>
      </c>
      <c r="C132" s="17" t="s">
        <v>307</v>
      </c>
      <c r="D132" s="20" t="s">
        <v>5</v>
      </c>
      <c r="E132" s="20" t="s">
        <v>6</v>
      </c>
      <c r="F132" s="18">
        <v>1</v>
      </c>
      <c r="G132" s="19">
        <f>1.633198857*10.57</f>
        <v>17.262911918490001</v>
      </c>
      <c r="H132" s="32">
        <v>323</v>
      </c>
      <c r="I132" s="25">
        <f t="shared" si="4"/>
        <v>5575.9205496722707</v>
      </c>
      <c r="J132" s="40"/>
      <c r="K132" s="39"/>
      <c r="L132" s="39"/>
      <c r="M132" s="39"/>
      <c r="N132" s="23"/>
      <c r="O132" s="39"/>
      <c r="P132" s="39"/>
      <c r="Q132" s="39"/>
      <c r="R132" s="39"/>
    </row>
    <row r="133" spans="1:18" s="2" customFormat="1" ht="14.4">
      <c r="A133" s="20">
        <f t="shared" si="7"/>
        <v>113</v>
      </c>
      <c r="B133" s="17" t="s">
        <v>308</v>
      </c>
      <c r="C133" s="17" t="s">
        <v>309</v>
      </c>
      <c r="D133" s="20" t="s">
        <v>5</v>
      </c>
      <c r="E133" s="20" t="s">
        <v>6</v>
      </c>
      <c r="F133" s="18">
        <v>1</v>
      </c>
      <c r="G133" s="19">
        <f>1.633198857*2625.5</f>
        <v>4287.9635990534998</v>
      </c>
      <c r="H133" s="32">
        <v>17</v>
      </c>
      <c r="I133" s="25">
        <f t="shared" si="4"/>
        <v>72895.3811839095</v>
      </c>
      <c r="J133" s="40"/>
      <c r="K133" s="39"/>
      <c r="L133" s="39"/>
      <c r="M133" s="39"/>
      <c r="N133" s="23"/>
      <c r="O133" s="39"/>
      <c r="P133" s="39"/>
      <c r="Q133" s="39"/>
      <c r="R133" s="39"/>
    </row>
    <row r="134" spans="1:18" s="2" customFormat="1" ht="14.4">
      <c r="A134" s="20">
        <f t="shared" si="7"/>
        <v>114</v>
      </c>
      <c r="B134" s="17" t="s">
        <v>310</v>
      </c>
      <c r="C134" s="17" t="s">
        <v>311</v>
      </c>
      <c r="D134" s="20" t="s">
        <v>5</v>
      </c>
      <c r="E134" s="20" t="s">
        <v>6</v>
      </c>
      <c r="F134" s="18">
        <v>1</v>
      </c>
      <c r="G134" s="19">
        <f>14229.94</f>
        <v>14229.94</v>
      </c>
      <c r="H134" s="32">
        <v>17</v>
      </c>
      <c r="I134" s="25">
        <f t="shared" si="4"/>
        <v>241908.98</v>
      </c>
      <c r="J134" s="40"/>
      <c r="K134" s="39"/>
      <c r="L134" s="39"/>
      <c r="M134" s="39"/>
      <c r="N134" s="23"/>
      <c r="O134" s="39"/>
      <c r="P134" s="39"/>
      <c r="Q134" s="39"/>
      <c r="R134" s="39"/>
    </row>
    <row r="135" spans="1:18" s="2" customFormat="1" ht="14.4">
      <c r="A135" s="20">
        <f t="shared" si="7"/>
        <v>115</v>
      </c>
      <c r="B135" s="30" t="s">
        <v>218</v>
      </c>
      <c r="C135" s="30" t="s">
        <v>219</v>
      </c>
      <c r="D135" s="31" t="s">
        <v>48</v>
      </c>
      <c r="E135" s="20" t="s">
        <v>220</v>
      </c>
      <c r="F135" s="18">
        <v>1</v>
      </c>
      <c r="G135" s="19"/>
      <c r="H135" s="32">
        <v>1</v>
      </c>
      <c r="I135" s="25">
        <f>SUM(I113:I134)*0.05</f>
        <v>218486.59824119575</v>
      </c>
      <c r="J135" s="40"/>
      <c r="K135" s="39"/>
      <c r="L135" s="39"/>
      <c r="M135" s="39"/>
      <c r="N135" s="23"/>
      <c r="O135" s="39"/>
      <c r="P135" s="39"/>
      <c r="Q135" s="39"/>
      <c r="R135" s="39"/>
    </row>
    <row r="136" spans="1:18" ht="14.4">
      <c r="A136" s="20"/>
      <c r="B136" s="13" t="s">
        <v>312</v>
      </c>
      <c r="C136" s="14" t="s">
        <v>313</v>
      </c>
      <c r="D136" s="14"/>
      <c r="E136" s="14"/>
      <c r="F136" s="18"/>
      <c r="G136" s="19"/>
      <c r="H136" s="15"/>
      <c r="I136" s="25"/>
      <c r="J136" s="24"/>
      <c r="K136" s="22"/>
      <c r="L136" s="22"/>
      <c r="M136" s="22"/>
      <c r="N136" s="23"/>
      <c r="O136" s="22"/>
      <c r="P136" s="22"/>
      <c r="Q136" s="22"/>
      <c r="R136" s="22"/>
    </row>
    <row r="137" spans="1:18" s="2" customFormat="1" ht="26.4">
      <c r="A137" s="20">
        <f>A135+1</f>
        <v>116</v>
      </c>
      <c r="B137" s="17" t="s">
        <v>314</v>
      </c>
      <c r="C137" s="17" t="s">
        <v>315</v>
      </c>
      <c r="D137" s="20" t="s">
        <v>8</v>
      </c>
      <c r="E137" s="20" t="s">
        <v>9</v>
      </c>
      <c r="F137" s="18">
        <v>1</v>
      </c>
      <c r="G137" s="19">
        <f>1.633198857*27.34</f>
        <v>44.651656750379999</v>
      </c>
      <c r="H137" s="32">
        <v>2220.6999999999998</v>
      </c>
      <c r="I137" s="25">
        <f t="shared" si="4"/>
        <v>99157.934145568855</v>
      </c>
      <c r="J137" s="40"/>
      <c r="K137" s="39"/>
      <c r="L137" s="39"/>
      <c r="M137" s="39"/>
      <c r="N137" s="23"/>
      <c r="O137" s="39"/>
      <c r="P137" s="39"/>
      <c r="Q137" s="39"/>
      <c r="R137" s="39"/>
    </row>
    <row r="138" spans="1:18" s="2" customFormat="1" ht="26.4">
      <c r="A138" s="20">
        <f t="shared" ref="A138:A169" si="8">A137+1</f>
        <v>117</v>
      </c>
      <c r="B138" s="17" t="s">
        <v>316</v>
      </c>
      <c r="C138" s="17" t="s">
        <v>317</v>
      </c>
      <c r="D138" s="20" t="s">
        <v>8</v>
      </c>
      <c r="E138" s="20" t="s">
        <v>9</v>
      </c>
      <c r="F138" s="18">
        <v>1</v>
      </c>
      <c r="G138" s="19">
        <f>1.633198857*136.12</f>
        <v>222.31102841484</v>
      </c>
      <c r="H138" s="32">
        <v>2220.6999999999998</v>
      </c>
      <c r="I138" s="25">
        <f t="shared" si="4"/>
        <v>493686.10080083512</v>
      </c>
      <c r="J138" s="40"/>
      <c r="K138" s="39"/>
      <c r="L138" s="39"/>
      <c r="M138" s="39"/>
      <c r="N138" s="23"/>
      <c r="O138" s="39"/>
      <c r="P138" s="39"/>
      <c r="Q138" s="39"/>
      <c r="R138" s="39"/>
    </row>
    <row r="139" spans="1:18" s="2" customFormat="1" ht="39.6">
      <c r="A139" s="20">
        <f t="shared" si="8"/>
        <v>118</v>
      </c>
      <c r="B139" s="17" t="s">
        <v>318</v>
      </c>
      <c r="C139" s="17" t="s">
        <v>319</v>
      </c>
      <c r="D139" s="20" t="s">
        <v>8</v>
      </c>
      <c r="E139" s="20" t="s">
        <v>9</v>
      </c>
      <c r="F139" s="18">
        <v>1</v>
      </c>
      <c r="G139" s="19">
        <f>1.633198857*21.7</f>
        <v>35.440415196899998</v>
      </c>
      <c r="H139" s="32">
        <v>2220.6999999999998</v>
      </c>
      <c r="I139" s="25">
        <f t="shared" ref="I139:I202" si="9">G139*H139</f>
        <v>78702.530027755813</v>
      </c>
      <c r="J139" s="40"/>
      <c r="K139" s="39"/>
      <c r="L139" s="39"/>
      <c r="M139" s="39"/>
      <c r="N139" s="23"/>
      <c r="O139" s="39"/>
      <c r="P139" s="39"/>
      <c r="Q139" s="39"/>
      <c r="R139" s="39"/>
    </row>
    <row r="140" spans="1:18" s="2" customFormat="1" ht="14.4">
      <c r="A140" s="20">
        <f t="shared" si="8"/>
        <v>119</v>
      </c>
      <c r="B140" s="17" t="s">
        <v>320</v>
      </c>
      <c r="C140" s="17" t="s">
        <v>321</v>
      </c>
      <c r="D140" s="20" t="s">
        <v>8</v>
      </c>
      <c r="E140" s="20" t="s">
        <v>9</v>
      </c>
      <c r="F140" s="18">
        <v>1</v>
      </c>
      <c r="G140" s="19">
        <f>1.633198857*19.95</f>
        <v>32.582317197149997</v>
      </c>
      <c r="H140" s="32">
        <v>2220.6999999999998</v>
      </c>
      <c r="I140" s="25">
        <f t="shared" si="9"/>
        <v>72355.551799711</v>
      </c>
      <c r="J140" s="40"/>
      <c r="K140" s="39"/>
      <c r="L140" s="39"/>
      <c r="M140" s="39"/>
      <c r="N140" s="23"/>
      <c r="O140" s="39"/>
      <c r="P140" s="39"/>
      <c r="Q140" s="39"/>
      <c r="R140" s="39"/>
    </row>
    <row r="141" spans="1:18" s="2" customFormat="1" ht="14.4">
      <c r="A141" s="20">
        <f t="shared" si="8"/>
        <v>120</v>
      </c>
      <c r="B141" s="17" t="s">
        <v>322</v>
      </c>
      <c r="C141" s="17" t="s">
        <v>323</v>
      </c>
      <c r="D141" s="20" t="s">
        <v>8</v>
      </c>
      <c r="E141" s="20" t="s">
        <v>9</v>
      </c>
      <c r="F141" s="18">
        <v>1</v>
      </c>
      <c r="G141" s="19">
        <f>162.82</f>
        <v>162.82</v>
      </c>
      <c r="H141" s="32">
        <v>2442.7919999999999</v>
      </c>
      <c r="I141" s="25">
        <f t="shared" si="9"/>
        <v>397735.39343999996</v>
      </c>
      <c r="J141" s="40"/>
      <c r="K141" s="39"/>
      <c r="L141" s="39"/>
      <c r="M141" s="39"/>
      <c r="N141" s="23"/>
      <c r="O141" s="39"/>
      <c r="P141" s="39"/>
      <c r="Q141" s="39"/>
      <c r="R141" s="39"/>
    </row>
    <row r="142" spans="1:18" s="2" customFormat="1" ht="26.4">
      <c r="A142" s="20">
        <f t="shared" si="8"/>
        <v>121</v>
      </c>
      <c r="B142" s="17" t="s">
        <v>324</v>
      </c>
      <c r="C142" s="17" t="s">
        <v>325</v>
      </c>
      <c r="D142" s="20" t="s">
        <v>8</v>
      </c>
      <c r="E142" s="20" t="s">
        <v>9</v>
      </c>
      <c r="F142" s="18">
        <v>1</v>
      </c>
      <c r="G142" s="19">
        <f>1.633198857*55.5</f>
        <v>90.642536563500002</v>
      </c>
      <c r="H142" s="32">
        <v>2220.6999999999998</v>
      </c>
      <c r="I142" s="25">
        <f t="shared" si="9"/>
        <v>201289.88094656443</v>
      </c>
      <c r="J142" s="40"/>
      <c r="K142" s="39"/>
      <c r="L142" s="39"/>
      <c r="M142" s="39"/>
      <c r="N142" s="23"/>
      <c r="O142" s="39"/>
      <c r="P142" s="39"/>
      <c r="Q142" s="39"/>
      <c r="R142" s="39"/>
    </row>
    <row r="143" spans="1:18" s="2" customFormat="1" ht="26.4">
      <c r="A143" s="20">
        <f t="shared" si="8"/>
        <v>122</v>
      </c>
      <c r="B143" s="17" t="s">
        <v>326</v>
      </c>
      <c r="C143" s="17" t="s">
        <v>327</v>
      </c>
      <c r="D143" s="20" t="s">
        <v>8</v>
      </c>
      <c r="E143" s="20" t="s">
        <v>9</v>
      </c>
      <c r="F143" s="18">
        <v>1</v>
      </c>
      <c r="G143" s="19">
        <f>1.633198857*25.69</f>
        <v>41.956878636330003</v>
      </c>
      <c r="H143" s="32">
        <v>2220.6999999999998</v>
      </c>
      <c r="I143" s="25">
        <f t="shared" si="9"/>
        <v>93173.640387698033</v>
      </c>
      <c r="J143" s="40"/>
      <c r="K143" s="39"/>
      <c r="L143" s="39"/>
      <c r="M143" s="39"/>
      <c r="N143" s="23"/>
      <c r="O143" s="39"/>
      <c r="P143" s="39"/>
      <c r="Q143" s="39"/>
      <c r="R143" s="39"/>
    </row>
    <row r="144" spans="1:18" s="2" customFormat="1" ht="26.4">
      <c r="A144" s="20">
        <f t="shared" si="8"/>
        <v>123</v>
      </c>
      <c r="B144" s="17" t="s">
        <v>328</v>
      </c>
      <c r="C144" s="17" t="s">
        <v>329</v>
      </c>
      <c r="D144" s="20" t="s">
        <v>8</v>
      </c>
      <c r="E144" s="20" t="s">
        <v>9</v>
      </c>
      <c r="F144" s="18">
        <v>1</v>
      </c>
      <c r="G144" s="19">
        <f>1.633198857*54.94</f>
        <v>89.727945203579992</v>
      </c>
      <c r="H144" s="32">
        <v>2220.6999999999998</v>
      </c>
      <c r="I144" s="25">
        <f t="shared" si="9"/>
        <v>199258.84791359009</v>
      </c>
      <c r="J144" s="40"/>
      <c r="K144" s="39"/>
      <c r="L144" s="39"/>
      <c r="M144" s="39"/>
      <c r="N144" s="23"/>
      <c r="O144" s="39"/>
      <c r="P144" s="39"/>
      <c r="Q144" s="39"/>
      <c r="R144" s="39"/>
    </row>
    <row r="145" spans="1:18" s="2" customFormat="1" ht="14.4">
      <c r="A145" s="20">
        <f t="shared" si="8"/>
        <v>124</v>
      </c>
      <c r="B145" s="17" t="s">
        <v>330</v>
      </c>
      <c r="C145" s="17" t="s">
        <v>331</v>
      </c>
      <c r="D145" s="20" t="s">
        <v>8</v>
      </c>
      <c r="E145" s="20" t="s">
        <v>9</v>
      </c>
      <c r="F145" s="18">
        <v>1</v>
      </c>
      <c r="G145" s="19">
        <f>24.16</f>
        <v>24.16</v>
      </c>
      <c r="H145" s="32">
        <v>4885.5839999999998</v>
      </c>
      <c r="I145" s="25">
        <f t="shared" si="9"/>
        <v>118035.70943999999</v>
      </c>
      <c r="J145" s="40"/>
      <c r="K145" s="39"/>
      <c r="L145" s="39"/>
      <c r="M145" s="39"/>
      <c r="N145" s="23"/>
      <c r="O145" s="39"/>
      <c r="P145" s="39"/>
      <c r="Q145" s="39"/>
      <c r="R145" s="39"/>
    </row>
    <row r="146" spans="1:18" s="2" customFormat="1" ht="26.4">
      <c r="A146" s="20">
        <f t="shared" si="8"/>
        <v>125</v>
      </c>
      <c r="B146" s="17" t="s">
        <v>332</v>
      </c>
      <c r="C146" s="17" t="s">
        <v>333</v>
      </c>
      <c r="D146" s="20" t="s">
        <v>8</v>
      </c>
      <c r="E146" s="20" t="s">
        <v>9</v>
      </c>
      <c r="F146" s="18">
        <v>1</v>
      </c>
      <c r="G146" s="19">
        <f>1.633198857*60.82</f>
        <v>99.331154482740004</v>
      </c>
      <c r="H146" s="32">
        <v>2220.6999999999998</v>
      </c>
      <c r="I146" s="25">
        <f t="shared" si="9"/>
        <v>220584.6947598207</v>
      </c>
      <c r="J146" s="40"/>
      <c r="K146" s="39"/>
      <c r="L146" s="39"/>
      <c r="M146" s="39"/>
      <c r="N146" s="23"/>
      <c r="O146" s="39"/>
      <c r="P146" s="39"/>
      <c r="Q146" s="39"/>
      <c r="R146" s="39"/>
    </row>
    <row r="147" spans="1:18" s="2" customFormat="1" ht="14.4">
      <c r="A147" s="20">
        <f t="shared" si="8"/>
        <v>126</v>
      </c>
      <c r="B147" s="17" t="s">
        <v>334</v>
      </c>
      <c r="C147" s="17" t="s">
        <v>335</v>
      </c>
      <c r="D147" s="20" t="s">
        <v>17</v>
      </c>
      <c r="E147" s="20" t="s">
        <v>43</v>
      </c>
      <c r="F147" s="18">
        <v>1</v>
      </c>
      <c r="G147" s="19">
        <f>5170.72*1.15</f>
        <v>5946.3279999999995</v>
      </c>
      <c r="H147" s="32">
        <v>228.73416</v>
      </c>
      <c r="I147" s="25">
        <f t="shared" si="9"/>
        <v>1360128.3401644798</v>
      </c>
      <c r="J147" s="40"/>
      <c r="K147" s="39"/>
      <c r="L147" s="39"/>
      <c r="M147" s="39"/>
      <c r="N147" s="23"/>
      <c r="O147" s="39"/>
      <c r="P147" s="39"/>
      <c r="Q147" s="39"/>
      <c r="R147" s="39"/>
    </row>
    <row r="148" spans="1:18" s="2" customFormat="1" ht="26.4">
      <c r="A148" s="20">
        <f t="shared" si="8"/>
        <v>127</v>
      </c>
      <c r="B148" s="17" t="s">
        <v>336</v>
      </c>
      <c r="C148" s="17" t="s">
        <v>337</v>
      </c>
      <c r="D148" s="9" t="s">
        <v>44</v>
      </c>
      <c r="E148" s="20" t="s">
        <v>45</v>
      </c>
      <c r="F148" s="18">
        <v>1</v>
      </c>
      <c r="G148" s="19">
        <f>78.41*1.15</f>
        <v>90.171499999999995</v>
      </c>
      <c r="H148" s="32">
        <v>14434.68</v>
      </c>
      <c r="I148" s="25">
        <f t="shared" si="9"/>
        <v>1301596.74762</v>
      </c>
      <c r="J148" s="40"/>
      <c r="K148" s="39"/>
      <c r="L148" s="39"/>
      <c r="M148" s="39"/>
      <c r="N148" s="23"/>
      <c r="O148" s="39"/>
      <c r="P148" s="39"/>
      <c r="Q148" s="39"/>
      <c r="R148" s="39"/>
    </row>
    <row r="149" spans="1:18" s="2" customFormat="1" ht="26.4">
      <c r="A149" s="20">
        <f t="shared" si="8"/>
        <v>128</v>
      </c>
      <c r="B149" s="17" t="s">
        <v>338</v>
      </c>
      <c r="C149" s="17" t="s">
        <v>339</v>
      </c>
      <c r="D149" s="20" t="s">
        <v>8</v>
      </c>
      <c r="E149" s="20" t="s">
        <v>9</v>
      </c>
      <c r="F149" s="18">
        <v>1</v>
      </c>
      <c r="G149" s="19">
        <f>1.633198857*60.82</f>
        <v>99.331154482740004</v>
      </c>
      <c r="H149" s="32">
        <v>2220.6999999999998</v>
      </c>
      <c r="I149" s="25">
        <f t="shared" si="9"/>
        <v>220584.6947598207</v>
      </c>
      <c r="J149" s="40"/>
      <c r="K149" s="39"/>
      <c r="L149" s="39"/>
      <c r="M149" s="39"/>
      <c r="N149" s="23"/>
      <c r="O149" s="39"/>
      <c r="P149" s="39"/>
      <c r="Q149" s="39"/>
      <c r="R149" s="39"/>
    </row>
    <row r="150" spans="1:18" s="2" customFormat="1" ht="14.4">
      <c r="A150" s="20">
        <f t="shared" si="8"/>
        <v>129</v>
      </c>
      <c r="B150" s="17" t="s">
        <v>340</v>
      </c>
      <c r="C150" s="17" t="s">
        <v>341</v>
      </c>
      <c r="D150" s="20" t="s">
        <v>17</v>
      </c>
      <c r="E150" s="20" t="s">
        <v>43</v>
      </c>
      <c r="F150" s="18">
        <v>1</v>
      </c>
      <c r="G150" s="19">
        <f>5170.72*1.15</f>
        <v>5946.3279999999995</v>
      </c>
      <c r="H150" s="32">
        <v>228.73416</v>
      </c>
      <c r="I150" s="25">
        <f t="shared" si="9"/>
        <v>1360128.3401644798</v>
      </c>
      <c r="J150" s="40"/>
      <c r="K150" s="39"/>
      <c r="L150" s="39"/>
      <c r="M150" s="39"/>
      <c r="N150" s="23"/>
      <c r="O150" s="39"/>
      <c r="P150" s="39"/>
      <c r="Q150" s="39"/>
      <c r="R150" s="39"/>
    </row>
    <row r="151" spans="1:18" s="2" customFormat="1" ht="26.4">
      <c r="A151" s="20">
        <f t="shared" si="8"/>
        <v>130</v>
      </c>
      <c r="B151" s="17" t="s">
        <v>336</v>
      </c>
      <c r="C151" s="17" t="s">
        <v>337</v>
      </c>
      <c r="D151" s="9" t="s">
        <v>44</v>
      </c>
      <c r="E151" s="20" t="s">
        <v>45</v>
      </c>
      <c r="F151" s="18">
        <v>1</v>
      </c>
      <c r="G151" s="19">
        <f>78.41*1.15</f>
        <v>90.171499999999995</v>
      </c>
      <c r="H151" s="32">
        <v>14434.68</v>
      </c>
      <c r="I151" s="25">
        <f t="shared" si="9"/>
        <v>1301596.74762</v>
      </c>
      <c r="J151" s="40"/>
      <c r="K151" s="39"/>
      <c r="L151" s="39"/>
      <c r="M151" s="39"/>
      <c r="N151" s="23"/>
      <c r="O151" s="39"/>
      <c r="P151" s="39"/>
      <c r="Q151" s="39"/>
      <c r="R151" s="39"/>
    </row>
    <row r="152" spans="1:18" s="2" customFormat="1" ht="26.4">
      <c r="A152" s="20">
        <f t="shared" si="8"/>
        <v>131</v>
      </c>
      <c r="B152" s="17" t="s">
        <v>342</v>
      </c>
      <c r="C152" s="17" t="s">
        <v>343</v>
      </c>
      <c r="D152" s="20" t="s">
        <v>8</v>
      </c>
      <c r="E152" s="20" t="s">
        <v>9</v>
      </c>
      <c r="F152" s="18">
        <v>1</v>
      </c>
      <c r="G152" s="19">
        <f>1.633198857*60.82</f>
        <v>99.331154482740004</v>
      </c>
      <c r="H152" s="32">
        <v>2220.6999999999998</v>
      </c>
      <c r="I152" s="25">
        <f t="shared" si="9"/>
        <v>220584.6947598207</v>
      </c>
      <c r="J152" s="40"/>
      <c r="K152" s="39"/>
      <c r="L152" s="39"/>
      <c r="M152" s="39"/>
      <c r="N152" s="23"/>
      <c r="O152" s="39"/>
      <c r="P152" s="39"/>
      <c r="Q152" s="39"/>
      <c r="R152" s="39"/>
    </row>
    <row r="153" spans="1:18" s="2" customFormat="1" ht="14.4">
      <c r="A153" s="20">
        <f t="shared" si="8"/>
        <v>132</v>
      </c>
      <c r="B153" s="17" t="s">
        <v>344</v>
      </c>
      <c r="C153" s="17" t="s">
        <v>345</v>
      </c>
      <c r="D153" s="20" t="s">
        <v>17</v>
      </c>
      <c r="E153" s="20" t="s">
        <v>43</v>
      </c>
      <c r="F153" s="18">
        <v>1</v>
      </c>
      <c r="G153" s="19">
        <f>5170.72*1.15</f>
        <v>5946.3279999999995</v>
      </c>
      <c r="H153" s="32">
        <v>228.73416</v>
      </c>
      <c r="I153" s="25">
        <f t="shared" si="9"/>
        <v>1360128.3401644798</v>
      </c>
      <c r="J153" s="40"/>
      <c r="K153" s="39"/>
      <c r="L153" s="39"/>
      <c r="M153" s="39"/>
      <c r="N153" s="23"/>
      <c r="O153" s="39"/>
      <c r="P153" s="39"/>
      <c r="Q153" s="39"/>
      <c r="R153" s="39"/>
    </row>
    <row r="154" spans="1:18" s="2" customFormat="1" ht="26.4">
      <c r="A154" s="20">
        <f t="shared" si="8"/>
        <v>133</v>
      </c>
      <c r="B154" s="17" t="s">
        <v>336</v>
      </c>
      <c r="C154" s="17" t="s">
        <v>337</v>
      </c>
      <c r="D154" s="9" t="s">
        <v>44</v>
      </c>
      <c r="E154" s="20" t="s">
        <v>45</v>
      </c>
      <c r="F154" s="18">
        <v>1</v>
      </c>
      <c r="G154" s="19">
        <f>78.41*1.15</f>
        <v>90.171499999999995</v>
      </c>
      <c r="H154" s="32">
        <v>14434.68</v>
      </c>
      <c r="I154" s="25">
        <f t="shared" si="9"/>
        <v>1301596.74762</v>
      </c>
      <c r="J154" s="40"/>
      <c r="K154" s="39"/>
      <c r="L154" s="39"/>
      <c r="M154" s="39"/>
      <c r="N154" s="23"/>
      <c r="O154" s="39"/>
      <c r="P154" s="39"/>
      <c r="Q154" s="39"/>
      <c r="R154" s="39"/>
    </row>
    <row r="155" spans="1:18" s="2" customFormat="1" ht="14.4">
      <c r="A155" s="20">
        <f t="shared" si="8"/>
        <v>134</v>
      </c>
      <c r="B155" s="17" t="s">
        <v>306</v>
      </c>
      <c r="C155" s="17" t="s">
        <v>307</v>
      </c>
      <c r="D155" s="20" t="s">
        <v>5</v>
      </c>
      <c r="E155" s="20" t="s">
        <v>6</v>
      </c>
      <c r="F155" s="18">
        <v>1</v>
      </c>
      <c r="G155" s="19">
        <f>1.633198857*10.57</f>
        <v>17.262911918490001</v>
      </c>
      <c r="H155" s="32">
        <v>26649</v>
      </c>
      <c r="I155" s="25">
        <f t="shared" si="9"/>
        <v>460039.33971584006</v>
      </c>
      <c r="J155" s="40"/>
      <c r="K155" s="39"/>
      <c r="L155" s="39"/>
      <c r="M155" s="39"/>
      <c r="N155" s="23"/>
      <c r="O155" s="39"/>
      <c r="P155" s="39"/>
      <c r="Q155" s="39"/>
      <c r="R155" s="39"/>
    </row>
    <row r="156" spans="1:18" s="2" customFormat="1" ht="26.4">
      <c r="A156" s="20">
        <f t="shared" si="8"/>
        <v>135</v>
      </c>
      <c r="B156" s="17" t="s">
        <v>346</v>
      </c>
      <c r="C156" s="17" t="s">
        <v>347</v>
      </c>
      <c r="D156" s="20" t="s">
        <v>5</v>
      </c>
      <c r="E156" s="20" t="s">
        <v>6</v>
      </c>
      <c r="F156" s="18">
        <v>1</v>
      </c>
      <c r="G156" s="19">
        <f>4.92</f>
        <v>4.92</v>
      </c>
      <c r="H156" s="32">
        <v>26649</v>
      </c>
      <c r="I156" s="25">
        <f t="shared" si="9"/>
        <v>131113.07999999999</v>
      </c>
      <c r="J156" s="40"/>
      <c r="K156" s="39"/>
      <c r="L156" s="39"/>
      <c r="M156" s="39"/>
      <c r="N156" s="23"/>
      <c r="O156" s="39"/>
      <c r="P156" s="39"/>
      <c r="Q156" s="39"/>
      <c r="R156" s="39"/>
    </row>
    <row r="157" spans="1:18" s="2" customFormat="1" ht="39.6">
      <c r="A157" s="20">
        <f t="shared" si="8"/>
        <v>136</v>
      </c>
      <c r="B157" s="17" t="s">
        <v>348</v>
      </c>
      <c r="C157" s="17" t="s">
        <v>349</v>
      </c>
      <c r="D157" s="20" t="s">
        <v>8</v>
      </c>
      <c r="E157" s="20" t="s">
        <v>9</v>
      </c>
      <c r="F157" s="18">
        <v>1</v>
      </c>
      <c r="G157" s="19">
        <f>1.633198857*198.66*1.15</f>
        <v>373.11897767136298</v>
      </c>
      <c r="H157" s="32">
        <v>2220.6999999999998</v>
      </c>
      <c r="I157" s="25">
        <f t="shared" si="9"/>
        <v>828585.31371479575</v>
      </c>
      <c r="J157" s="40"/>
      <c r="K157" s="39"/>
      <c r="L157" s="39"/>
      <c r="M157" s="39"/>
      <c r="N157" s="23"/>
      <c r="O157" s="39"/>
      <c r="P157" s="39"/>
      <c r="Q157" s="39"/>
      <c r="R157" s="39"/>
    </row>
    <row r="158" spans="1:18" s="2" customFormat="1" ht="14.4">
      <c r="A158" s="20">
        <f t="shared" si="8"/>
        <v>137</v>
      </c>
      <c r="B158" s="17" t="s">
        <v>350</v>
      </c>
      <c r="C158" s="17" t="s">
        <v>351</v>
      </c>
      <c r="D158" s="20" t="s">
        <v>8</v>
      </c>
      <c r="E158" s="20" t="s">
        <v>9</v>
      </c>
      <c r="F158" s="18">
        <v>1</v>
      </c>
      <c r="G158" s="19">
        <f>225.14</f>
        <v>225.14</v>
      </c>
      <c r="H158" s="32">
        <v>2553.828</v>
      </c>
      <c r="I158" s="25">
        <f t="shared" si="9"/>
        <v>574968.83591999998</v>
      </c>
      <c r="J158" s="40"/>
      <c r="K158" s="39"/>
      <c r="L158" s="39"/>
      <c r="M158" s="39"/>
      <c r="N158" s="23"/>
      <c r="O158" s="39"/>
      <c r="P158" s="39"/>
      <c r="Q158" s="39"/>
      <c r="R158" s="39"/>
    </row>
    <row r="159" spans="1:18" s="2" customFormat="1" ht="26.4">
      <c r="A159" s="20">
        <f t="shared" si="8"/>
        <v>138</v>
      </c>
      <c r="B159" s="17" t="s">
        <v>352</v>
      </c>
      <c r="C159" s="17" t="s">
        <v>353</v>
      </c>
      <c r="D159" s="20" t="s">
        <v>8</v>
      </c>
      <c r="E159" s="20" t="s">
        <v>9</v>
      </c>
      <c r="F159" s="18">
        <v>1</v>
      </c>
      <c r="G159" s="19">
        <f>249.25</f>
        <v>249.25</v>
      </c>
      <c r="H159" s="32">
        <v>2509.4135999999999</v>
      </c>
      <c r="I159" s="25">
        <f t="shared" si="9"/>
        <v>625471.33979999996</v>
      </c>
      <c r="J159" s="40"/>
      <c r="K159" s="39"/>
      <c r="L159" s="39"/>
      <c r="M159" s="39"/>
      <c r="N159" s="23"/>
      <c r="O159" s="39"/>
      <c r="P159" s="39"/>
      <c r="Q159" s="39"/>
      <c r="R159" s="39"/>
    </row>
    <row r="160" spans="1:18" s="2" customFormat="1" ht="14.4">
      <c r="A160" s="20">
        <f t="shared" si="8"/>
        <v>139</v>
      </c>
      <c r="B160" s="17" t="s">
        <v>354</v>
      </c>
      <c r="C160" s="17" t="s">
        <v>355</v>
      </c>
      <c r="D160" s="9" t="s">
        <v>25</v>
      </c>
      <c r="E160" s="20" t="s">
        <v>26</v>
      </c>
      <c r="F160" s="18">
        <v>1</v>
      </c>
      <c r="G160" s="19">
        <f>1.633198857*28.13</f>
        <v>45.941883847409997</v>
      </c>
      <c r="H160" s="32">
        <v>280</v>
      </c>
      <c r="I160" s="25">
        <f t="shared" si="9"/>
        <v>12863.727477274799</v>
      </c>
      <c r="J160" s="40"/>
      <c r="K160" s="39"/>
      <c r="L160" s="39"/>
      <c r="M160" s="39"/>
      <c r="N160" s="23"/>
      <c r="O160" s="39"/>
      <c r="P160" s="39"/>
      <c r="Q160" s="39"/>
      <c r="R160" s="39"/>
    </row>
    <row r="161" spans="1:18" s="2" customFormat="1" ht="14.4">
      <c r="A161" s="20">
        <f t="shared" si="8"/>
        <v>140</v>
      </c>
      <c r="B161" s="17" t="s">
        <v>356</v>
      </c>
      <c r="C161" s="17" t="s">
        <v>357</v>
      </c>
      <c r="D161" s="9" t="s">
        <v>25</v>
      </c>
      <c r="E161" s="20" t="s">
        <v>26</v>
      </c>
      <c r="F161" s="18">
        <v>1</v>
      </c>
      <c r="G161" s="19">
        <f>398.48</f>
        <v>398.48</v>
      </c>
      <c r="H161" s="32">
        <v>280</v>
      </c>
      <c r="I161" s="25">
        <f t="shared" si="9"/>
        <v>111574.40000000001</v>
      </c>
      <c r="J161" s="40"/>
      <c r="K161" s="39"/>
      <c r="L161" s="39"/>
      <c r="M161" s="39"/>
      <c r="N161" s="23"/>
      <c r="O161" s="39"/>
      <c r="P161" s="39"/>
      <c r="Q161" s="39"/>
      <c r="R161" s="39"/>
    </row>
    <row r="162" spans="1:18" s="2" customFormat="1" ht="26.4">
      <c r="A162" s="20">
        <f t="shared" si="8"/>
        <v>141</v>
      </c>
      <c r="B162" s="17" t="s">
        <v>358</v>
      </c>
      <c r="C162" s="17" t="s">
        <v>359</v>
      </c>
      <c r="D162" s="20" t="s">
        <v>8</v>
      </c>
      <c r="E162" s="20" t="s">
        <v>9</v>
      </c>
      <c r="F162" s="18">
        <v>1</v>
      </c>
      <c r="G162" s="19">
        <f>1.633198857*44.2</f>
        <v>72.187389479400011</v>
      </c>
      <c r="H162" s="32">
        <v>252</v>
      </c>
      <c r="I162" s="25">
        <f t="shared" si="9"/>
        <v>18191.222148808803</v>
      </c>
      <c r="J162" s="40"/>
      <c r="K162" s="39"/>
      <c r="L162" s="39"/>
      <c r="M162" s="39"/>
      <c r="N162" s="23"/>
      <c r="O162" s="39"/>
      <c r="P162" s="39"/>
      <c r="Q162" s="39"/>
      <c r="R162" s="39"/>
    </row>
    <row r="163" spans="1:18" s="2" customFormat="1" ht="39.6">
      <c r="A163" s="20">
        <f t="shared" si="8"/>
        <v>142</v>
      </c>
      <c r="B163" s="17" t="s">
        <v>360</v>
      </c>
      <c r="C163" s="17" t="s">
        <v>361</v>
      </c>
      <c r="D163" s="20" t="s">
        <v>8</v>
      </c>
      <c r="E163" s="20" t="s">
        <v>9</v>
      </c>
      <c r="F163" s="18">
        <v>1</v>
      </c>
      <c r="G163" s="19">
        <f>1.633198857*155.85</f>
        <v>254.53404186345</v>
      </c>
      <c r="H163" s="32">
        <v>252</v>
      </c>
      <c r="I163" s="25">
        <f t="shared" si="9"/>
        <v>64142.578549589402</v>
      </c>
      <c r="J163" s="40"/>
      <c r="K163" s="39"/>
      <c r="L163" s="39"/>
      <c r="M163" s="39"/>
      <c r="N163" s="23"/>
      <c r="O163" s="39"/>
      <c r="P163" s="39"/>
      <c r="Q163" s="39"/>
      <c r="R163" s="39"/>
    </row>
    <row r="164" spans="1:18" s="2" customFormat="1" ht="26.4">
      <c r="A164" s="20">
        <f t="shared" si="8"/>
        <v>143</v>
      </c>
      <c r="B164" s="17" t="s">
        <v>362</v>
      </c>
      <c r="C164" s="17" t="s">
        <v>363</v>
      </c>
      <c r="D164" s="9" t="s">
        <v>25</v>
      </c>
      <c r="E164" s="20" t="s">
        <v>26</v>
      </c>
      <c r="F164" s="18">
        <v>1</v>
      </c>
      <c r="G164" s="19">
        <f>195.68</f>
        <v>195.68</v>
      </c>
      <c r="H164" s="32">
        <v>1837.4</v>
      </c>
      <c r="I164" s="25">
        <f t="shared" si="9"/>
        <v>359542.43200000003</v>
      </c>
      <c r="J164" s="40"/>
      <c r="K164" s="39"/>
      <c r="L164" s="39"/>
      <c r="M164" s="39"/>
      <c r="N164" s="23"/>
      <c r="O164" s="39"/>
      <c r="P164" s="39"/>
      <c r="Q164" s="39"/>
      <c r="R164" s="39"/>
    </row>
    <row r="165" spans="1:18" s="2" customFormat="1" ht="14.4">
      <c r="A165" s="20">
        <f t="shared" si="8"/>
        <v>144</v>
      </c>
      <c r="B165" s="17" t="s">
        <v>364</v>
      </c>
      <c r="C165" s="17" t="s">
        <v>365</v>
      </c>
      <c r="D165" s="20" t="s">
        <v>5</v>
      </c>
      <c r="E165" s="20" t="s">
        <v>6</v>
      </c>
      <c r="F165" s="18">
        <v>1</v>
      </c>
      <c r="G165" s="19">
        <f>77.54</f>
        <v>77.540000000000006</v>
      </c>
      <c r="H165" s="32">
        <v>353</v>
      </c>
      <c r="I165" s="25">
        <f t="shared" si="9"/>
        <v>27371.620000000003</v>
      </c>
      <c r="J165" s="40"/>
      <c r="K165" s="39"/>
      <c r="L165" s="39"/>
      <c r="M165" s="39"/>
      <c r="N165" s="23"/>
      <c r="O165" s="39"/>
      <c r="P165" s="39"/>
      <c r="Q165" s="39"/>
      <c r="R165" s="39"/>
    </row>
    <row r="166" spans="1:18" s="2" customFormat="1" ht="14.4">
      <c r="A166" s="20">
        <f t="shared" si="8"/>
        <v>145</v>
      </c>
      <c r="B166" s="17" t="s">
        <v>366</v>
      </c>
      <c r="C166" s="17" t="s">
        <v>367</v>
      </c>
      <c r="D166" s="20" t="s">
        <v>5</v>
      </c>
      <c r="E166" s="20" t="s">
        <v>6</v>
      </c>
      <c r="F166" s="18">
        <v>1</v>
      </c>
      <c r="G166" s="19">
        <f>57.14</f>
        <v>57.14</v>
      </c>
      <c r="H166" s="32">
        <v>792</v>
      </c>
      <c r="I166" s="25">
        <f t="shared" si="9"/>
        <v>45254.879999999997</v>
      </c>
      <c r="J166" s="40"/>
      <c r="K166" s="39"/>
      <c r="L166" s="39"/>
      <c r="M166" s="39"/>
      <c r="N166" s="23"/>
      <c r="O166" s="39"/>
      <c r="P166" s="39"/>
      <c r="Q166" s="39"/>
      <c r="R166" s="39"/>
    </row>
    <row r="167" spans="1:18" s="2" customFormat="1" ht="14.4">
      <c r="A167" s="20">
        <f t="shared" si="8"/>
        <v>146</v>
      </c>
      <c r="B167" s="17" t="s">
        <v>368</v>
      </c>
      <c r="C167" s="17" t="s">
        <v>369</v>
      </c>
      <c r="D167" s="20" t="s">
        <v>5</v>
      </c>
      <c r="E167" s="20" t="s">
        <v>6</v>
      </c>
      <c r="F167" s="18">
        <v>1</v>
      </c>
      <c r="G167" s="19">
        <f>5.43</f>
        <v>5.43</v>
      </c>
      <c r="H167" s="32">
        <v>353</v>
      </c>
      <c r="I167" s="25">
        <f t="shared" si="9"/>
        <v>1916.79</v>
      </c>
      <c r="J167" s="40"/>
      <c r="K167" s="39"/>
      <c r="L167" s="39"/>
      <c r="M167" s="39"/>
      <c r="N167" s="23"/>
      <c r="O167" s="39"/>
      <c r="P167" s="39"/>
      <c r="Q167" s="39"/>
      <c r="R167" s="39"/>
    </row>
    <row r="168" spans="1:18" s="2" customFormat="1" ht="14.4">
      <c r="A168" s="20">
        <f t="shared" si="8"/>
        <v>147</v>
      </c>
      <c r="B168" s="17" t="s">
        <v>370</v>
      </c>
      <c r="C168" s="17" t="s">
        <v>371</v>
      </c>
      <c r="D168" s="20" t="s">
        <v>5</v>
      </c>
      <c r="E168" s="20" t="s">
        <v>6</v>
      </c>
      <c r="F168" s="18">
        <v>1</v>
      </c>
      <c r="G168" s="19">
        <f>6.14</f>
        <v>6.14</v>
      </c>
      <c r="H168" s="32">
        <v>353</v>
      </c>
      <c r="I168" s="25">
        <f t="shared" si="9"/>
        <v>2167.42</v>
      </c>
      <c r="J168" s="40"/>
      <c r="K168" s="39"/>
      <c r="L168" s="39"/>
      <c r="M168" s="39"/>
      <c r="N168" s="23"/>
      <c r="O168" s="39"/>
      <c r="P168" s="39"/>
      <c r="Q168" s="39"/>
      <c r="R168" s="39"/>
    </row>
    <row r="169" spans="1:18" s="2" customFormat="1" ht="26.4">
      <c r="A169" s="20">
        <f t="shared" si="8"/>
        <v>148</v>
      </c>
      <c r="B169" s="17" t="s">
        <v>372</v>
      </c>
      <c r="C169" s="17" t="s">
        <v>373</v>
      </c>
      <c r="D169" s="20" t="s">
        <v>5</v>
      </c>
      <c r="E169" s="20" t="s">
        <v>6</v>
      </c>
      <c r="F169" s="18">
        <v>1</v>
      </c>
      <c r="G169" s="19">
        <f>99.98</f>
        <v>99.98</v>
      </c>
      <c r="H169" s="32">
        <v>18</v>
      </c>
      <c r="I169" s="25">
        <f t="shared" si="9"/>
        <v>1799.64</v>
      </c>
      <c r="J169" s="40"/>
      <c r="K169" s="39"/>
      <c r="L169" s="39"/>
      <c r="M169" s="39"/>
      <c r="N169" s="23"/>
      <c r="O169" s="39"/>
      <c r="P169" s="39"/>
      <c r="Q169" s="39"/>
      <c r="R169" s="39"/>
    </row>
    <row r="170" spans="1:18" s="2" customFormat="1" ht="14.4">
      <c r="A170" s="20">
        <f t="shared" ref="A170:A193" si="10">A169+1</f>
        <v>149</v>
      </c>
      <c r="B170" s="17" t="s">
        <v>374</v>
      </c>
      <c r="C170" s="17" t="s">
        <v>375</v>
      </c>
      <c r="D170" s="20" t="s">
        <v>5</v>
      </c>
      <c r="E170" s="20" t="s">
        <v>6</v>
      </c>
      <c r="F170" s="18">
        <v>1</v>
      </c>
      <c r="G170" s="19">
        <f>795.62</f>
        <v>795.62</v>
      </c>
      <c r="H170" s="32">
        <v>18</v>
      </c>
      <c r="I170" s="25">
        <f t="shared" si="9"/>
        <v>14321.16</v>
      </c>
      <c r="J170" s="40"/>
      <c r="K170" s="39"/>
      <c r="L170" s="39"/>
      <c r="M170" s="39"/>
      <c r="N170" s="23"/>
      <c r="O170" s="39"/>
      <c r="P170" s="39"/>
      <c r="Q170" s="39"/>
      <c r="R170" s="39"/>
    </row>
    <row r="171" spans="1:18" s="2" customFormat="1" ht="14.4">
      <c r="A171" s="20">
        <f t="shared" si="10"/>
        <v>150</v>
      </c>
      <c r="B171" s="17" t="s">
        <v>376</v>
      </c>
      <c r="C171" s="17" t="s">
        <v>377</v>
      </c>
      <c r="D171" s="9" t="s">
        <v>56</v>
      </c>
      <c r="E171" s="20" t="s">
        <v>42</v>
      </c>
      <c r="F171" s="18">
        <v>1</v>
      </c>
      <c r="G171" s="19">
        <f>42445.9</f>
        <v>42445.9</v>
      </c>
      <c r="H171" s="32">
        <v>0.02</v>
      </c>
      <c r="I171" s="25">
        <f t="shared" si="9"/>
        <v>848.91800000000001</v>
      </c>
      <c r="J171" s="40"/>
      <c r="K171" s="39"/>
      <c r="L171" s="39"/>
      <c r="M171" s="39"/>
      <c r="N171" s="23"/>
      <c r="O171" s="39"/>
      <c r="P171" s="39"/>
      <c r="Q171" s="39"/>
      <c r="R171" s="39"/>
    </row>
    <row r="172" spans="1:18" s="2" customFormat="1" ht="14.4">
      <c r="A172" s="20">
        <f t="shared" si="10"/>
        <v>151</v>
      </c>
      <c r="B172" s="17" t="s">
        <v>378</v>
      </c>
      <c r="C172" s="17" t="s">
        <v>379</v>
      </c>
      <c r="D172" s="20" t="s">
        <v>5</v>
      </c>
      <c r="E172" s="20" t="s">
        <v>6</v>
      </c>
      <c r="F172" s="18">
        <v>1</v>
      </c>
      <c r="G172" s="19">
        <f>5.01</f>
        <v>5.01</v>
      </c>
      <c r="H172" s="32">
        <v>80</v>
      </c>
      <c r="I172" s="25">
        <f t="shared" si="9"/>
        <v>400.79999999999995</v>
      </c>
      <c r="J172" s="40"/>
      <c r="K172" s="39"/>
      <c r="L172" s="39"/>
      <c r="M172" s="39"/>
      <c r="N172" s="23"/>
      <c r="O172" s="39"/>
      <c r="P172" s="39"/>
      <c r="Q172" s="39"/>
      <c r="R172" s="39"/>
    </row>
    <row r="173" spans="1:18" s="2" customFormat="1" ht="14.4">
      <c r="A173" s="20">
        <f t="shared" si="10"/>
        <v>152</v>
      </c>
      <c r="B173" s="17" t="s">
        <v>380</v>
      </c>
      <c r="C173" s="17" t="s">
        <v>381</v>
      </c>
      <c r="D173" s="20" t="s">
        <v>5</v>
      </c>
      <c r="E173" s="20" t="s">
        <v>6</v>
      </c>
      <c r="F173" s="18">
        <v>1</v>
      </c>
      <c r="G173" s="19">
        <f>4.63</f>
        <v>4.63</v>
      </c>
      <c r="H173" s="32">
        <v>80</v>
      </c>
      <c r="I173" s="25">
        <f t="shared" si="9"/>
        <v>370.4</v>
      </c>
      <c r="J173" s="40"/>
      <c r="K173" s="39"/>
      <c r="L173" s="39"/>
      <c r="M173" s="39"/>
      <c r="N173" s="23"/>
      <c r="O173" s="39"/>
      <c r="P173" s="39"/>
      <c r="Q173" s="39"/>
      <c r="R173" s="39"/>
    </row>
    <row r="174" spans="1:18" s="2" customFormat="1" ht="26.4">
      <c r="A174" s="20">
        <f t="shared" si="10"/>
        <v>153</v>
      </c>
      <c r="B174" s="17" t="s">
        <v>382</v>
      </c>
      <c r="C174" s="17" t="s">
        <v>383</v>
      </c>
      <c r="D174" s="20" t="s">
        <v>59</v>
      </c>
      <c r="E174" s="20" t="s">
        <v>60</v>
      </c>
      <c r="F174" s="18">
        <v>1</v>
      </c>
      <c r="G174" s="19">
        <f>1.633198857*18535</f>
        <v>30271.340814495001</v>
      </c>
      <c r="H174" s="32">
        <v>0.996</v>
      </c>
      <c r="I174" s="25">
        <f t="shared" si="9"/>
        <v>30150.255451237022</v>
      </c>
      <c r="J174" s="40"/>
      <c r="K174" s="39"/>
      <c r="L174" s="39"/>
      <c r="M174" s="39"/>
      <c r="N174" s="23"/>
      <c r="O174" s="39"/>
      <c r="P174" s="39"/>
      <c r="Q174" s="39"/>
      <c r="R174" s="39"/>
    </row>
    <row r="175" spans="1:18" s="2" customFormat="1" ht="14.4">
      <c r="A175" s="20">
        <f t="shared" si="10"/>
        <v>154</v>
      </c>
      <c r="B175" s="17" t="s">
        <v>384</v>
      </c>
      <c r="C175" s="17" t="s">
        <v>385</v>
      </c>
      <c r="D175" s="9" t="s">
        <v>56</v>
      </c>
      <c r="E175" s="20" t="s">
        <v>42</v>
      </c>
      <c r="F175" s="18">
        <v>1</v>
      </c>
      <c r="G175" s="19">
        <f>42445.9</f>
        <v>42445.9</v>
      </c>
      <c r="H175" s="32">
        <v>0.996</v>
      </c>
      <c r="I175" s="25">
        <f t="shared" si="9"/>
        <v>42276.116399999999</v>
      </c>
      <c r="J175" s="40"/>
      <c r="K175" s="39"/>
      <c r="L175" s="39"/>
      <c r="M175" s="39"/>
      <c r="N175" s="23"/>
      <c r="O175" s="39"/>
      <c r="P175" s="39"/>
      <c r="Q175" s="39"/>
      <c r="R175" s="39"/>
    </row>
    <row r="176" spans="1:18" s="2" customFormat="1" ht="14.4">
      <c r="A176" s="20">
        <f t="shared" si="10"/>
        <v>155</v>
      </c>
      <c r="B176" s="17" t="s">
        <v>386</v>
      </c>
      <c r="C176" s="17" t="s">
        <v>387</v>
      </c>
      <c r="D176" s="20" t="s">
        <v>5</v>
      </c>
      <c r="E176" s="20" t="s">
        <v>6</v>
      </c>
      <c r="F176" s="18">
        <v>1</v>
      </c>
      <c r="G176" s="19">
        <f>6.03</f>
        <v>6.03</v>
      </c>
      <c r="H176" s="32">
        <v>80</v>
      </c>
      <c r="I176" s="25">
        <f t="shared" si="9"/>
        <v>482.40000000000003</v>
      </c>
      <c r="J176" s="40"/>
      <c r="K176" s="39"/>
      <c r="L176" s="39"/>
      <c r="M176" s="39"/>
      <c r="N176" s="23"/>
      <c r="O176" s="39"/>
      <c r="P176" s="39"/>
      <c r="Q176" s="39"/>
      <c r="R176" s="39"/>
    </row>
    <row r="177" spans="1:18" s="2" customFormat="1" ht="14.4">
      <c r="A177" s="20">
        <f t="shared" si="10"/>
        <v>156</v>
      </c>
      <c r="B177" s="17" t="s">
        <v>388</v>
      </c>
      <c r="C177" s="17" t="s">
        <v>389</v>
      </c>
      <c r="D177" s="20" t="s">
        <v>5</v>
      </c>
      <c r="E177" s="20" t="s">
        <v>6</v>
      </c>
      <c r="F177" s="18">
        <v>1</v>
      </c>
      <c r="G177" s="19">
        <f>5.32</f>
        <v>5.32</v>
      </c>
      <c r="H177" s="32">
        <v>80</v>
      </c>
      <c r="I177" s="25">
        <f t="shared" si="9"/>
        <v>425.6</v>
      </c>
      <c r="J177" s="40"/>
      <c r="K177" s="39"/>
      <c r="L177" s="39"/>
      <c r="M177" s="39"/>
      <c r="N177" s="23"/>
      <c r="O177" s="39"/>
      <c r="P177" s="39"/>
      <c r="Q177" s="39"/>
      <c r="R177" s="39"/>
    </row>
    <row r="178" spans="1:18" s="2" customFormat="1" ht="26.4">
      <c r="A178" s="20">
        <f t="shared" si="10"/>
        <v>157</v>
      </c>
      <c r="B178" s="17" t="s">
        <v>390</v>
      </c>
      <c r="C178" s="17" t="s">
        <v>391</v>
      </c>
      <c r="D178" s="9" t="s">
        <v>25</v>
      </c>
      <c r="E178" s="20" t="s">
        <v>26</v>
      </c>
      <c r="F178" s="18">
        <v>1</v>
      </c>
      <c r="G178" s="19">
        <f>1.633198857*79.4</f>
        <v>129.6759892458</v>
      </c>
      <c r="H178" s="32">
        <v>607.6</v>
      </c>
      <c r="I178" s="25">
        <f t="shared" si="9"/>
        <v>78791.131065748079</v>
      </c>
      <c r="J178" s="40"/>
      <c r="K178" s="39"/>
      <c r="L178" s="39"/>
      <c r="M178" s="39"/>
      <c r="N178" s="23"/>
      <c r="O178" s="39"/>
      <c r="P178" s="39"/>
      <c r="Q178" s="39"/>
      <c r="R178" s="39"/>
    </row>
    <row r="179" spans="1:18" s="2" customFormat="1" ht="26.4">
      <c r="A179" s="20">
        <f t="shared" si="10"/>
        <v>158</v>
      </c>
      <c r="B179" s="17" t="s">
        <v>392</v>
      </c>
      <c r="C179" s="17" t="s">
        <v>393</v>
      </c>
      <c r="D179" s="9" t="s">
        <v>44</v>
      </c>
      <c r="E179" s="20" t="s">
        <v>45</v>
      </c>
      <c r="F179" s="18">
        <v>1</v>
      </c>
      <c r="G179" s="19">
        <f>77.18</f>
        <v>77.180000000000007</v>
      </c>
      <c r="H179" s="32">
        <v>121.52</v>
      </c>
      <c r="I179" s="25">
        <f t="shared" si="9"/>
        <v>9378.9135999999999</v>
      </c>
      <c r="J179" s="40"/>
      <c r="K179" s="39"/>
      <c r="L179" s="39"/>
      <c r="M179" s="39"/>
      <c r="N179" s="23"/>
      <c r="O179" s="39"/>
      <c r="P179" s="39"/>
      <c r="Q179" s="39"/>
      <c r="R179" s="39"/>
    </row>
    <row r="180" spans="1:18" s="2" customFormat="1" ht="26.4">
      <c r="A180" s="20">
        <f t="shared" si="10"/>
        <v>159</v>
      </c>
      <c r="B180" s="17" t="s">
        <v>394</v>
      </c>
      <c r="C180" s="17" t="s">
        <v>395</v>
      </c>
      <c r="D180" s="20" t="s">
        <v>5</v>
      </c>
      <c r="E180" s="20" t="s">
        <v>6</v>
      </c>
      <c r="F180" s="18">
        <v>1</v>
      </c>
      <c r="G180" s="19">
        <f>1.633198857*61.21</f>
        <v>99.968102036969995</v>
      </c>
      <c r="H180" s="32">
        <v>18</v>
      </c>
      <c r="I180" s="25">
        <f t="shared" si="9"/>
        <v>1799.4258366654599</v>
      </c>
      <c r="J180" s="40"/>
      <c r="K180" s="39"/>
      <c r="L180" s="39"/>
      <c r="M180" s="39"/>
      <c r="N180" s="23"/>
      <c r="O180" s="39"/>
      <c r="P180" s="39"/>
      <c r="Q180" s="39"/>
      <c r="R180" s="39"/>
    </row>
    <row r="181" spans="1:18" s="2" customFormat="1" ht="26.4">
      <c r="A181" s="20">
        <f t="shared" si="10"/>
        <v>160</v>
      </c>
      <c r="B181" s="17" t="s">
        <v>372</v>
      </c>
      <c r="C181" s="17" t="s">
        <v>373</v>
      </c>
      <c r="D181" s="20" t="s">
        <v>5</v>
      </c>
      <c r="E181" s="20" t="s">
        <v>6</v>
      </c>
      <c r="F181" s="18">
        <v>1</v>
      </c>
      <c r="G181" s="19">
        <f>99.98</f>
        <v>99.98</v>
      </c>
      <c r="H181" s="32">
        <v>18</v>
      </c>
      <c r="I181" s="25">
        <f t="shared" si="9"/>
        <v>1799.64</v>
      </c>
      <c r="J181" s="40"/>
      <c r="K181" s="39"/>
      <c r="L181" s="39"/>
      <c r="M181" s="39"/>
      <c r="N181" s="23"/>
      <c r="O181" s="39"/>
      <c r="P181" s="39"/>
      <c r="Q181" s="39"/>
      <c r="R181" s="39"/>
    </row>
    <row r="182" spans="1:18" s="2" customFormat="1" ht="14.4">
      <c r="A182" s="20">
        <f t="shared" si="10"/>
        <v>161</v>
      </c>
      <c r="B182" s="17" t="s">
        <v>374</v>
      </c>
      <c r="C182" s="17" t="s">
        <v>375</v>
      </c>
      <c r="D182" s="20" t="s">
        <v>5</v>
      </c>
      <c r="E182" s="20" t="s">
        <v>6</v>
      </c>
      <c r="F182" s="18">
        <v>1</v>
      </c>
      <c r="G182" s="19">
        <f>795.62</f>
        <v>795.62</v>
      </c>
      <c r="H182" s="32">
        <v>18</v>
      </c>
      <c r="I182" s="25">
        <f t="shared" si="9"/>
        <v>14321.16</v>
      </c>
      <c r="J182" s="40"/>
      <c r="K182" s="39"/>
      <c r="L182" s="39"/>
      <c r="M182" s="39"/>
      <c r="N182" s="23"/>
      <c r="O182" s="39"/>
      <c r="P182" s="39"/>
      <c r="Q182" s="39"/>
      <c r="R182" s="39"/>
    </row>
    <row r="183" spans="1:18" s="2" customFormat="1" ht="26.4">
      <c r="A183" s="20">
        <f t="shared" si="10"/>
        <v>162</v>
      </c>
      <c r="B183" s="17" t="s">
        <v>396</v>
      </c>
      <c r="C183" s="17" t="s">
        <v>397</v>
      </c>
      <c r="D183" s="20" t="s">
        <v>5</v>
      </c>
      <c r="E183" s="20" t="s">
        <v>6</v>
      </c>
      <c r="F183" s="18">
        <v>1</v>
      </c>
      <c r="G183" s="19">
        <f>290.72</f>
        <v>290.72000000000003</v>
      </c>
      <c r="H183" s="32">
        <v>10</v>
      </c>
      <c r="I183" s="25">
        <f t="shared" si="9"/>
        <v>2907.2000000000003</v>
      </c>
      <c r="J183" s="40"/>
      <c r="K183" s="39"/>
      <c r="L183" s="39"/>
      <c r="M183" s="39"/>
      <c r="N183" s="23"/>
      <c r="O183" s="39"/>
      <c r="P183" s="39"/>
      <c r="Q183" s="39"/>
      <c r="R183" s="39"/>
    </row>
    <row r="184" spans="1:18" s="2" customFormat="1" ht="39.6">
      <c r="A184" s="20">
        <f t="shared" si="10"/>
        <v>163</v>
      </c>
      <c r="B184" s="17" t="s">
        <v>398</v>
      </c>
      <c r="C184" s="17" t="s">
        <v>399</v>
      </c>
      <c r="D184" s="20" t="s">
        <v>5</v>
      </c>
      <c r="E184" s="20" t="s">
        <v>6</v>
      </c>
      <c r="F184" s="18">
        <v>1</v>
      </c>
      <c r="G184" s="19">
        <f>(1.633198857*348.69)+316.22</f>
        <v>885.70010944733008</v>
      </c>
      <c r="H184" s="32">
        <v>35</v>
      </c>
      <c r="I184" s="25">
        <f t="shared" si="9"/>
        <v>30999.503830656551</v>
      </c>
      <c r="J184" s="38">
        <v>20</v>
      </c>
      <c r="K184" s="23" t="s">
        <v>400</v>
      </c>
      <c r="L184" s="23"/>
      <c r="M184" s="39"/>
      <c r="N184" s="23"/>
      <c r="O184" s="39"/>
      <c r="P184" s="39"/>
      <c r="Q184" s="39"/>
      <c r="R184" s="39"/>
    </row>
    <row r="185" spans="1:18" s="2" customFormat="1" ht="23.25" customHeight="1">
      <c r="A185" s="20">
        <f t="shared" si="10"/>
        <v>164</v>
      </c>
      <c r="B185" s="17" t="s">
        <v>401</v>
      </c>
      <c r="C185" s="17" t="s">
        <v>402</v>
      </c>
      <c r="D185" s="20" t="s">
        <v>5</v>
      </c>
      <c r="E185" s="20" t="s">
        <v>6</v>
      </c>
      <c r="F185" s="18">
        <v>1</v>
      </c>
      <c r="G185" s="19">
        <v>2000</v>
      </c>
      <c r="H185" s="32">
        <v>35</v>
      </c>
      <c r="I185" s="25">
        <f t="shared" si="9"/>
        <v>70000</v>
      </c>
      <c r="J185" s="38">
        <v>20</v>
      </c>
      <c r="K185" s="39"/>
      <c r="L185" s="39"/>
      <c r="M185" s="39"/>
      <c r="N185" s="23"/>
      <c r="O185" s="39"/>
      <c r="P185" s="39"/>
      <c r="Q185" s="39"/>
      <c r="R185" s="39"/>
    </row>
    <row r="186" spans="1:18" ht="14.4">
      <c r="A186" s="20">
        <f t="shared" si="10"/>
        <v>165</v>
      </c>
      <c r="B186" s="13" t="s">
        <v>403</v>
      </c>
      <c r="C186" s="14" t="s">
        <v>404</v>
      </c>
      <c r="D186" s="14"/>
      <c r="E186" s="14"/>
      <c r="F186" s="18"/>
      <c r="G186" s="19"/>
      <c r="H186" s="15"/>
      <c r="I186" s="25"/>
      <c r="J186" s="24"/>
      <c r="K186" s="22"/>
      <c r="L186" s="22"/>
      <c r="M186" s="22"/>
      <c r="N186" s="23"/>
      <c r="O186" s="22"/>
      <c r="P186" s="22"/>
      <c r="Q186" s="22"/>
      <c r="R186" s="22"/>
    </row>
    <row r="187" spans="1:18" s="2" customFormat="1" ht="14.4">
      <c r="A187" s="20">
        <f t="shared" si="10"/>
        <v>166</v>
      </c>
      <c r="B187" s="17" t="s">
        <v>405</v>
      </c>
      <c r="C187" s="17" t="s">
        <v>406</v>
      </c>
      <c r="D187" s="20" t="s">
        <v>17</v>
      </c>
      <c r="E187" s="20" t="s">
        <v>43</v>
      </c>
      <c r="F187" s="18">
        <v>1</v>
      </c>
      <c r="G187" s="19">
        <f>1.633198857*441.51</f>
        <v>721.07362735407003</v>
      </c>
      <c r="H187" s="32">
        <v>6</v>
      </c>
      <c r="I187" s="25">
        <f t="shared" si="9"/>
        <v>4326.4417641244199</v>
      </c>
      <c r="J187" s="38">
        <v>7.8</v>
      </c>
      <c r="K187" s="39"/>
      <c r="L187" s="39"/>
      <c r="M187" s="39"/>
      <c r="N187" s="23"/>
      <c r="O187" s="39"/>
      <c r="P187" s="39"/>
      <c r="Q187" s="39"/>
      <c r="R187" s="39"/>
    </row>
    <row r="188" spans="1:18" s="2" customFormat="1" ht="14.4">
      <c r="A188" s="20">
        <f t="shared" si="10"/>
        <v>167</v>
      </c>
      <c r="B188" s="17" t="s">
        <v>407</v>
      </c>
      <c r="C188" s="17" t="s">
        <v>408</v>
      </c>
      <c r="D188" s="20" t="s">
        <v>17</v>
      </c>
      <c r="E188" s="20" t="s">
        <v>43</v>
      </c>
      <c r="F188" s="18">
        <v>1</v>
      </c>
      <c r="G188" s="19">
        <f>2958</f>
        <v>2958</v>
      </c>
      <c r="H188" s="32">
        <f>6*1.02</f>
        <v>6.12</v>
      </c>
      <c r="I188" s="25">
        <f t="shared" si="9"/>
        <v>18102.96</v>
      </c>
      <c r="J188" s="38">
        <v>7.9560000000000004</v>
      </c>
      <c r="K188" s="39"/>
      <c r="L188" s="39"/>
      <c r="M188" s="39"/>
      <c r="N188" s="23"/>
      <c r="O188" s="39"/>
      <c r="P188" s="39"/>
      <c r="Q188" s="39"/>
      <c r="R188" s="39"/>
    </row>
    <row r="189" spans="1:18" s="2" customFormat="1" ht="39.6">
      <c r="A189" s="20">
        <f t="shared" si="10"/>
        <v>168</v>
      </c>
      <c r="B189" s="17" t="s">
        <v>196</v>
      </c>
      <c r="C189" s="17" t="s">
        <v>409</v>
      </c>
      <c r="D189" s="9" t="s">
        <v>56</v>
      </c>
      <c r="E189" s="20" t="s">
        <v>42</v>
      </c>
      <c r="F189" s="18">
        <v>1</v>
      </c>
      <c r="G189" s="19">
        <f>1.633198857*40352.64</f>
        <v>65903.885524932484</v>
      </c>
      <c r="H189" s="32">
        <v>4.3499999999999996</v>
      </c>
      <c r="I189" s="25">
        <f t="shared" si="9"/>
        <v>286681.90203345631</v>
      </c>
      <c r="J189" s="38">
        <v>4.3499999999999996</v>
      </c>
      <c r="K189" s="39"/>
      <c r="L189" s="39"/>
      <c r="M189" s="39"/>
      <c r="N189" s="23"/>
      <c r="O189" s="39"/>
      <c r="P189" s="39"/>
      <c r="Q189" s="39"/>
      <c r="R189" s="39"/>
    </row>
    <row r="190" spans="1:18" s="2" customFormat="1" ht="39.6">
      <c r="A190" s="20">
        <f t="shared" si="10"/>
        <v>169</v>
      </c>
      <c r="B190" s="17" t="s">
        <v>410</v>
      </c>
      <c r="C190" s="17" t="s">
        <v>284</v>
      </c>
      <c r="D190" s="9" t="s">
        <v>56</v>
      </c>
      <c r="E190" s="20" t="s">
        <v>42</v>
      </c>
      <c r="F190" s="18">
        <v>1</v>
      </c>
      <c r="G190" s="19">
        <f>30969.88</f>
        <v>30969.88</v>
      </c>
      <c r="H190" s="32">
        <v>0.61099999999999999</v>
      </c>
      <c r="I190" s="25">
        <f t="shared" si="9"/>
        <v>18922.596679999999</v>
      </c>
      <c r="J190" s="38">
        <v>4.6109999999999998</v>
      </c>
      <c r="K190" s="39"/>
      <c r="L190" s="39"/>
      <c r="M190" s="39"/>
      <c r="N190" s="23"/>
      <c r="O190" s="39"/>
      <c r="P190" s="39"/>
      <c r="Q190" s="39"/>
      <c r="R190" s="39"/>
    </row>
    <row r="191" spans="1:18" s="2" customFormat="1" ht="14.4">
      <c r="A191" s="20">
        <f t="shared" si="10"/>
        <v>170</v>
      </c>
      <c r="B191" s="17" t="s">
        <v>411</v>
      </c>
      <c r="C191" s="17" t="s">
        <v>412</v>
      </c>
      <c r="D191" s="9" t="s">
        <v>56</v>
      </c>
      <c r="E191" s="20" t="s">
        <v>42</v>
      </c>
      <c r="F191" s="18">
        <v>1</v>
      </c>
      <c r="G191" s="19">
        <v>30969.88</v>
      </c>
      <c r="H191" s="32">
        <f>H189</f>
        <v>4.3499999999999996</v>
      </c>
      <c r="I191" s="25">
        <f t="shared" si="9"/>
        <v>134718.978</v>
      </c>
      <c r="J191" s="38"/>
      <c r="K191" s="39"/>
      <c r="L191" s="39"/>
      <c r="M191" s="39"/>
      <c r="N191" s="23"/>
      <c r="O191" s="39"/>
      <c r="P191" s="39"/>
      <c r="Q191" s="39"/>
      <c r="R191" s="39"/>
    </row>
    <row r="192" spans="1:18" s="2" customFormat="1" ht="14.4">
      <c r="A192" s="20">
        <f t="shared" si="10"/>
        <v>171</v>
      </c>
      <c r="B192" s="17" t="s">
        <v>206</v>
      </c>
      <c r="C192" s="17" t="s">
        <v>207</v>
      </c>
      <c r="D192" s="9" t="s">
        <v>56</v>
      </c>
      <c r="E192" s="20" t="s">
        <v>42</v>
      </c>
      <c r="F192" s="18">
        <v>1</v>
      </c>
      <c r="G192" s="19">
        <f>1.633198857*3994.24</f>
        <v>6523.3882025836792</v>
      </c>
      <c r="H192" s="32">
        <f>H190</f>
        <v>0.61099999999999999</v>
      </c>
      <c r="I192" s="25">
        <f t="shared" si="9"/>
        <v>3985.790191778628</v>
      </c>
      <c r="J192" s="38">
        <v>4.3499999999999996</v>
      </c>
      <c r="K192" s="39"/>
      <c r="L192" s="39"/>
      <c r="M192" s="39"/>
      <c r="N192" s="23"/>
      <c r="O192" s="39"/>
      <c r="P192" s="39"/>
      <c r="Q192" s="39"/>
      <c r="R192" s="39"/>
    </row>
    <row r="193" spans="1:18" s="2" customFormat="1" ht="14.4">
      <c r="A193" s="20">
        <f t="shared" si="10"/>
        <v>172</v>
      </c>
      <c r="B193" s="30" t="s">
        <v>218</v>
      </c>
      <c r="C193" s="30" t="s">
        <v>219</v>
      </c>
      <c r="D193" s="31" t="s">
        <v>48</v>
      </c>
      <c r="E193" s="20" t="s">
        <v>220</v>
      </c>
      <c r="F193" s="18">
        <v>1</v>
      </c>
      <c r="G193" s="19"/>
      <c r="H193" s="32">
        <v>1</v>
      </c>
      <c r="I193" s="25">
        <f>SUM(I137:I192)*0.05</f>
        <v>721566.94243573025</v>
      </c>
      <c r="J193" s="48"/>
      <c r="K193" s="39"/>
      <c r="L193" s="39"/>
      <c r="M193" s="39"/>
      <c r="N193" s="23"/>
      <c r="O193" s="39"/>
      <c r="P193" s="39"/>
      <c r="Q193" s="39"/>
      <c r="R193" s="39"/>
    </row>
    <row r="194" spans="1:18" ht="14.4">
      <c r="A194" s="20"/>
      <c r="B194" s="13" t="s">
        <v>413</v>
      </c>
      <c r="C194" s="14" t="s">
        <v>414</v>
      </c>
      <c r="D194" s="14"/>
      <c r="E194" s="14"/>
      <c r="F194" s="18"/>
      <c r="G194" s="19"/>
      <c r="H194" s="15"/>
      <c r="I194" s="25"/>
      <c r="J194" s="24"/>
      <c r="K194" s="22"/>
      <c r="L194" s="22"/>
      <c r="M194" s="22"/>
      <c r="N194" s="23"/>
      <c r="O194" s="22"/>
      <c r="P194" s="22"/>
      <c r="Q194" s="22"/>
      <c r="R194" s="22"/>
    </row>
    <row r="195" spans="1:18" s="2" customFormat="1" ht="14.4">
      <c r="A195" s="20">
        <f>A193+1</f>
        <v>173</v>
      </c>
      <c r="B195" s="17" t="s">
        <v>182</v>
      </c>
      <c r="C195" s="17" t="s">
        <v>183</v>
      </c>
      <c r="D195" s="20" t="s">
        <v>17</v>
      </c>
      <c r="E195" s="20" t="s">
        <v>43</v>
      </c>
      <c r="F195" s="18">
        <v>1</v>
      </c>
      <c r="G195" s="19">
        <f>1.633198857*274.56</f>
        <v>448.41107817791999</v>
      </c>
      <c r="H195" s="32">
        <v>2</v>
      </c>
      <c r="I195" s="25">
        <f t="shared" si="9"/>
        <v>896.82215635583998</v>
      </c>
      <c r="J195" s="38">
        <v>2</v>
      </c>
      <c r="K195" s="39"/>
      <c r="L195" s="39"/>
      <c r="M195" s="39"/>
      <c r="N195" s="23"/>
      <c r="O195" s="39"/>
      <c r="P195" s="39"/>
      <c r="Q195" s="39"/>
      <c r="R195" s="39"/>
    </row>
    <row r="196" spans="1:18" s="2" customFormat="1" ht="14.4">
      <c r="A196" s="20">
        <f t="shared" ref="A196:A202" si="11">A195+1</f>
        <v>174</v>
      </c>
      <c r="B196" s="17" t="s">
        <v>184</v>
      </c>
      <c r="C196" s="17" t="s">
        <v>415</v>
      </c>
      <c r="D196" s="20" t="s">
        <v>17</v>
      </c>
      <c r="E196" s="20" t="s">
        <v>43</v>
      </c>
      <c r="F196" s="18">
        <v>1</v>
      </c>
      <c r="G196" s="19">
        <f>2958</f>
        <v>2958</v>
      </c>
      <c r="H196" s="32">
        <v>2.04</v>
      </c>
      <c r="I196" s="25">
        <f t="shared" si="9"/>
        <v>6034.32</v>
      </c>
      <c r="J196" s="38">
        <v>2.04</v>
      </c>
      <c r="K196" s="39"/>
      <c r="L196" s="39"/>
      <c r="M196" s="39"/>
      <c r="N196" s="23"/>
      <c r="O196" s="39"/>
      <c r="P196" s="39"/>
      <c r="Q196" s="39"/>
      <c r="R196" s="39"/>
    </row>
    <row r="197" spans="1:18" ht="14.4">
      <c r="A197" s="20">
        <f t="shared" si="11"/>
        <v>175</v>
      </c>
      <c r="B197" s="17" t="s">
        <v>416</v>
      </c>
      <c r="C197" s="17" t="s">
        <v>417</v>
      </c>
      <c r="D197" s="20" t="s">
        <v>17</v>
      </c>
      <c r="E197" s="20" t="s">
        <v>43</v>
      </c>
      <c r="F197" s="18">
        <v>1</v>
      </c>
      <c r="G197" s="19">
        <f>1.633198857*441.51</f>
        <v>721.07362735407003</v>
      </c>
      <c r="H197" s="32">
        <v>17.53</v>
      </c>
      <c r="I197" s="25">
        <f t="shared" si="9"/>
        <v>12640.420687516849</v>
      </c>
      <c r="J197" s="38">
        <v>20</v>
      </c>
      <c r="K197" s="22"/>
      <c r="L197" s="22"/>
      <c r="M197" s="22"/>
      <c r="N197" s="23"/>
      <c r="O197" s="22"/>
      <c r="P197" s="22"/>
      <c r="Q197" s="22"/>
      <c r="R197" s="22"/>
    </row>
    <row r="198" spans="1:18" ht="14.4">
      <c r="A198" s="20">
        <f t="shared" si="11"/>
        <v>176</v>
      </c>
      <c r="B198" s="17" t="s">
        <v>225</v>
      </c>
      <c r="C198" s="17" t="s">
        <v>226</v>
      </c>
      <c r="D198" s="20" t="s">
        <v>17</v>
      </c>
      <c r="E198" s="20" t="s">
        <v>43</v>
      </c>
      <c r="F198" s="18">
        <v>1</v>
      </c>
      <c r="G198" s="19">
        <f>2958</f>
        <v>2958</v>
      </c>
      <c r="H198" s="32">
        <f>H197*1.02</f>
        <v>17.880600000000001</v>
      </c>
      <c r="I198" s="25">
        <f t="shared" si="9"/>
        <v>52890.8148</v>
      </c>
      <c r="J198" s="38">
        <v>20.399999999999999</v>
      </c>
      <c r="K198" s="22"/>
      <c r="L198" s="22"/>
      <c r="M198" s="22"/>
      <c r="N198" s="23"/>
      <c r="O198" s="22"/>
      <c r="P198" s="22"/>
      <c r="Q198" s="22"/>
      <c r="R198" s="22"/>
    </row>
    <row r="199" spans="1:18" ht="26.4">
      <c r="A199" s="20">
        <f t="shared" si="11"/>
        <v>177</v>
      </c>
      <c r="B199" s="17" t="s">
        <v>196</v>
      </c>
      <c r="C199" s="17" t="s">
        <v>197</v>
      </c>
      <c r="D199" s="9" t="s">
        <v>56</v>
      </c>
      <c r="E199" s="20" t="s">
        <v>42</v>
      </c>
      <c r="F199" s="18">
        <v>1</v>
      </c>
      <c r="G199" s="19">
        <f>1.633198857*40302.54</f>
        <v>65822.062262196778</v>
      </c>
      <c r="H199" s="32">
        <v>1.304</v>
      </c>
      <c r="I199" s="25">
        <f t="shared" si="9"/>
        <v>85831.969189904601</v>
      </c>
      <c r="J199" s="38">
        <v>1.33</v>
      </c>
      <c r="K199" s="22"/>
      <c r="L199" s="22"/>
      <c r="M199" s="22"/>
      <c r="N199" s="23"/>
      <c r="O199" s="22"/>
      <c r="P199" s="22"/>
      <c r="Q199" s="22"/>
      <c r="R199" s="22"/>
    </row>
    <row r="200" spans="1:18" ht="39.6">
      <c r="A200" s="20">
        <f t="shared" si="11"/>
        <v>178</v>
      </c>
      <c r="B200" s="17" t="s">
        <v>198</v>
      </c>
      <c r="C200" s="17" t="s">
        <v>199</v>
      </c>
      <c r="D200" s="9" t="s">
        <v>56</v>
      </c>
      <c r="E200" s="20" t="s">
        <v>42</v>
      </c>
      <c r="F200" s="18">
        <v>1</v>
      </c>
      <c r="G200" s="19">
        <f>30969.88</f>
        <v>30969.88</v>
      </c>
      <c r="H200" s="32">
        <v>2.7E-2</v>
      </c>
      <c r="I200" s="25">
        <f t="shared" si="9"/>
        <v>836.18676000000005</v>
      </c>
      <c r="J200" s="38">
        <v>3.1800000000000002E-2</v>
      </c>
      <c r="K200" s="22"/>
      <c r="L200" s="22"/>
      <c r="M200" s="22"/>
      <c r="N200" s="23"/>
      <c r="O200" s="22"/>
      <c r="P200" s="22"/>
      <c r="Q200" s="22"/>
      <c r="R200" s="22"/>
    </row>
    <row r="201" spans="1:18" ht="39.6">
      <c r="A201" s="20">
        <f t="shared" si="11"/>
        <v>179</v>
      </c>
      <c r="B201" s="17" t="s">
        <v>200</v>
      </c>
      <c r="C201" s="17" t="s">
        <v>201</v>
      </c>
      <c r="D201" s="9" t="s">
        <v>56</v>
      </c>
      <c r="E201" s="20" t="s">
        <v>42</v>
      </c>
      <c r="F201" s="18">
        <v>1</v>
      </c>
      <c r="G201" s="19">
        <f>30969.88</f>
        <v>30969.88</v>
      </c>
      <c r="H201" s="32">
        <v>1.2769999999999999</v>
      </c>
      <c r="I201" s="25">
        <f t="shared" si="9"/>
        <v>39548.536759999995</v>
      </c>
      <c r="J201" s="38">
        <v>1.3779999999999999</v>
      </c>
      <c r="K201" s="22"/>
      <c r="L201" s="22"/>
      <c r="M201" s="22"/>
      <c r="N201" s="23"/>
      <c r="O201" s="22"/>
      <c r="P201" s="22"/>
      <c r="Q201" s="22"/>
      <c r="R201" s="22"/>
    </row>
    <row r="202" spans="1:18" ht="14.4">
      <c r="A202" s="20">
        <f t="shared" si="11"/>
        <v>180</v>
      </c>
      <c r="B202" s="17" t="s">
        <v>206</v>
      </c>
      <c r="C202" s="17" t="s">
        <v>207</v>
      </c>
      <c r="D202" s="9" t="s">
        <v>56</v>
      </c>
      <c r="E202" s="20" t="s">
        <v>42</v>
      </c>
      <c r="F202" s="18">
        <v>1</v>
      </c>
      <c r="G202" s="19">
        <f>1.633198857*3994.24</f>
        <v>6523.3882025836792</v>
      </c>
      <c r="H202" s="32">
        <v>1.304</v>
      </c>
      <c r="I202" s="25">
        <f t="shared" si="9"/>
        <v>8506.4982161691187</v>
      </c>
      <c r="J202" s="38">
        <v>1.33</v>
      </c>
      <c r="K202" s="22"/>
      <c r="L202" s="22"/>
      <c r="M202" s="22"/>
      <c r="N202" s="23"/>
      <c r="O202" s="22"/>
      <c r="P202" s="22"/>
      <c r="Q202" s="22"/>
      <c r="R202" s="22"/>
    </row>
    <row r="203" spans="1:18" ht="14.4">
      <c r="A203" s="20"/>
      <c r="B203" s="13" t="s">
        <v>418</v>
      </c>
      <c r="C203" s="14" t="s">
        <v>419</v>
      </c>
      <c r="D203" s="14"/>
      <c r="E203" s="14"/>
      <c r="F203" s="18"/>
      <c r="G203" s="19"/>
      <c r="H203" s="15"/>
      <c r="I203" s="25"/>
      <c r="J203" s="24"/>
      <c r="K203" s="22"/>
      <c r="L203" s="22"/>
      <c r="M203" s="22"/>
      <c r="N203" s="23"/>
      <c r="O203" s="22"/>
      <c r="P203" s="22"/>
      <c r="Q203" s="22"/>
      <c r="R203" s="22"/>
    </row>
    <row r="204" spans="1:18" ht="39.6">
      <c r="A204" s="20">
        <f>A202+1</f>
        <v>181</v>
      </c>
      <c r="B204" s="17" t="s">
        <v>420</v>
      </c>
      <c r="C204" s="17" t="s">
        <v>421</v>
      </c>
      <c r="D204" s="20" t="s">
        <v>17</v>
      </c>
      <c r="E204" s="20" t="s">
        <v>43</v>
      </c>
      <c r="F204" s="18">
        <v>1</v>
      </c>
      <c r="G204" s="19">
        <f>1.633198857*369.4</f>
        <v>603.30365777579993</v>
      </c>
      <c r="H204" s="32">
        <f>(39.1+12.5+6.9+6.9+9.54+9.54+9.47)*0.2</f>
        <v>18.79</v>
      </c>
      <c r="I204" s="25">
        <f t="shared" ref="I204:I266" si="12">G204*H204</f>
        <v>11336.075729607281</v>
      </c>
      <c r="J204" s="38">
        <v>1.3</v>
      </c>
      <c r="K204" s="22"/>
      <c r="L204" s="22"/>
      <c r="M204" s="22"/>
      <c r="N204" s="23"/>
      <c r="O204" s="22"/>
      <c r="P204" s="22"/>
      <c r="Q204" s="22"/>
      <c r="R204" s="22"/>
    </row>
    <row r="205" spans="1:18" ht="26.4">
      <c r="A205" s="20">
        <f t="shared" ref="A205:A220" si="13">A204+1</f>
        <v>182</v>
      </c>
      <c r="B205" s="17" t="s">
        <v>422</v>
      </c>
      <c r="C205" s="17" t="s">
        <v>423</v>
      </c>
      <c r="D205" s="20" t="s">
        <v>17</v>
      </c>
      <c r="E205" s="20" t="s">
        <v>43</v>
      </c>
      <c r="F205" s="18">
        <v>1</v>
      </c>
      <c r="G205" s="19">
        <f>1.633198857*43.07</f>
        <v>70.341874770990003</v>
      </c>
      <c r="H205" s="32">
        <f>(39.1+12.5+6.9+6.9+9.54+9.54+9.47)*0.2</f>
        <v>18.79</v>
      </c>
      <c r="I205" s="25">
        <f t="shared" si="12"/>
        <v>1321.7238269469021</v>
      </c>
      <c r="J205" s="38">
        <v>1.3</v>
      </c>
      <c r="K205" s="22"/>
      <c r="L205" s="22"/>
      <c r="M205" s="22"/>
      <c r="N205" s="23"/>
      <c r="O205" s="22"/>
      <c r="P205" s="22"/>
      <c r="Q205" s="22"/>
      <c r="R205" s="22"/>
    </row>
    <row r="206" spans="1:18" ht="26.4">
      <c r="A206" s="20">
        <f t="shared" si="13"/>
        <v>183</v>
      </c>
      <c r="B206" s="17" t="s">
        <v>424</v>
      </c>
      <c r="C206" s="17" t="s">
        <v>425</v>
      </c>
      <c r="D206" s="20" t="s">
        <v>17</v>
      </c>
      <c r="E206" s="20" t="s">
        <v>43</v>
      </c>
      <c r="F206" s="18">
        <v>1</v>
      </c>
      <c r="G206" s="19">
        <f>1.633198857*663.37</f>
        <v>1083.4151257680901</v>
      </c>
      <c r="H206" s="32">
        <f>(39.1+12.5+6.9+6.9+9.54+9.54+9.47)*0.1</f>
        <v>9.3949999999999996</v>
      </c>
      <c r="I206" s="25">
        <f t="shared" si="12"/>
        <v>10178.685106591205</v>
      </c>
      <c r="J206" s="38">
        <v>0.21</v>
      </c>
      <c r="K206" s="22"/>
      <c r="L206" s="22"/>
      <c r="M206" s="22"/>
      <c r="N206" s="23"/>
      <c r="O206" s="22"/>
      <c r="P206" s="22"/>
      <c r="Q206" s="22"/>
      <c r="R206" s="22"/>
    </row>
    <row r="207" spans="1:18" ht="14.4">
      <c r="A207" s="20">
        <f t="shared" si="13"/>
        <v>184</v>
      </c>
      <c r="B207" s="17" t="s">
        <v>426</v>
      </c>
      <c r="C207" s="17" t="s">
        <v>427</v>
      </c>
      <c r="D207" s="20" t="s">
        <v>17</v>
      </c>
      <c r="E207" s="20" t="s">
        <v>43</v>
      </c>
      <c r="F207" s="18">
        <v>1</v>
      </c>
      <c r="G207" s="19">
        <f>714</f>
        <v>714</v>
      </c>
      <c r="H207" s="32">
        <f>(39.1+12.5+6.9+6.9+9.54+9.54+9.47)*0.1</f>
        <v>9.3949999999999996</v>
      </c>
      <c r="I207" s="25">
        <f t="shared" si="12"/>
        <v>6708.03</v>
      </c>
      <c r="J207" s="38">
        <v>0.23519999999999999</v>
      </c>
      <c r="K207" s="22"/>
      <c r="L207" s="22"/>
      <c r="M207" s="22"/>
      <c r="N207" s="23"/>
      <c r="O207" s="22"/>
      <c r="P207" s="22"/>
      <c r="Q207" s="22"/>
      <c r="R207" s="22"/>
    </row>
    <row r="208" spans="1:18" ht="26.4">
      <c r="A208" s="20">
        <f t="shared" si="13"/>
        <v>185</v>
      </c>
      <c r="B208" s="17" t="s">
        <v>428</v>
      </c>
      <c r="C208" s="17" t="s">
        <v>429</v>
      </c>
      <c r="D208" s="20" t="s">
        <v>17</v>
      </c>
      <c r="E208" s="20" t="s">
        <v>43</v>
      </c>
      <c r="F208" s="18">
        <v>1</v>
      </c>
      <c r="G208" s="19">
        <f>1.633198857*4014.65</f>
        <v>6556.7217912550504</v>
      </c>
      <c r="H208" s="32">
        <f>(39.1+12.5+6.9+6.9+9.54+9.54+9.47)*0.06</f>
        <v>5.6369999999999987</v>
      </c>
      <c r="I208" s="25">
        <f t="shared" si="12"/>
        <v>36960.24073730471</v>
      </c>
      <c r="J208" s="38">
        <v>0.42</v>
      </c>
      <c r="K208" s="22"/>
      <c r="L208" s="22"/>
      <c r="M208" s="22"/>
      <c r="N208" s="23"/>
      <c r="O208" s="22"/>
      <c r="P208" s="22"/>
      <c r="Q208" s="22"/>
      <c r="R208" s="22"/>
    </row>
    <row r="209" spans="1:18" ht="26.4">
      <c r="A209" s="20">
        <f t="shared" si="13"/>
        <v>186</v>
      </c>
      <c r="B209" s="17" t="s">
        <v>430</v>
      </c>
      <c r="C209" s="17" t="s">
        <v>431</v>
      </c>
      <c r="D209" s="9" t="s">
        <v>56</v>
      </c>
      <c r="E209" s="20" t="s">
        <v>42</v>
      </c>
      <c r="F209" s="18">
        <v>1</v>
      </c>
      <c r="G209" s="19">
        <f>1.633198857*34434.6</f>
        <v>56238.549361252197</v>
      </c>
      <c r="H209" s="32">
        <f>H210+H211</f>
        <v>2.597</v>
      </c>
      <c r="I209" s="25">
        <f t="shared" si="12"/>
        <v>146051.51269117196</v>
      </c>
      <c r="J209" s="38">
        <v>1.66E-2</v>
      </c>
      <c r="K209" s="22"/>
      <c r="L209" s="22"/>
      <c r="M209" s="22"/>
      <c r="N209" s="23"/>
      <c r="O209" s="22"/>
      <c r="P209" s="22"/>
      <c r="Q209" s="22"/>
      <c r="R209" s="22"/>
    </row>
    <row r="210" spans="1:18" ht="26.4">
      <c r="A210" s="20">
        <f t="shared" si="13"/>
        <v>187</v>
      </c>
      <c r="B210" s="17" t="s">
        <v>432</v>
      </c>
      <c r="C210" s="17" t="s">
        <v>433</v>
      </c>
      <c r="D210" s="9" t="s">
        <v>56</v>
      </c>
      <c r="E210" s="20" t="s">
        <v>42</v>
      </c>
      <c r="F210" s="18">
        <v>1</v>
      </c>
      <c r="G210" s="19">
        <f>30969.88</f>
        <v>30969.88</v>
      </c>
      <c r="H210" s="32">
        <f>0.022+0.012+0.06</f>
        <v>9.4E-2</v>
      </c>
      <c r="I210" s="25">
        <f t="shared" si="12"/>
        <v>2911.1687200000001</v>
      </c>
      <c r="J210" s="38">
        <v>1.7131199999999999E-2</v>
      </c>
      <c r="K210" s="22"/>
      <c r="L210" s="22"/>
      <c r="M210" s="22"/>
      <c r="N210" s="23"/>
      <c r="O210" s="22"/>
      <c r="P210" s="22"/>
      <c r="Q210" s="22"/>
      <c r="R210" s="22"/>
    </row>
    <row r="211" spans="1:18" ht="26.4">
      <c r="A211" s="20">
        <f t="shared" si="13"/>
        <v>188</v>
      </c>
      <c r="B211" s="17" t="s">
        <v>434</v>
      </c>
      <c r="C211" s="17" t="s">
        <v>435</v>
      </c>
      <c r="D211" s="9" t="s">
        <v>56</v>
      </c>
      <c r="E211" s="20" t="s">
        <v>42</v>
      </c>
      <c r="F211" s="18">
        <v>1</v>
      </c>
      <c r="G211" s="19">
        <f>30969.88</f>
        <v>30969.88</v>
      </c>
      <c r="H211" s="32">
        <f>1.178+0.65+0.12+0.12+0.435</f>
        <v>2.5030000000000001</v>
      </c>
      <c r="I211" s="25">
        <f t="shared" si="12"/>
        <v>77517.60964000001</v>
      </c>
      <c r="J211" s="38"/>
      <c r="K211" s="22"/>
      <c r="L211" s="22"/>
      <c r="M211" s="22"/>
      <c r="N211" s="23"/>
      <c r="O211" s="22"/>
      <c r="P211" s="22"/>
      <c r="Q211" s="22"/>
      <c r="R211" s="22"/>
    </row>
    <row r="212" spans="1:18" ht="14.4">
      <c r="A212" s="20">
        <f t="shared" si="13"/>
        <v>189</v>
      </c>
      <c r="B212" s="17" t="s">
        <v>436</v>
      </c>
      <c r="C212" s="17" t="s">
        <v>437</v>
      </c>
      <c r="D212" s="20" t="s">
        <v>8</v>
      </c>
      <c r="E212" s="20" t="s">
        <v>93</v>
      </c>
      <c r="F212" s="18">
        <v>1</v>
      </c>
      <c r="G212" s="19">
        <f>1.633198857*1995.31</f>
        <v>3258.73801136067</v>
      </c>
      <c r="H212" s="32">
        <f>39.1+12.5+6.9+6.9+9.54+9.54+9.47</f>
        <v>93.949999999999989</v>
      </c>
      <c r="I212" s="25">
        <f t="shared" si="12"/>
        <v>306158.4361673349</v>
      </c>
      <c r="J212" s="38">
        <v>4</v>
      </c>
      <c r="K212" s="22"/>
      <c r="L212" s="22"/>
      <c r="M212" s="22"/>
      <c r="N212" s="23"/>
      <c r="O212" s="22"/>
      <c r="P212" s="22"/>
      <c r="Q212" s="22"/>
      <c r="R212" s="22"/>
    </row>
    <row r="213" spans="1:18" ht="26.4">
      <c r="A213" s="20">
        <f t="shared" si="13"/>
        <v>190</v>
      </c>
      <c r="B213" s="17" t="s">
        <v>438</v>
      </c>
      <c r="C213" s="17" t="s">
        <v>439</v>
      </c>
      <c r="D213" s="20" t="s">
        <v>17</v>
      </c>
      <c r="E213" s="20" t="s">
        <v>43</v>
      </c>
      <c r="F213" s="18">
        <v>1</v>
      </c>
      <c r="G213" s="19">
        <f>1.633198857*3552.6</f>
        <v>5802.1022593782</v>
      </c>
      <c r="H213" s="32">
        <f>H214+H215</f>
        <v>43.64</v>
      </c>
      <c r="I213" s="25">
        <f t="shared" si="12"/>
        <v>253203.74259926466</v>
      </c>
      <c r="J213" s="38">
        <v>0.6</v>
      </c>
      <c r="K213" s="22"/>
      <c r="L213" s="22"/>
      <c r="M213" s="22"/>
      <c r="N213" s="23"/>
      <c r="O213" s="22"/>
      <c r="P213" s="22"/>
      <c r="Q213" s="22"/>
      <c r="R213" s="22"/>
    </row>
    <row r="214" spans="1:18" ht="14.4">
      <c r="A214" s="20">
        <f t="shared" si="13"/>
        <v>191</v>
      </c>
      <c r="B214" s="21" t="s">
        <v>440</v>
      </c>
      <c r="C214" s="17" t="s">
        <v>441</v>
      </c>
      <c r="D214" s="20" t="s">
        <v>17</v>
      </c>
      <c r="E214" s="20" t="s">
        <v>43</v>
      </c>
      <c r="F214" s="18">
        <v>1</v>
      </c>
      <c r="G214" s="19">
        <f>2958</f>
        <v>2958</v>
      </c>
      <c r="H214" s="32">
        <f>18.2+9.64+2.5+5</f>
        <v>35.340000000000003</v>
      </c>
      <c r="I214" s="25">
        <f t="shared" si="12"/>
        <v>104535.72000000002</v>
      </c>
      <c r="J214" s="38">
        <v>0.63944999999999996</v>
      </c>
      <c r="K214" s="22"/>
      <c r="L214" s="22"/>
      <c r="M214" s="22"/>
      <c r="N214" s="23"/>
      <c r="O214" s="22"/>
      <c r="P214" s="22"/>
      <c r="Q214" s="22"/>
      <c r="R214" s="22"/>
    </row>
    <row r="215" spans="1:18" ht="14.4">
      <c r="A215" s="20">
        <f t="shared" si="13"/>
        <v>192</v>
      </c>
      <c r="B215" s="41" t="s">
        <v>442</v>
      </c>
      <c r="C215" s="17" t="s">
        <v>443</v>
      </c>
      <c r="D215" s="20" t="s">
        <v>17</v>
      </c>
      <c r="E215" s="20" t="s">
        <v>43</v>
      </c>
      <c r="F215" s="18">
        <v>1</v>
      </c>
      <c r="G215" s="19">
        <f>2958</f>
        <v>2958</v>
      </c>
      <c r="H215" s="32">
        <f>4.2+2+0.8+1.3</f>
        <v>8.3000000000000007</v>
      </c>
      <c r="I215" s="25">
        <f t="shared" si="12"/>
        <v>24551.4</v>
      </c>
      <c r="J215" s="38"/>
      <c r="K215" s="22"/>
      <c r="L215" s="22"/>
      <c r="M215" s="22"/>
      <c r="N215" s="23"/>
      <c r="O215" s="22"/>
      <c r="P215" s="22"/>
      <c r="Q215" s="22"/>
      <c r="R215" s="22"/>
    </row>
    <row r="216" spans="1:18" ht="26.4">
      <c r="A216" s="20">
        <f t="shared" si="13"/>
        <v>193</v>
      </c>
      <c r="B216" s="17" t="s">
        <v>444</v>
      </c>
      <c r="C216" s="17" t="s">
        <v>445</v>
      </c>
      <c r="D216" s="42" t="s">
        <v>8</v>
      </c>
      <c r="E216" s="42" t="s">
        <v>93</v>
      </c>
      <c r="F216" s="18">
        <v>1</v>
      </c>
      <c r="G216" s="19">
        <f>1.633198857*1693.28</f>
        <v>2765.46296058096</v>
      </c>
      <c r="H216" s="43">
        <f>H212</f>
        <v>93.949999999999989</v>
      </c>
      <c r="I216" s="25">
        <f t="shared" si="12"/>
        <v>259815.24514658118</v>
      </c>
      <c r="J216" s="38">
        <v>4</v>
      </c>
      <c r="K216" s="22"/>
      <c r="L216" s="22"/>
      <c r="M216" s="22"/>
      <c r="N216" s="23"/>
      <c r="O216" s="22"/>
      <c r="P216" s="22"/>
      <c r="Q216" s="22"/>
      <c r="R216" s="22"/>
    </row>
    <row r="217" spans="1:18" ht="26.4">
      <c r="A217" s="20">
        <f t="shared" si="13"/>
        <v>194</v>
      </c>
      <c r="B217" s="17" t="s">
        <v>446</v>
      </c>
      <c r="C217" s="44" t="s">
        <v>447</v>
      </c>
      <c r="D217" s="20" t="s">
        <v>17</v>
      </c>
      <c r="E217" s="20" t="s">
        <v>93</v>
      </c>
      <c r="F217" s="18">
        <v>1</v>
      </c>
      <c r="G217" s="19">
        <v>1200</v>
      </c>
      <c r="H217" s="32">
        <v>7.3</v>
      </c>
      <c r="I217" s="25">
        <f t="shared" si="12"/>
        <v>8760</v>
      </c>
      <c r="J217" s="48"/>
      <c r="K217" s="22"/>
      <c r="L217" s="22"/>
      <c r="M217" s="22"/>
      <c r="N217" s="23"/>
      <c r="O217" s="22"/>
      <c r="P217" s="22"/>
      <c r="Q217" s="22"/>
      <c r="R217" s="22"/>
    </row>
    <row r="218" spans="1:18" ht="26.4">
      <c r="A218" s="20">
        <f t="shared" si="13"/>
        <v>195</v>
      </c>
      <c r="B218" s="17" t="s">
        <v>448</v>
      </c>
      <c r="C218" s="44" t="s">
        <v>449</v>
      </c>
      <c r="D218" s="20" t="s">
        <v>25</v>
      </c>
      <c r="E218" s="20" t="s">
        <v>26</v>
      </c>
      <c r="F218" s="18">
        <v>1</v>
      </c>
      <c r="G218" s="19">
        <v>340.95</v>
      </c>
      <c r="H218" s="32">
        <f>9.97+8.3+8.3+8.3+4.6+4.6+42.6</f>
        <v>86.670000000000016</v>
      </c>
      <c r="I218" s="25">
        <f t="shared" si="12"/>
        <v>29550.136500000004</v>
      </c>
      <c r="J218" s="48"/>
      <c r="K218" s="22"/>
      <c r="L218" s="22"/>
      <c r="M218" s="22"/>
      <c r="N218" s="23"/>
      <c r="O218" s="22"/>
      <c r="P218" s="22"/>
      <c r="Q218" s="22"/>
      <c r="R218" s="22"/>
    </row>
    <row r="219" spans="1:18" ht="39.6">
      <c r="A219" s="20">
        <f t="shared" si="13"/>
        <v>196</v>
      </c>
      <c r="B219" s="17" t="s">
        <v>450</v>
      </c>
      <c r="C219" s="44" t="s">
        <v>451</v>
      </c>
      <c r="D219" s="20" t="s">
        <v>25</v>
      </c>
      <c r="E219" s="20" t="s">
        <v>26</v>
      </c>
      <c r="F219" s="18">
        <v>1</v>
      </c>
      <c r="G219" s="19">
        <v>340.95</v>
      </c>
      <c r="H219" s="32">
        <f>9.97+8.3+8.3+8.3+4.6+4.6+42.6</f>
        <v>86.670000000000016</v>
      </c>
      <c r="I219" s="25">
        <f t="shared" si="12"/>
        <v>29550.136500000004</v>
      </c>
      <c r="J219" s="48"/>
      <c r="K219" s="22"/>
      <c r="L219" s="22"/>
      <c r="M219" s="22"/>
      <c r="N219" s="23"/>
      <c r="O219" s="22"/>
      <c r="P219" s="22"/>
      <c r="Q219" s="22"/>
      <c r="R219" s="22"/>
    </row>
    <row r="220" spans="1:18" ht="14.4">
      <c r="A220" s="20">
        <f t="shared" si="13"/>
        <v>197</v>
      </c>
      <c r="B220" s="30" t="s">
        <v>218</v>
      </c>
      <c r="C220" s="30" t="s">
        <v>219</v>
      </c>
      <c r="D220" s="31" t="s">
        <v>48</v>
      </c>
      <c r="E220" s="20" t="s">
        <v>220</v>
      </c>
      <c r="F220" s="18">
        <v>1</v>
      </c>
      <c r="G220" s="19"/>
      <c r="H220" s="32">
        <v>1</v>
      </c>
      <c r="I220" s="25">
        <f>SUM(I195:I219)*0.05</f>
        <v>75814.771596737468</v>
      </c>
      <c r="J220" s="48"/>
      <c r="K220" s="22"/>
      <c r="L220" s="22"/>
      <c r="M220" s="22"/>
      <c r="N220" s="23"/>
      <c r="O220" s="22"/>
      <c r="P220" s="22"/>
      <c r="Q220" s="22"/>
      <c r="R220" s="22"/>
    </row>
    <row r="221" spans="1:18" ht="14.4">
      <c r="A221" s="20"/>
      <c r="B221" s="45"/>
      <c r="C221" s="20" t="s">
        <v>452</v>
      </c>
      <c r="D221" s="20"/>
      <c r="E221" s="20"/>
      <c r="F221" s="18"/>
      <c r="G221" s="19"/>
      <c r="H221" s="32"/>
      <c r="I221" s="25"/>
      <c r="J221" s="48"/>
      <c r="K221" s="22"/>
      <c r="L221" s="22"/>
      <c r="M221" s="22"/>
      <c r="N221" s="23"/>
      <c r="O221" s="22"/>
      <c r="P221" s="22"/>
      <c r="Q221" s="22"/>
      <c r="R221" s="22"/>
    </row>
    <row r="222" spans="1:18" ht="39.6">
      <c r="A222" s="20">
        <f>A220+1</f>
        <v>198</v>
      </c>
      <c r="B222" s="45" t="s">
        <v>420</v>
      </c>
      <c r="C222" s="45" t="s">
        <v>421</v>
      </c>
      <c r="D222" s="46" t="s">
        <v>17</v>
      </c>
      <c r="E222" s="46" t="s">
        <v>43</v>
      </c>
      <c r="F222" s="18">
        <v>1</v>
      </c>
      <c r="G222" s="19">
        <v>402</v>
      </c>
      <c r="H222" s="47">
        <f>206*0.2</f>
        <v>41.2</v>
      </c>
      <c r="I222" s="25">
        <f t="shared" si="12"/>
        <v>16562.400000000001</v>
      </c>
      <c r="J222" s="38">
        <v>1.3</v>
      </c>
      <c r="K222" s="22"/>
      <c r="L222" s="22"/>
      <c r="M222" s="22"/>
      <c r="N222" s="23"/>
      <c r="O222" s="22"/>
      <c r="P222" s="22"/>
      <c r="Q222" s="22"/>
      <c r="R222" s="22"/>
    </row>
    <row r="223" spans="1:18" ht="26.4">
      <c r="A223" s="20">
        <f t="shared" ref="A223:A238" si="14">A222+1</f>
        <v>199</v>
      </c>
      <c r="B223" s="17" t="s">
        <v>422</v>
      </c>
      <c r="C223" s="17" t="s">
        <v>423</v>
      </c>
      <c r="D223" s="20" t="s">
        <v>17</v>
      </c>
      <c r="E223" s="20" t="s">
        <v>43</v>
      </c>
      <c r="F223" s="18">
        <v>1</v>
      </c>
      <c r="G223" s="19">
        <v>150</v>
      </c>
      <c r="H223" s="32">
        <f>(206)*0.2</f>
        <v>41.2</v>
      </c>
      <c r="I223" s="25">
        <f t="shared" si="12"/>
        <v>6180</v>
      </c>
      <c r="J223" s="38">
        <v>1.3</v>
      </c>
      <c r="K223" s="22"/>
      <c r="L223" s="22"/>
      <c r="M223" s="22"/>
      <c r="N223" s="23"/>
      <c r="O223" s="22"/>
      <c r="P223" s="22"/>
      <c r="Q223" s="22"/>
      <c r="R223" s="22"/>
    </row>
    <row r="224" spans="1:18" ht="26.4">
      <c r="A224" s="20">
        <f t="shared" si="14"/>
        <v>200</v>
      </c>
      <c r="B224" s="17" t="s">
        <v>424</v>
      </c>
      <c r="C224" s="17" t="s">
        <v>425</v>
      </c>
      <c r="D224" s="20" t="s">
        <v>17</v>
      </c>
      <c r="E224" s="20" t="s">
        <v>43</v>
      </c>
      <c r="F224" s="18">
        <v>1</v>
      </c>
      <c r="G224" s="19">
        <v>150</v>
      </c>
      <c r="H224" s="32">
        <f>(206)*0.1</f>
        <v>20.6</v>
      </c>
      <c r="I224" s="25">
        <f t="shared" si="12"/>
        <v>3090</v>
      </c>
      <c r="J224" s="38">
        <v>0.21</v>
      </c>
      <c r="K224" s="22"/>
      <c r="L224" s="22"/>
      <c r="M224" s="22"/>
      <c r="N224" s="23"/>
      <c r="O224" s="22"/>
      <c r="P224" s="22"/>
      <c r="Q224" s="22"/>
      <c r="R224" s="22"/>
    </row>
    <row r="225" spans="1:18" ht="14.4">
      <c r="A225" s="20">
        <f t="shared" si="14"/>
        <v>201</v>
      </c>
      <c r="B225" s="17" t="s">
        <v>426</v>
      </c>
      <c r="C225" s="17" t="s">
        <v>427</v>
      </c>
      <c r="D225" s="20" t="s">
        <v>17</v>
      </c>
      <c r="E225" s="20" t="s">
        <v>43</v>
      </c>
      <c r="F225" s="18">
        <v>1</v>
      </c>
      <c r="G225" s="19">
        <f>714</f>
        <v>714</v>
      </c>
      <c r="H225" s="32">
        <f>(206)*0.1</f>
        <v>20.6</v>
      </c>
      <c r="I225" s="25">
        <f t="shared" si="12"/>
        <v>14708.400000000001</v>
      </c>
      <c r="J225" s="38">
        <v>0.23519999999999999</v>
      </c>
      <c r="K225" s="22"/>
      <c r="L225" s="22"/>
      <c r="M225" s="22"/>
      <c r="N225" s="23"/>
      <c r="O225" s="22"/>
      <c r="P225" s="22"/>
      <c r="Q225" s="22"/>
      <c r="R225" s="22"/>
    </row>
    <row r="226" spans="1:18" ht="26.4">
      <c r="A226" s="20">
        <f t="shared" si="14"/>
        <v>202</v>
      </c>
      <c r="B226" s="17" t="s">
        <v>428</v>
      </c>
      <c r="C226" s="17" t="s">
        <v>429</v>
      </c>
      <c r="D226" s="20" t="s">
        <v>17</v>
      </c>
      <c r="E226" s="20" t="s">
        <v>43</v>
      </c>
      <c r="F226" s="18">
        <v>1</v>
      </c>
      <c r="G226" s="19">
        <v>150</v>
      </c>
      <c r="H226" s="32">
        <f>(206)*0.06</f>
        <v>12.36</v>
      </c>
      <c r="I226" s="25">
        <f t="shared" si="12"/>
        <v>1854</v>
      </c>
      <c r="J226" s="38">
        <v>0.42</v>
      </c>
      <c r="K226" s="22"/>
      <c r="L226" s="22"/>
      <c r="M226" s="22"/>
      <c r="N226" s="23"/>
      <c r="O226" s="22"/>
      <c r="P226" s="22"/>
      <c r="Q226" s="22"/>
      <c r="R226" s="22"/>
    </row>
    <row r="227" spans="1:18" ht="26.4">
      <c r="A227" s="20">
        <f t="shared" si="14"/>
        <v>203</v>
      </c>
      <c r="B227" s="17" t="s">
        <v>430</v>
      </c>
      <c r="C227" s="17" t="s">
        <v>431</v>
      </c>
      <c r="D227" s="9" t="s">
        <v>56</v>
      </c>
      <c r="E227" s="20" t="s">
        <v>42</v>
      </c>
      <c r="F227" s="18">
        <v>1</v>
      </c>
      <c r="G227" s="19">
        <v>4500</v>
      </c>
      <c r="H227" s="32">
        <f>H228+H229</f>
        <v>8.4499999999999993</v>
      </c>
      <c r="I227" s="25">
        <f t="shared" si="12"/>
        <v>38025</v>
      </c>
      <c r="J227" s="38">
        <v>1.66E-2</v>
      </c>
      <c r="K227" s="22"/>
      <c r="L227" s="22"/>
      <c r="M227" s="22"/>
      <c r="N227" s="23"/>
      <c r="O227" s="22"/>
      <c r="P227" s="22"/>
      <c r="Q227" s="22"/>
      <c r="R227" s="22"/>
    </row>
    <row r="228" spans="1:18" ht="26.4">
      <c r="A228" s="20">
        <f t="shared" si="14"/>
        <v>204</v>
      </c>
      <c r="B228" s="17" t="s">
        <v>432</v>
      </c>
      <c r="C228" s="17" t="s">
        <v>433</v>
      </c>
      <c r="D228" s="9" t="s">
        <v>56</v>
      </c>
      <c r="E228" s="20" t="s">
        <v>42</v>
      </c>
      <c r="F228" s="18">
        <v>1</v>
      </c>
      <c r="G228" s="19">
        <f>30969.88</f>
        <v>30969.88</v>
      </c>
      <c r="H228" s="32">
        <f>0.305</f>
        <v>0.30499999999999999</v>
      </c>
      <c r="I228" s="25">
        <f t="shared" si="12"/>
        <v>9445.8134000000009</v>
      </c>
      <c r="J228" s="38">
        <v>1.7131199999999999E-2</v>
      </c>
      <c r="K228" s="22"/>
      <c r="L228" s="22"/>
      <c r="M228" s="22"/>
      <c r="N228" s="23"/>
      <c r="O228" s="22"/>
      <c r="P228" s="22"/>
      <c r="Q228" s="22"/>
      <c r="R228" s="22"/>
    </row>
    <row r="229" spans="1:18" ht="26.4">
      <c r="A229" s="20">
        <f t="shared" si="14"/>
        <v>205</v>
      </c>
      <c r="B229" s="17" t="s">
        <v>434</v>
      </c>
      <c r="C229" s="17" t="s">
        <v>435</v>
      </c>
      <c r="D229" s="9" t="s">
        <v>56</v>
      </c>
      <c r="E229" s="20" t="s">
        <v>42</v>
      </c>
      <c r="F229" s="18">
        <v>1</v>
      </c>
      <c r="G229" s="19">
        <f>30969.88</f>
        <v>30969.88</v>
      </c>
      <c r="H229" s="32">
        <v>8.1449999999999996</v>
      </c>
      <c r="I229" s="25">
        <f t="shared" si="12"/>
        <v>252249.67259999999</v>
      </c>
      <c r="J229" s="38"/>
      <c r="K229" s="22"/>
      <c r="L229" s="22"/>
      <c r="M229" s="22"/>
      <c r="N229" s="23"/>
      <c r="O229" s="22"/>
      <c r="P229" s="22"/>
      <c r="Q229" s="22"/>
      <c r="R229" s="22"/>
    </row>
    <row r="230" spans="1:18" ht="14.4">
      <c r="A230" s="20">
        <f t="shared" si="14"/>
        <v>206</v>
      </c>
      <c r="B230" s="17" t="s">
        <v>436</v>
      </c>
      <c r="C230" s="17" t="s">
        <v>437</v>
      </c>
      <c r="D230" s="20" t="s">
        <v>8</v>
      </c>
      <c r="E230" s="20" t="s">
        <v>93</v>
      </c>
      <c r="F230" s="18">
        <v>1</v>
      </c>
      <c r="G230" s="19">
        <v>165</v>
      </c>
      <c r="H230" s="32">
        <v>206</v>
      </c>
      <c r="I230" s="25">
        <f t="shared" si="12"/>
        <v>33990</v>
      </c>
      <c r="J230" s="38">
        <v>4</v>
      </c>
      <c r="K230" s="22"/>
      <c r="L230" s="22"/>
      <c r="M230" s="22"/>
      <c r="N230" s="23"/>
      <c r="O230" s="22"/>
      <c r="P230" s="22"/>
      <c r="Q230" s="22"/>
      <c r="R230" s="22"/>
    </row>
    <row r="231" spans="1:18" ht="26.4">
      <c r="A231" s="20">
        <f t="shared" si="14"/>
        <v>207</v>
      </c>
      <c r="B231" s="17" t="s">
        <v>438</v>
      </c>
      <c r="C231" s="17" t="s">
        <v>439</v>
      </c>
      <c r="D231" s="20" t="s">
        <v>17</v>
      </c>
      <c r="E231" s="20" t="s">
        <v>43</v>
      </c>
      <c r="F231" s="18">
        <v>1</v>
      </c>
      <c r="G231" s="19">
        <v>5440</v>
      </c>
      <c r="H231" s="32">
        <f>H232+H233</f>
        <v>155.4</v>
      </c>
      <c r="I231" s="25">
        <f t="shared" si="12"/>
        <v>845376</v>
      </c>
      <c r="J231" s="38">
        <v>0.6</v>
      </c>
      <c r="K231" s="22"/>
      <c r="L231" s="22"/>
      <c r="M231" s="22"/>
      <c r="N231" s="23"/>
      <c r="O231" s="22"/>
      <c r="P231" s="22"/>
      <c r="Q231" s="22"/>
      <c r="R231" s="22"/>
    </row>
    <row r="232" spans="1:18" ht="14.4">
      <c r="A232" s="20">
        <f t="shared" si="14"/>
        <v>208</v>
      </c>
      <c r="B232" s="21" t="s">
        <v>440</v>
      </c>
      <c r="C232" s="17" t="s">
        <v>441</v>
      </c>
      <c r="D232" s="20" t="s">
        <v>17</v>
      </c>
      <c r="E232" s="20" t="s">
        <v>43</v>
      </c>
      <c r="F232" s="18">
        <v>1</v>
      </c>
      <c r="G232" s="19">
        <f>2958</f>
        <v>2958</v>
      </c>
      <c r="H232" s="32">
        <v>120</v>
      </c>
      <c r="I232" s="25">
        <f t="shared" si="12"/>
        <v>354960</v>
      </c>
      <c r="J232" s="38">
        <v>0.63944999999999996</v>
      </c>
      <c r="K232" s="22"/>
      <c r="L232" s="22"/>
      <c r="M232" s="22"/>
      <c r="N232" s="23"/>
      <c r="O232" s="22"/>
      <c r="P232" s="22"/>
      <c r="Q232" s="22"/>
      <c r="R232" s="22"/>
    </row>
    <row r="233" spans="1:18" ht="14.4">
      <c r="A233" s="20">
        <f t="shared" si="14"/>
        <v>209</v>
      </c>
      <c r="B233" s="17" t="s">
        <v>442</v>
      </c>
      <c r="C233" s="17" t="s">
        <v>443</v>
      </c>
      <c r="D233" s="20" t="s">
        <v>17</v>
      </c>
      <c r="E233" s="20" t="s">
        <v>43</v>
      </c>
      <c r="F233" s="18">
        <v>1</v>
      </c>
      <c r="G233" s="19">
        <f>2958</f>
        <v>2958</v>
      </c>
      <c r="H233" s="32">
        <v>35.4</v>
      </c>
      <c r="I233" s="25">
        <f t="shared" si="12"/>
        <v>104713.2</v>
      </c>
      <c r="J233" s="38"/>
      <c r="K233" s="22"/>
      <c r="L233" s="22"/>
      <c r="M233" s="22"/>
      <c r="N233" s="23"/>
      <c r="O233" s="22"/>
      <c r="P233" s="22"/>
      <c r="Q233" s="22"/>
      <c r="R233" s="22"/>
    </row>
    <row r="234" spans="1:18" ht="26.4">
      <c r="A234" s="20">
        <f t="shared" si="14"/>
        <v>210</v>
      </c>
      <c r="B234" s="17" t="s">
        <v>444</v>
      </c>
      <c r="C234" s="17" t="s">
        <v>445</v>
      </c>
      <c r="D234" s="20" t="s">
        <v>8</v>
      </c>
      <c r="E234" s="20" t="s">
        <v>93</v>
      </c>
      <c r="F234" s="18">
        <v>1</v>
      </c>
      <c r="G234" s="19">
        <v>580</v>
      </c>
      <c r="H234" s="32">
        <f>H230</f>
        <v>206</v>
      </c>
      <c r="I234" s="25">
        <f t="shared" si="12"/>
        <v>119480</v>
      </c>
      <c r="J234" s="38">
        <v>4</v>
      </c>
      <c r="K234" s="22"/>
      <c r="L234" s="22"/>
      <c r="M234" s="22"/>
      <c r="N234" s="23"/>
      <c r="O234" s="22"/>
      <c r="P234" s="22"/>
      <c r="Q234" s="22"/>
      <c r="R234" s="22"/>
    </row>
    <row r="235" spans="1:18" ht="27" customHeight="1">
      <c r="A235" s="20">
        <f t="shared" si="14"/>
        <v>211</v>
      </c>
      <c r="B235" s="17" t="s">
        <v>446</v>
      </c>
      <c r="C235" s="44" t="s">
        <v>447</v>
      </c>
      <c r="D235" s="20" t="s">
        <v>17</v>
      </c>
      <c r="E235" s="20" t="s">
        <v>93</v>
      </c>
      <c r="F235" s="18">
        <v>1</v>
      </c>
      <c r="G235" s="19">
        <v>1200</v>
      </c>
      <c r="H235" s="32">
        <v>18</v>
      </c>
      <c r="I235" s="25">
        <f t="shared" si="12"/>
        <v>21600</v>
      </c>
      <c r="J235" s="48"/>
      <c r="K235" s="22"/>
      <c r="L235" s="22"/>
      <c r="M235" s="22"/>
      <c r="N235" s="23"/>
      <c r="O235" s="22"/>
      <c r="P235" s="22"/>
      <c r="Q235" s="22"/>
      <c r="R235" s="22"/>
    </row>
    <row r="236" spans="1:18" ht="26.4">
      <c r="A236" s="20">
        <f t="shared" si="14"/>
        <v>212</v>
      </c>
      <c r="B236" s="17" t="s">
        <v>448</v>
      </c>
      <c r="C236" s="44" t="s">
        <v>449</v>
      </c>
      <c r="D236" s="20" t="s">
        <v>25</v>
      </c>
      <c r="E236" s="20" t="s">
        <v>26</v>
      </c>
      <c r="F236" s="18">
        <v>1</v>
      </c>
      <c r="G236" s="19">
        <v>340.95</v>
      </c>
      <c r="H236" s="32">
        <v>101</v>
      </c>
      <c r="I236" s="25">
        <f t="shared" si="12"/>
        <v>34435.949999999997</v>
      </c>
      <c r="J236" s="48"/>
      <c r="K236" s="22"/>
      <c r="L236" s="22"/>
      <c r="M236" s="22"/>
      <c r="N236" s="23"/>
      <c r="O236" s="22"/>
      <c r="P236" s="22"/>
      <c r="Q236" s="22"/>
      <c r="R236" s="22"/>
    </row>
    <row r="237" spans="1:18" ht="39.6">
      <c r="A237" s="20">
        <f t="shared" si="14"/>
        <v>213</v>
      </c>
      <c r="B237" s="17" t="s">
        <v>450</v>
      </c>
      <c r="C237" s="44" t="s">
        <v>451</v>
      </c>
      <c r="D237" s="20" t="s">
        <v>25</v>
      </c>
      <c r="E237" s="20" t="s">
        <v>26</v>
      </c>
      <c r="F237" s="18">
        <v>1</v>
      </c>
      <c r="G237" s="19">
        <v>340.95</v>
      </c>
      <c r="H237" s="32">
        <v>101</v>
      </c>
      <c r="I237" s="25">
        <f t="shared" si="12"/>
        <v>34435.949999999997</v>
      </c>
      <c r="J237" s="48"/>
      <c r="K237" s="22"/>
      <c r="L237" s="22"/>
      <c r="M237" s="22"/>
      <c r="N237" s="23"/>
      <c r="O237" s="22"/>
      <c r="P237" s="22"/>
      <c r="Q237" s="22"/>
      <c r="R237" s="22"/>
    </row>
    <row r="238" spans="1:18" ht="14.4">
      <c r="A238" s="20">
        <f t="shared" si="14"/>
        <v>214</v>
      </c>
      <c r="B238" s="30" t="s">
        <v>218</v>
      </c>
      <c r="C238" s="30" t="s">
        <v>219</v>
      </c>
      <c r="D238" s="31" t="s">
        <v>48</v>
      </c>
      <c r="E238" s="20" t="s">
        <v>220</v>
      </c>
      <c r="F238" s="18">
        <v>1</v>
      </c>
      <c r="G238" s="19"/>
      <c r="H238" s="32">
        <v>1</v>
      </c>
      <c r="I238" s="25">
        <f>SUM(I222:I237)*0.05</f>
        <v>94555.319299999988</v>
      </c>
      <c r="J238" s="48"/>
      <c r="K238" s="22"/>
      <c r="L238" s="22"/>
      <c r="M238" s="22"/>
      <c r="N238" s="23"/>
      <c r="O238" s="22"/>
      <c r="P238" s="22"/>
      <c r="Q238" s="22"/>
      <c r="R238" s="22"/>
    </row>
    <row r="239" spans="1:18" ht="14.4">
      <c r="A239" s="20"/>
      <c r="B239" s="17"/>
      <c r="C239" s="20" t="s">
        <v>453</v>
      </c>
      <c r="D239" s="20"/>
      <c r="E239" s="20"/>
      <c r="F239" s="18"/>
      <c r="G239" s="19"/>
      <c r="H239" s="32"/>
      <c r="I239" s="25"/>
      <c r="J239" s="24">
        <f>21.73+28+44.69</f>
        <v>94.42</v>
      </c>
      <c r="K239" s="22"/>
      <c r="L239" s="22"/>
      <c r="M239" s="22"/>
      <c r="N239" s="23"/>
      <c r="O239" s="22"/>
      <c r="P239" s="22"/>
      <c r="Q239" s="22"/>
      <c r="R239" s="22"/>
    </row>
    <row r="240" spans="1:18" ht="39.6">
      <c r="A240" s="20">
        <f>A238+1</f>
        <v>215</v>
      </c>
      <c r="B240" s="45" t="s">
        <v>420</v>
      </c>
      <c r="C240" s="45" t="s">
        <v>421</v>
      </c>
      <c r="D240" s="46" t="s">
        <v>17</v>
      </c>
      <c r="E240" s="46" t="s">
        <v>43</v>
      </c>
      <c r="F240" s="18">
        <v>1</v>
      </c>
      <c r="G240" s="19">
        <v>291</v>
      </c>
      <c r="H240" s="47">
        <f>94.42*0.2</f>
        <v>18.884</v>
      </c>
      <c r="I240" s="25">
        <f t="shared" si="12"/>
        <v>5495.2439999999997</v>
      </c>
      <c r="J240" s="24"/>
      <c r="K240" s="22"/>
      <c r="L240" s="22"/>
      <c r="M240" s="22"/>
      <c r="N240" s="23"/>
      <c r="O240" s="22"/>
      <c r="P240" s="22"/>
      <c r="Q240" s="22"/>
      <c r="R240" s="22"/>
    </row>
    <row r="241" spans="1:18" ht="26.4">
      <c r="A241" s="20">
        <f t="shared" ref="A241:A256" si="15">A240+1</f>
        <v>216</v>
      </c>
      <c r="B241" s="17" t="s">
        <v>422</v>
      </c>
      <c r="C241" s="17" t="s">
        <v>423</v>
      </c>
      <c r="D241" s="20" t="s">
        <v>17</v>
      </c>
      <c r="E241" s="20" t="s">
        <v>43</v>
      </c>
      <c r="F241" s="18">
        <v>1</v>
      </c>
      <c r="G241" s="19">
        <v>150</v>
      </c>
      <c r="H241" s="32">
        <f>(94.42)*0.2</f>
        <v>18.884</v>
      </c>
      <c r="I241" s="25">
        <f t="shared" si="12"/>
        <v>2832.6</v>
      </c>
      <c r="J241" s="24"/>
      <c r="K241" s="22"/>
      <c r="L241" s="22"/>
      <c r="M241" s="22"/>
      <c r="N241" s="23"/>
      <c r="O241" s="22"/>
      <c r="P241" s="22"/>
      <c r="Q241" s="22"/>
      <c r="R241" s="22"/>
    </row>
    <row r="242" spans="1:18" ht="26.4">
      <c r="A242" s="20">
        <f t="shared" si="15"/>
        <v>217</v>
      </c>
      <c r="B242" s="17" t="s">
        <v>424</v>
      </c>
      <c r="C242" s="17" t="s">
        <v>425</v>
      </c>
      <c r="D242" s="20" t="s">
        <v>17</v>
      </c>
      <c r="E242" s="20" t="s">
        <v>43</v>
      </c>
      <c r="F242" s="18">
        <v>1</v>
      </c>
      <c r="G242" s="19">
        <f t="shared" ref="G242:G255" si="16">1.633198857</f>
        <v>1.633198857</v>
      </c>
      <c r="H242" s="32">
        <f>(94.42)*0.1</f>
        <v>9.4420000000000002</v>
      </c>
      <c r="I242" s="25">
        <f t="shared" si="12"/>
        <v>15.420663607794001</v>
      </c>
      <c r="J242" s="24"/>
      <c r="K242" s="22"/>
      <c r="L242" s="22"/>
      <c r="M242" s="22"/>
      <c r="N242" s="23"/>
      <c r="O242" s="22"/>
      <c r="P242" s="22"/>
      <c r="Q242" s="22"/>
      <c r="R242" s="22"/>
    </row>
    <row r="243" spans="1:18" ht="14.4">
      <c r="A243" s="20">
        <f t="shared" si="15"/>
        <v>218</v>
      </c>
      <c r="B243" s="17" t="s">
        <v>426</v>
      </c>
      <c r="C243" s="17" t="s">
        <v>427</v>
      </c>
      <c r="D243" s="20" t="s">
        <v>17</v>
      </c>
      <c r="E243" s="20" t="s">
        <v>43</v>
      </c>
      <c r="F243" s="18">
        <v>1</v>
      </c>
      <c r="G243" s="19">
        <f>714</f>
        <v>714</v>
      </c>
      <c r="H243" s="32">
        <f>(94.42)*0.1</f>
        <v>9.4420000000000002</v>
      </c>
      <c r="I243" s="25">
        <f t="shared" si="12"/>
        <v>6741.5879999999997</v>
      </c>
      <c r="J243" s="24"/>
      <c r="K243" s="22"/>
      <c r="L243" s="22"/>
      <c r="M243" s="22"/>
      <c r="N243" s="23"/>
      <c r="O243" s="22"/>
      <c r="P243" s="22"/>
      <c r="Q243" s="22"/>
      <c r="R243" s="22"/>
    </row>
    <row r="244" spans="1:18" ht="26.4">
      <c r="A244" s="20">
        <f t="shared" si="15"/>
        <v>219</v>
      </c>
      <c r="B244" s="17" t="s">
        <v>428</v>
      </c>
      <c r="C244" s="17" t="s">
        <v>429</v>
      </c>
      <c r="D244" s="20" t="s">
        <v>17</v>
      </c>
      <c r="E244" s="20" t="s">
        <v>43</v>
      </c>
      <c r="F244" s="18">
        <v>1</v>
      </c>
      <c r="G244" s="19">
        <f t="shared" si="16"/>
        <v>1.633198857</v>
      </c>
      <c r="H244" s="32">
        <f>(206)*0.06</f>
        <v>12.36</v>
      </c>
      <c r="I244" s="25">
        <f t="shared" si="12"/>
        <v>20.186337872519999</v>
      </c>
      <c r="J244" s="24"/>
      <c r="K244" s="22"/>
      <c r="L244" s="22"/>
      <c r="M244" s="22"/>
      <c r="N244" s="23"/>
      <c r="O244" s="22"/>
      <c r="P244" s="22"/>
      <c r="Q244" s="22"/>
      <c r="R244" s="22"/>
    </row>
    <row r="245" spans="1:18" ht="26.4">
      <c r="A245" s="20">
        <f t="shared" si="15"/>
        <v>220</v>
      </c>
      <c r="B245" s="17" t="s">
        <v>430</v>
      </c>
      <c r="C245" s="17" t="s">
        <v>431</v>
      </c>
      <c r="D245" s="9" t="s">
        <v>56</v>
      </c>
      <c r="E245" s="20" t="s">
        <v>42</v>
      </c>
      <c r="F245" s="18">
        <v>1</v>
      </c>
      <c r="G245" s="19">
        <f t="shared" si="16"/>
        <v>1.633198857</v>
      </c>
      <c r="H245" s="32">
        <f>H246+H247</f>
        <v>9.6890000000000001</v>
      </c>
      <c r="I245" s="25">
        <f t="shared" si="12"/>
        <v>15.824063725473</v>
      </c>
      <c r="J245" s="24"/>
      <c r="K245" s="22"/>
      <c r="L245" s="22"/>
      <c r="M245" s="22"/>
      <c r="N245" s="23"/>
      <c r="O245" s="22"/>
      <c r="P245" s="22"/>
      <c r="Q245" s="22"/>
      <c r="R245" s="22"/>
    </row>
    <row r="246" spans="1:18" ht="26.4">
      <c r="A246" s="20">
        <f t="shared" si="15"/>
        <v>221</v>
      </c>
      <c r="B246" s="17" t="s">
        <v>432</v>
      </c>
      <c r="C246" s="17" t="s">
        <v>433</v>
      </c>
      <c r="D246" s="9" t="s">
        <v>56</v>
      </c>
      <c r="E246" s="20" t="s">
        <v>42</v>
      </c>
      <c r="F246" s="18">
        <v>1</v>
      </c>
      <c r="G246" s="19">
        <f>30969.88</f>
        <v>30969.88</v>
      </c>
      <c r="H246" s="32">
        <f>0.04+0.05+0.053</f>
        <v>0.14299999999999999</v>
      </c>
      <c r="I246" s="25">
        <f t="shared" si="12"/>
        <v>4428.6928399999997</v>
      </c>
      <c r="J246" s="24"/>
      <c r="K246" s="22"/>
      <c r="L246" s="22"/>
      <c r="M246" s="22"/>
      <c r="N246" s="23"/>
      <c r="O246" s="22"/>
      <c r="P246" s="22"/>
      <c r="Q246" s="22"/>
      <c r="R246" s="22"/>
    </row>
    <row r="247" spans="1:18" ht="26.4">
      <c r="A247" s="20">
        <f t="shared" si="15"/>
        <v>222</v>
      </c>
      <c r="B247" s="17" t="s">
        <v>434</v>
      </c>
      <c r="C247" s="17" t="s">
        <v>435</v>
      </c>
      <c r="D247" s="9" t="s">
        <v>56</v>
      </c>
      <c r="E247" s="20" t="s">
        <v>42</v>
      </c>
      <c r="F247" s="18">
        <v>1</v>
      </c>
      <c r="G247" s="19">
        <f>30969.88</f>
        <v>30969.88</v>
      </c>
      <c r="H247" s="32">
        <f>2.57+3.488+3.488</f>
        <v>9.5459999999999994</v>
      </c>
      <c r="I247" s="25">
        <f t="shared" si="12"/>
        <v>295638.47447999998</v>
      </c>
      <c r="J247" s="24"/>
      <c r="K247" s="22"/>
      <c r="L247" s="22"/>
      <c r="M247" s="22"/>
      <c r="N247" s="23"/>
      <c r="O247" s="22"/>
      <c r="P247" s="22"/>
      <c r="Q247" s="22"/>
      <c r="R247" s="22"/>
    </row>
    <row r="248" spans="1:18" ht="14.4">
      <c r="A248" s="20">
        <f t="shared" si="15"/>
        <v>223</v>
      </c>
      <c r="B248" s="17" t="s">
        <v>436</v>
      </c>
      <c r="C248" s="17" t="s">
        <v>437</v>
      </c>
      <c r="D248" s="20" t="s">
        <v>8</v>
      </c>
      <c r="E248" s="20" t="s">
        <v>93</v>
      </c>
      <c r="F248" s="18">
        <v>1</v>
      </c>
      <c r="G248" s="19">
        <f t="shared" si="16"/>
        <v>1.633198857</v>
      </c>
      <c r="H248" s="32">
        <v>94.42</v>
      </c>
      <c r="I248" s="25">
        <f t="shared" si="12"/>
        <v>154.20663607794</v>
      </c>
      <c r="J248" s="24"/>
      <c r="K248" s="22"/>
      <c r="L248" s="22"/>
      <c r="M248" s="22"/>
      <c r="N248" s="23"/>
      <c r="O248" s="22"/>
      <c r="P248" s="22"/>
      <c r="Q248" s="22"/>
      <c r="R248" s="22"/>
    </row>
    <row r="249" spans="1:18" ht="26.4">
      <c r="A249" s="20">
        <f t="shared" si="15"/>
        <v>224</v>
      </c>
      <c r="B249" s="17" t="s">
        <v>438</v>
      </c>
      <c r="C249" s="17" t="s">
        <v>439</v>
      </c>
      <c r="D249" s="20" t="s">
        <v>17</v>
      </c>
      <c r="E249" s="20" t="s">
        <v>43</v>
      </c>
      <c r="F249" s="18">
        <v>1</v>
      </c>
      <c r="G249" s="19">
        <f t="shared" si="16"/>
        <v>1.633198857</v>
      </c>
      <c r="H249" s="32">
        <f>H250+H251</f>
        <v>188.4</v>
      </c>
      <c r="I249" s="25">
        <f t="shared" si="12"/>
        <v>307.69466465880004</v>
      </c>
      <c r="J249" s="24"/>
      <c r="K249" s="22"/>
      <c r="L249" s="22"/>
      <c r="M249" s="22"/>
      <c r="N249" s="23"/>
      <c r="O249" s="22"/>
      <c r="P249" s="22"/>
      <c r="Q249" s="22"/>
      <c r="R249" s="22"/>
    </row>
    <row r="250" spans="1:18" ht="14.4">
      <c r="A250" s="20">
        <f t="shared" si="15"/>
        <v>225</v>
      </c>
      <c r="B250" s="21" t="s">
        <v>440</v>
      </c>
      <c r="C250" s="17" t="s">
        <v>441</v>
      </c>
      <c r="D250" s="20" t="s">
        <v>17</v>
      </c>
      <c r="E250" s="20" t="s">
        <v>43</v>
      </c>
      <c r="F250" s="18">
        <v>1</v>
      </c>
      <c r="G250" s="19">
        <f>2958</f>
        <v>2958</v>
      </c>
      <c r="H250" s="32">
        <f>31.6+45.1+69.6</f>
        <v>146.30000000000001</v>
      </c>
      <c r="I250" s="25">
        <f t="shared" si="12"/>
        <v>432755.4</v>
      </c>
      <c r="J250" s="24"/>
      <c r="K250" s="22"/>
      <c r="L250" s="22"/>
      <c r="M250" s="22"/>
      <c r="N250" s="23"/>
      <c r="O250" s="22"/>
      <c r="P250" s="22"/>
      <c r="Q250" s="22"/>
      <c r="R250" s="22"/>
    </row>
    <row r="251" spans="1:18" ht="14.4">
      <c r="A251" s="20">
        <f t="shared" si="15"/>
        <v>226</v>
      </c>
      <c r="B251" s="17" t="s">
        <v>442</v>
      </c>
      <c r="C251" s="17" t="s">
        <v>443</v>
      </c>
      <c r="D251" s="20" t="s">
        <v>17</v>
      </c>
      <c r="E251" s="20" t="s">
        <v>43</v>
      </c>
      <c r="F251" s="18">
        <v>1</v>
      </c>
      <c r="G251" s="19">
        <f>2958</f>
        <v>2958</v>
      </c>
      <c r="H251" s="32">
        <f>9.1+13+20</f>
        <v>42.1</v>
      </c>
      <c r="I251" s="25">
        <f t="shared" si="12"/>
        <v>124531.8</v>
      </c>
      <c r="J251" s="24"/>
      <c r="K251" s="22"/>
      <c r="L251" s="22"/>
      <c r="M251" s="22"/>
      <c r="N251" s="23"/>
      <c r="O251" s="22"/>
      <c r="P251" s="22"/>
      <c r="Q251" s="22"/>
      <c r="R251" s="22"/>
    </row>
    <row r="252" spans="1:18" ht="26.4">
      <c r="A252" s="20">
        <f t="shared" si="15"/>
        <v>227</v>
      </c>
      <c r="B252" s="17" t="s">
        <v>444</v>
      </c>
      <c r="C252" s="17" t="s">
        <v>445</v>
      </c>
      <c r="D252" s="20" t="s">
        <v>8</v>
      </c>
      <c r="E252" s="20" t="s">
        <v>93</v>
      </c>
      <c r="F252" s="18">
        <v>1</v>
      </c>
      <c r="G252" s="19">
        <f t="shared" si="16"/>
        <v>1.633198857</v>
      </c>
      <c r="H252" s="32">
        <f>H248</f>
        <v>94.42</v>
      </c>
      <c r="I252" s="25">
        <f t="shared" si="12"/>
        <v>154.20663607794</v>
      </c>
      <c r="J252" s="24"/>
      <c r="K252" s="22"/>
      <c r="L252" s="22"/>
      <c r="M252" s="22"/>
      <c r="N252" s="23"/>
      <c r="O252" s="22"/>
      <c r="P252" s="22"/>
      <c r="Q252" s="22"/>
      <c r="R252" s="22"/>
    </row>
    <row r="253" spans="1:18" ht="26.4">
      <c r="A253" s="20">
        <f t="shared" si="15"/>
        <v>228</v>
      </c>
      <c r="B253" s="17" t="s">
        <v>446</v>
      </c>
      <c r="C253" s="44" t="s">
        <v>447</v>
      </c>
      <c r="D253" s="20" t="s">
        <v>17</v>
      </c>
      <c r="E253" s="20" t="s">
        <v>93</v>
      </c>
      <c r="F253" s="18">
        <v>1</v>
      </c>
      <c r="G253" s="19">
        <f t="shared" si="16"/>
        <v>1.633198857</v>
      </c>
      <c r="H253" s="32">
        <v>32.5</v>
      </c>
      <c r="I253" s="25">
        <f t="shared" si="12"/>
        <v>53.078962852499998</v>
      </c>
      <c r="J253" s="24"/>
      <c r="K253" s="22"/>
      <c r="L253" s="22"/>
      <c r="M253" s="22"/>
      <c r="N253" s="23"/>
      <c r="O253" s="22"/>
      <c r="P253" s="22"/>
      <c r="Q253" s="22"/>
      <c r="R253" s="22"/>
    </row>
    <row r="254" spans="1:18" ht="26.4">
      <c r="A254" s="20">
        <f t="shared" si="15"/>
        <v>229</v>
      </c>
      <c r="B254" s="17" t="s">
        <v>448</v>
      </c>
      <c r="C254" s="44" t="s">
        <v>449</v>
      </c>
      <c r="D254" s="20" t="s">
        <v>25</v>
      </c>
      <c r="E254" s="20" t="s">
        <v>26</v>
      </c>
      <c r="F254" s="18">
        <v>1</v>
      </c>
      <c r="G254" s="19">
        <f t="shared" si="16"/>
        <v>1.633198857</v>
      </c>
      <c r="H254" s="32">
        <v>163.4</v>
      </c>
      <c r="I254" s="25">
        <f t="shared" si="12"/>
        <v>266.86469323379998</v>
      </c>
      <c r="J254" s="24"/>
      <c r="K254" s="22"/>
      <c r="L254" s="22"/>
      <c r="M254" s="22"/>
      <c r="N254" s="23"/>
      <c r="O254" s="22"/>
      <c r="P254" s="22"/>
      <c r="Q254" s="22"/>
      <c r="R254" s="22"/>
    </row>
    <row r="255" spans="1:18" ht="39.6">
      <c r="A255" s="20">
        <f t="shared" si="15"/>
        <v>230</v>
      </c>
      <c r="B255" s="17" t="s">
        <v>450</v>
      </c>
      <c r="C255" s="44" t="s">
        <v>451</v>
      </c>
      <c r="D255" s="20" t="s">
        <v>25</v>
      </c>
      <c r="E255" s="20" t="s">
        <v>26</v>
      </c>
      <c r="F255" s="18">
        <v>1</v>
      </c>
      <c r="G255" s="19">
        <f t="shared" si="16"/>
        <v>1.633198857</v>
      </c>
      <c r="H255" s="32">
        <v>163.4</v>
      </c>
      <c r="I255" s="25">
        <f t="shared" si="12"/>
        <v>266.86469323379998</v>
      </c>
      <c r="J255" s="48"/>
      <c r="K255" s="22"/>
      <c r="L255" s="22"/>
      <c r="M255" s="22"/>
      <c r="N255" s="23"/>
      <c r="O255" s="22"/>
      <c r="P255" s="22"/>
      <c r="Q255" s="22"/>
      <c r="R255" s="22"/>
    </row>
    <row r="256" spans="1:18" ht="14.4">
      <c r="A256" s="20">
        <f t="shared" si="15"/>
        <v>231</v>
      </c>
      <c r="B256" s="30" t="s">
        <v>218</v>
      </c>
      <c r="C256" s="30" t="s">
        <v>219</v>
      </c>
      <c r="D256" s="31" t="s">
        <v>48</v>
      </c>
      <c r="E256" s="20" t="s">
        <v>220</v>
      </c>
      <c r="F256" s="18">
        <v>1</v>
      </c>
      <c r="G256" s="19"/>
      <c r="H256" s="32">
        <v>1</v>
      </c>
      <c r="I256" s="25">
        <f>SUM(I240:I255)*0.05</f>
        <v>43683.907333567033</v>
      </c>
      <c r="J256" s="48"/>
      <c r="K256" s="22"/>
      <c r="L256" s="22"/>
      <c r="M256" s="22"/>
      <c r="N256" s="23"/>
      <c r="O256" s="22"/>
      <c r="P256" s="22"/>
      <c r="Q256" s="22"/>
      <c r="R256" s="22"/>
    </row>
    <row r="257" spans="1:18" ht="14.4">
      <c r="A257" s="20"/>
      <c r="B257" s="13" t="s">
        <v>454</v>
      </c>
      <c r="C257" s="14" t="s">
        <v>455</v>
      </c>
      <c r="D257" s="14"/>
      <c r="E257" s="14"/>
      <c r="F257" s="18"/>
      <c r="G257" s="19"/>
      <c r="H257" s="15"/>
      <c r="I257" s="25"/>
      <c r="J257" s="24"/>
      <c r="K257" s="22"/>
      <c r="L257" s="22"/>
      <c r="M257" s="22"/>
      <c r="N257" s="23"/>
      <c r="O257" s="22"/>
      <c r="P257" s="22"/>
      <c r="Q257" s="22"/>
      <c r="R257" s="22"/>
    </row>
    <row r="258" spans="1:18" ht="39.6">
      <c r="A258" s="20">
        <f>A256+1</f>
        <v>232</v>
      </c>
      <c r="B258" s="17" t="s">
        <v>456</v>
      </c>
      <c r="C258" s="17" t="s">
        <v>457</v>
      </c>
      <c r="D258" s="20" t="s">
        <v>8</v>
      </c>
      <c r="E258" s="20" t="s">
        <v>93</v>
      </c>
      <c r="F258" s="18">
        <v>1</v>
      </c>
      <c r="G258" s="19">
        <f>1.633198857*163.62</f>
        <v>267.22399698234</v>
      </c>
      <c r="H258" s="32">
        <v>315.8</v>
      </c>
      <c r="I258" s="25">
        <f t="shared" si="12"/>
        <v>84389.33824702297</v>
      </c>
      <c r="J258" s="24"/>
      <c r="K258" s="22"/>
      <c r="L258" s="22"/>
      <c r="M258" s="22"/>
      <c r="N258" s="23"/>
      <c r="O258" s="22"/>
      <c r="P258" s="22"/>
      <c r="Q258" s="22"/>
      <c r="R258" s="22"/>
    </row>
    <row r="259" spans="1:18" ht="14.4">
      <c r="A259" s="20">
        <f>A258+1</f>
        <v>233</v>
      </c>
      <c r="B259" s="17" t="s">
        <v>458</v>
      </c>
      <c r="C259" s="17" t="s">
        <v>459</v>
      </c>
      <c r="D259" s="20" t="s">
        <v>8</v>
      </c>
      <c r="E259" s="20" t="s">
        <v>9</v>
      </c>
      <c r="F259" s="18">
        <v>1</v>
      </c>
      <c r="G259" s="19">
        <f>8958.94*1.15</f>
        <v>10302.780999999999</v>
      </c>
      <c r="H259" s="32">
        <v>315.77</v>
      </c>
      <c r="I259" s="25">
        <f t="shared" si="12"/>
        <v>3253309.1563699995</v>
      </c>
      <c r="J259" s="24"/>
      <c r="K259" s="22"/>
      <c r="L259" s="22"/>
      <c r="M259" s="22"/>
      <c r="N259" s="23"/>
      <c r="O259" s="22"/>
      <c r="P259" s="22"/>
      <c r="Q259" s="22"/>
      <c r="R259" s="22"/>
    </row>
    <row r="260" spans="1:18" ht="26.4">
      <c r="A260" s="20">
        <f>A259+1</f>
        <v>234</v>
      </c>
      <c r="B260" s="17" t="s">
        <v>460</v>
      </c>
      <c r="C260" s="17" t="s">
        <v>461</v>
      </c>
      <c r="D260" s="20" t="s">
        <v>462</v>
      </c>
      <c r="E260" s="20" t="s">
        <v>463</v>
      </c>
      <c r="F260" s="18">
        <v>1</v>
      </c>
      <c r="G260" s="19">
        <f>287.11</f>
        <v>287.11</v>
      </c>
      <c r="H260" s="32">
        <v>64.33</v>
      </c>
      <c r="I260" s="25">
        <f t="shared" si="12"/>
        <v>18469.7863</v>
      </c>
      <c r="J260" s="24"/>
      <c r="K260" s="22"/>
      <c r="L260" s="22"/>
      <c r="M260" s="22"/>
      <c r="N260" s="23"/>
      <c r="O260" s="22"/>
      <c r="P260" s="22"/>
      <c r="Q260" s="22"/>
      <c r="R260" s="22"/>
    </row>
    <row r="261" spans="1:18" ht="26.4">
      <c r="A261" s="20">
        <f>A260+1</f>
        <v>235</v>
      </c>
      <c r="B261" s="17" t="s">
        <v>464</v>
      </c>
      <c r="C261" s="17" t="s">
        <v>465</v>
      </c>
      <c r="D261" s="20" t="s">
        <v>8</v>
      </c>
      <c r="E261" s="20" t="s">
        <v>93</v>
      </c>
      <c r="F261" s="18">
        <v>1</v>
      </c>
      <c r="G261" s="19">
        <f>1.633198857*328.27</f>
        <v>536.13018878739001</v>
      </c>
      <c r="H261" s="32">
        <v>10.5</v>
      </c>
      <c r="I261" s="25">
        <f t="shared" si="12"/>
        <v>5629.3669822675947</v>
      </c>
      <c r="J261" s="24"/>
      <c r="K261" s="22"/>
      <c r="L261" s="22"/>
      <c r="M261" s="22"/>
      <c r="N261" s="23"/>
      <c r="O261" s="22"/>
      <c r="P261" s="22"/>
      <c r="Q261" s="22"/>
      <c r="R261" s="22"/>
    </row>
    <row r="262" spans="1:18" ht="26.4">
      <c r="A262" s="20">
        <f>A261+1</f>
        <v>236</v>
      </c>
      <c r="B262" s="17" t="s">
        <v>466</v>
      </c>
      <c r="C262" s="17" t="s">
        <v>467</v>
      </c>
      <c r="D262" s="20" t="s">
        <v>8</v>
      </c>
      <c r="E262" s="20" t="s">
        <v>9</v>
      </c>
      <c r="F262" s="18">
        <v>1</v>
      </c>
      <c r="G262" s="19">
        <f>16098.94</f>
        <v>16098.94</v>
      </c>
      <c r="H262" s="32">
        <v>10.5</v>
      </c>
      <c r="I262" s="25">
        <f t="shared" si="12"/>
        <v>169038.87</v>
      </c>
      <c r="J262" s="24"/>
      <c r="K262" s="22"/>
      <c r="L262" s="22"/>
      <c r="M262" s="22"/>
      <c r="N262" s="23"/>
      <c r="O262" s="22"/>
      <c r="P262" s="22"/>
      <c r="Q262" s="22"/>
      <c r="R262" s="22"/>
    </row>
    <row r="263" spans="1:18" ht="26.4">
      <c r="A263" s="20">
        <f>A262+1</f>
        <v>237</v>
      </c>
      <c r="B263" s="17" t="s">
        <v>460</v>
      </c>
      <c r="C263" s="17" t="s">
        <v>461</v>
      </c>
      <c r="D263" s="20" t="s">
        <v>462</v>
      </c>
      <c r="E263" s="20" t="s">
        <v>463</v>
      </c>
      <c r="F263" s="18">
        <v>1</v>
      </c>
      <c r="G263" s="19">
        <f>287.11</f>
        <v>287.11</v>
      </c>
      <c r="H263" s="32">
        <v>5</v>
      </c>
      <c r="I263" s="25">
        <f t="shared" si="12"/>
        <v>1435.5500000000002</v>
      </c>
      <c r="J263" s="24"/>
      <c r="K263" s="22"/>
      <c r="L263" s="22"/>
      <c r="M263" s="22"/>
      <c r="N263" s="23"/>
      <c r="O263" s="22"/>
      <c r="P263" s="22"/>
      <c r="Q263" s="22"/>
      <c r="R263" s="22"/>
    </row>
    <row r="264" spans="1:18" ht="14.4">
      <c r="A264" s="20"/>
      <c r="B264" s="13" t="s">
        <v>468</v>
      </c>
      <c r="C264" s="14" t="s">
        <v>469</v>
      </c>
      <c r="D264" s="14"/>
      <c r="E264" s="14"/>
      <c r="F264" s="18"/>
      <c r="G264" s="19"/>
      <c r="H264" s="15"/>
      <c r="I264" s="25"/>
      <c r="J264" s="24"/>
      <c r="K264" s="22"/>
      <c r="L264" s="22"/>
      <c r="M264" s="22"/>
      <c r="N264" s="23"/>
      <c r="O264" s="22"/>
      <c r="P264" s="22"/>
      <c r="Q264" s="22"/>
      <c r="R264" s="22"/>
    </row>
    <row r="265" spans="1:18" ht="52.8">
      <c r="A265" s="20">
        <f>A263+1</f>
        <v>238</v>
      </c>
      <c r="B265" s="17" t="s">
        <v>470</v>
      </c>
      <c r="C265" s="17" t="s">
        <v>471</v>
      </c>
      <c r="D265" s="20" t="s">
        <v>8</v>
      </c>
      <c r="E265" s="20" t="s">
        <v>9</v>
      </c>
      <c r="F265" s="18">
        <v>1</v>
      </c>
      <c r="G265" s="19">
        <f>1.633198857*165.9</f>
        <v>270.94769037629999</v>
      </c>
      <c r="H265" s="32">
        <v>735.97055</v>
      </c>
      <c r="I265" s="25">
        <f t="shared" si="12"/>
        <v>199409.5207074752</v>
      </c>
      <c r="J265" s="49">
        <v>693.2</v>
      </c>
      <c r="K265" s="22"/>
      <c r="L265" s="22"/>
      <c r="M265" s="22"/>
      <c r="N265" s="23"/>
      <c r="O265" s="22"/>
      <c r="P265" s="22"/>
      <c r="Q265" s="22"/>
      <c r="R265" s="22"/>
    </row>
    <row r="266" spans="1:18" ht="14.4">
      <c r="A266" s="20">
        <f t="shared" ref="A266:A289" si="17">A265+1</f>
        <v>239</v>
      </c>
      <c r="B266" s="17" t="s">
        <v>472</v>
      </c>
      <c r="C266" s="17" t="s">
        <v>473</v>
      </c>
      <c r="D266" s="20" t="s">
        <v>8</v>
      </c>
      <c r="E266" s="20" t="s">
        <v>9</v>
      </c>
      <c r="F266" s="18">
        <v>1</v>
      </c>
      <c r="G266" s="19">
        <f>5622.05*1.15</f>
        <v>6465.3575000000001</v>
      </c>
      <c r="H266" s="32">
        <v>735.97055</v>
      </c>
      <c r="I266" s="25">
        <f t="shared" si="12"/>
        <v>4758312.7152216248</v>
      </c>
      <c r="J266" s="49">
        <v>693.24</v>
      </c>
      <c r="K266" s="22"/>
      <c r="L266" s="22"/>
      <c r="M266" s="22"/>
      <c r="N266" s="23"/>
      <c r="O266" s="22"/>
      <c r="P266" s="22"/>
      <c r="Q266" s="22"/>
      <c r="R266" s="22"/>
    </row>
    <row r="267" spans="1:18" ht="14.4">
      <c r="A267" s="20">
        <f t="shared" si="17"/>
        <v>240</v>
      </c>
      <c r="B267" s="17" t="s">
        <v>474</v>
      </c>
      <c r="C267" s="17" t="s">
        <v>475</v>
      </c>
      <c r="D267" s="20" t="s">
        <v>5</v>
      </c>
      <c r="E267" s="20" t="s">
        <v>6</v>
      </c>
      <c r="F267" s="18">
        <v>1</v>
      </c>
      <c r="G267" s="19">
        <f>9.42</f>
        <v>9.42</v>
      </c>
      <c r="H267" s="32">
        <v>3466.2</v>
      </c>
      <c r="I267" s="25">
        <f t="shared" ref="I267:I330" si="18">G267*H267</f>
        <v>32651.603999999999</v>
      </c>
      <c r="J267" s="24"/>
      <c r="K267" s="22"/>
      <c r="L267" s="22"/>
      <c r="M267" s="22"/>
      <c r="N267" s="23"/>
      <c r="O267" s="22"/>
      <c r="P267" s="22"/>
      <c r="Q267" s="22"/>
      <c r="R267" s="22"/>
    </row>
    <row r="268" spans="1:18" ht="14.4">
      <c r="A268" s="20">
        <f t="shared" si="17"/>
        <v>241</v>
      </c>
      <c r="B268" s="17" t="s">
        <v>476</v>
      </c>
      <c r="C268" s="17" t="s">
        <v>477</v>
      </c>
      <c r="D268" s="20" t="s">
        <v>5</v>
      </c>
      <c r="E268" s="20" t="s">
        <v>6</v>
      </c>
      <c r="F268" s="18">
        <v>1</v>
      </c>
      <c r="G268" s="19">
        <f>189.3</f>
        <v>189.3</v>
      </c>
      <c r="H268" s="32">
        <v>240</v>
      </c>
      <c r="I268" s="25">
        <f t="shared" si="18"/>
        <v>45432</v>
      </c>
      <c r="J268" s="24"/>
      <c r="K268" s="22"/>
      <c r="L268" s="22"/>
      <c r="M268" s="22"/>
      <c r="N268" s="23"/>
      <c r="O268" s="22"/>
      <c r="P268" s="22"/>
      <c r="Q268" s="22"/>
      <c r="R268" s="22"/>
    </row>
    <row r="269" spans="1:18" ht="14.4">
      <c r="A269" s="20">
        <f t="shared" si="17"/>
        <v>242</v>
      </c>
      <c r="B269" s="17" t="s">
        <v>478</v>
      </c>
      <c r="C269" s="17" t="s">
        <v>479</v>
      </c>
      <c r="D269" s="20" t="s">
        <v>5</v>
      </c>
      <c r="E269" s="20" t="s">
        <v>6</v>
      </c>
      <c r="F269" s="18">
        <v>1</v>
      </c>
      <c r="G269" s="19">
        <f>245.48</f>
        <v>245.48</v>
      </c>
      <c r="H269" s="32">
        <v>272</v>
      </c>
      <c r="I269" s="25">
        <f t="shared" si="18"/>
        <v>66770.559999999998</v>
      </c>
      <c r="J269" s="24"/>
      <c r="K269" s="22"/>
      <c r="L269" s="22"/>
      <c r="M269" s="22"/>
      <c r="N269" s="23"/>
      <c r="O269" s="22"/>
      <c r="P269" s="22"/>
      <c r="Q269" s="22"/>
      <c r="R269" s="22"/>
    </row>
    <row r="270" spans="1:18" ht="26.4">
      <c r="A270" s="20">
        <f t="shared" si="17"/>
        <v>243</v>
      </c>
      <c r="B270" s="17" t="s">
        <v>480</v>
      </c>
      <c r="C270" s="17" t="s">
        <v>481</v>
      </c>
      <c r="D270" s="9" t="s">
        <v>25</v>
      </c>
      <c r="E270" s="20" t="s">
        <v>26</v>
      </c>
      <c r="F270" s="18">
        <v>1</v>
      </c>
      <c r="G270" s="19">
        <f>37.86</f>
        <v>37.86</v>
      </c>
      <c r="H270" s="32">
        <v>155.9</v>
      </c>
      <c r="I270" s="25">
        <f t="shared" si="18"/>
        <v>5902.3739999999998</v>
      </c>
      <c r="J270" s="24"/>
      <c r="K270" s="22"/>
      <c r="L270" s="22"/>
      <c r="M270" s="22"/>
      <c r="N270" s="23"/>
      <c r="O270" s="22"/>
      <c r="P270" s="22"/>
      <c r="Q270" s="22"/>
      <c r="R270" s="22"/>
    </row>
    <row r="271" spans="1:18" ht="14.4">
      <c r="A271" s="20">
        <f t="shared" si="17"/>
        <v>244</v>
      </c>
      <c r="B271" s="17" t="s">
        <v>478</v>
      </c>
      <c r="C271" s="17" t="s">
        <v>479</v>
      </c>
      <c r="D271" s="20" t="s">
        <v>5</v>
      </c>
      <c r="E271" s="20" t="s">
        <v>6</v>
      </c>
      <c r="F271" s="18">
        <v>1</v>
      </c>
      <c r="G271" s="19">
        <f>245.48</f>
        <v>245.48</v>
      </c>
      <c r="H271" s="32">
        <v>27.9</v>
      </c>
      <c r="I271" s="25">
        <f t="shared" si="18"/>
        <v>6848.8919999999989</v>
      </c>
      <c r="J271" s="24"/>
      <c r="K271" s="22"/>
      <c r="L271" s="22"/>
      <c r="M271" s="22"/>
      <c r="N271" s="23"/>
      <c r="O271" s="22"/>
      <c r="P271" s="22"/>
      <c r="Q271" s="22"/>
      <c r="R271" s="22"/>
    </row>
    <row r="272" spans="1:18" ht="26.4">
      <c r="A272" s="20">
        <f t="shared" si="17"/>
        <v>245</v>
      </c>
      <c r="B272" s="17" t="s">
        <v>482</v>
      </c>
      <c r="C272" s="17" t="s">
        <v>483</v>
      </c>
      <c r="D272" s="9" t="s">
        <v>25</v>
      </c>
      <c r="E272" s="20" t="s">
        <v>26</v>
      </c>
      <c r="F272" s="18">
        <v>1</v>
      </c>
      <c r="G272" s="19">
        <f>563.81</f>
        <v>563.80999999999995</v>
      </c>
      <c r="H272" s="32">
        <v>155.86000000000001</v>
      </c>
      <c r="I272" s="25">
        <f t="shared" si="18"/>
        <v>87875.426600000006</v>
      </c>
      <c r="J272" s="24"/>
      <c r="K272" s="22"/>
      <c r="L272" s="22"/>
      <c r="M272" s="22"/>
      <c r="N272" s="23"/>
      <c r="O272" s="22"/>
      <c r="P272" s="22"/>
      <c r="Q272" s="22"/>
      <c r="R272" s="22"/>
    </row>
    <row r="273" spans="1:18" ht="14.4">
      <c r="A273" s="20">
        <f t="shared" si="17"/>
        <v>246</v>
      </c>
      <c r="B273" s="17" t="s">
        <v>484</v>
      </c>
      <c r="C273" s="17" t="s">
        <v>485</v>
      </c>
      <c r="D273" s="9" t="s">
        <v>25</v>
      </c>
      <c r="E273" s="20" t="s">
        <v>26</v>
      </c>
      <c r="F273" s="18">
        <v>1</v>
      </c>
      <c r="G273" s="19">
        <f>1.633198857*73.49</f>
        <v>120.02378400092999</v>
      </c>
      <c r="H273" s="32">
        <v>155.9</v>
      </c>
      <c r="I273" s="25">
        <f t="shared" si="18"/>
        <v>18711.707925744988</v>
      </c>
      <c r="J273" s="24"/>
      <c r="K273" s="22"/>
      <c r="L273" s="22"/>
      <c r="M273" s="22"/>
      <c r="N273" s="23"/>
      <c r="O273" s="22"/>
      <c r="P273" s="22"/>
      <c r="Q273" s="22"/>
      <c r="R273" s="22"/>
    </row>
    <row r="274" spans="1:18" ht="14.4">
      <c r="A274" s="20">
        <f t="shared" si="17"/>
        <v>247</v>
      </c>
      <c r="B274" s="17" t="s">
        <v>486</v>
      </c>
      <c r="C274" s="17" t="s">
        <v>487</v>
      </c>
      <c r="D274" s="9" t="s">
        <v>25</v>
      </c>
      <c r="E274" s="20" t="s">
        <v>26</v>
      </c>
      <c r="F274" s="18">
        <v>1</v>
      </c>
      <c r="G274" s="19">
        <f>154.7</f>
        <v>154.69999999999999</v>
      </c>
      <c r="H274" s="32">
        <v>155.86000000000001</v>
      </c>
      <c r="I274" s="25">
        <f t="shared" si="18"/>
        <v>24111.542000000001</v>
      </c>
      <c r="J274" s="24"/>
      <c r="K274" s="22"/>
      <c r="L274" s="22"/>
      <c r="M274" s="22"/>
      <c r="N274" s="23"/>
      <c r="O274" s="22"/>
      <c r="P274" s="22"/>
      <c r="Q274" s="22"/>
      <c r="R274" s="22"/>
    </row>
    <row r="275" spans="1:18" ht="14.4">
      <c r="A275" s="20">
        <f t="shared" si="17"/>
        <v>248</v>
      </c>
      <c r="B275" s="17" t="s">
        <v>46</v>
      </c>
      <c r="C275" s="17" t="s">
        <v>47</v>
      </c>
      <c r="D275" s="20" t="s">
        <v>5</v>
      </c>
      <c r="E275" s="20" t="s">
        <v>6</v>
      </c>
      <c r="F275" s="18">
        <v>1</v>
      </c>
      <c r="G275" s="19">
        <f>1.29</f>
        <v>1.29</v>
      </c>
      <c r="H275" s="32">
        <v>467.58</v>
      </c>
      <c r="I275" s="25">
        <f t="shared" si="18"/>
        <v>603.17819999999995</v>
      </c>
      <c r="J275" s="24"/>
      <c r="K275" s="22"/>
      <c r="L275" s="22"/>
      <c r="M275" s="22"/>
      <c r="N275" s="23"/>
      <c r="O275" s="22"/>
      <c r="P275" s="22"/>
      <c r="Q275" s="22"/>
      <c r="R275" s="22"/>
    </row>
    <row r="276" spans="1:18" ht="26.4">
      <c r="A276" s="20">
        <f t="shared" si="17"/>
        <v>249</v>
      </c>
      <c r="B276" s="17" t="s">
        <v>488</v>
      </c>
      <c r="C276" s="17" t="s">
        <v>489</v>
      </c>
      <c r="D276" s="9" t="s">
        <v>25</v>
      </c>
      <c r="E276" s="20" t="s">
        <v>26</v>
      </c>
      <c r="F276" s="18">
        <v>1</v>
      </c>
      <c r="G276" s="19">
        <f>1.633198857*73.49</f>
        <v>120.02378400092999</v>
      </c>
      <c r="H276" s="32">
        <v>155.9</v>
      </c>
      <c r="I276" s="25">
        <f t="shared" si="18"/>
        <v>18711.707925744988</v>
      </c>
      <c r="J276" s="24"/>
      <c r="K276" s="22"/>
      <c r="L276" s="22"/>
      <c r="M276" s="22"/>
      <c r="N276" s="23"/>
      <c r="O276" s="22"/>
      <c r="P276" s="22"/>
      <c r="Q276" s="22"/>
      <c r="R276" s="22"/>
    </row>
    <row r="277" spans="1:18" ht="14.4">
      <c r="A277" s="20">
        <f t="shared" si="17"/>
        <v>250</v>
      </c>
      <c r="B277" s="17" t="s">
        <v>490</v>
      </c>
      <c r="C277" s="17" t="s">
        <v>491</v>
      </c>
      <c r="D277" s="9" t="s">
        <v>25</v>
      </c>
      <c r="E277" s="20" t="s">
        <v>26</v>
      </c>
      <c r="F277" s="18">
        <v>1</v>
      </c>
      <c r="G277" s="19">
        <f>229.45</f>
        <v>229.45</v>
      </c>
      <c r="H277" s="32">
        <v>155.86000000000001</v>
      </c>
      <c r="I277" s="25">
        <f t="shared" si="18"/>
        <v>35762.077000000005</v>
      </c>
      <c r="J277" s="24"/>
      <c r="K277" s="22"/>
      <c r="L277" s="22"/>
      <c r="M277" s="22"/>
      <c r="N277" s="23"/>
      <c r="O277" s="22"/>
      <c r="P277" s="22"/>
      <c r="Q277" s="22"/>
      <c r="R277" s="22"/>
    </row>
    <row r="278" spans="1:18" ht="14.4">
      <c r="A278" s="20">
        <f t="shared" si="17"/>
        <v>251</v>
      </c>
      <c r="B278" s="17" t="s">
        <v>46</v>
      </c>
      <c r="C278" s="17" t="s">
        <v>47</v>
      </c>
      <c r="D278" s="20" t="s">
        <v>5</v>
      </c>
      <c r="E278" s="20" t="s">
        <v>6</v>
      </c>
      <c r="F278" s="18">
        <v>1</v>
      </c>
      <c r="G278" s="19">
        <f>1.29</f>
        <v>1.29</v>
      </c>
      <c r="H278" s="32">
        <v>467.58</v>
      </c>
      <c r="I278" s="25">
        <f t="shared" si="18"/>
        <v>603.17819999999995</v>
      </c>
      <c r="J278" s="24"/>
      <c r="K278" s="22"/>
      <c r="L278" s="22"/>
      <c r="M278" s="22"/>
      <c r="N278" s="23"/>
      <c r="O278" s="22"/>
      <c r="P278" s="22"/>
      <c r="Q278" s="22"/>
      <c r="R278" s="22"/>
    </row>
    <row r="279" spans="1:18" ht="14.4">
      <c r="A279" s="20">
        <f t="shared" si="17"/>
        <v>252</v>
      </c>
      <c r="B279" s="17" t="s">
        <v>492</v>
      </c>
      <c r="C279" s="17" t="s">
        <v>493</v>
      </c>
      <c r="D279" s="20" t="s">
        <v>8</v>
      </c>
      <c r="E279" s="20" t="s">
        <v>9</v>
      </c>
      <c r="F279" s="18">
        <v>1</v>
      </c>
      <c r="G279" s="19">
        <f>1.633198857*708.04</f>
        <v>1156.3701187102799</v>
      </c>
      <c r="H279" s="32">
        <v>361.2</v>
      </c>
      <c r="I279" s="25">
        <f t="shared" si="18"/>
        <v>417680.88687815308</v>
      </c>
      <c r="J279" s="24"/>
      <c r="K279" s="22"/>
      <c r="L279" s="22"/>
      <c r="M279" s="22"/>
      <c r="N279" s="23"/>
      <c r="O279" s="22"/>
      <c r="P279" s="22"/>
      <c r="Q279" s="22"/>
      <c r="R279" s="22"/>
    </row>
    <row r="280" spans="1:18" ht="14.4">
      <c r="A280" s="20">
        <f t="shared" si="17"/>
        <v>253</v>
      </c>
      <c r="B280" s="17" t="s">
        <v>494</v>
      </c>
      <c r="C280" s="17" t="s">
        <v>495</v>
      </c>
      <c r="D280" s="20" t="s">
        <v>8</v>
      </c>
      <c r="E280" s="20" t="s">
        <v>9</v>
      </c>
      <c r="F280" s="18">
        <v>1</v>
      </c>
      <c r="G280" s="19">
        <f>14146.97*1.15</f>
        <v>16269.015499999998</v>
      </c>
      <c r="H280" s="32">
        <v>361.23</v>
      </c>
      <c r="I280" s="25">
        <f t="shared" si="18"/>
        <v>5876856.4690649994</v>
      </c>
      <c r="J280" s="24"/>
      <c r="K280" s="22"/>
      <c r="L280" s="22"/>
      <c r="M280" s="22"/>
      <c r="N280" s="23"/>
      <c r="O280" s="22"/>
      <c r="P280" s="22"/>
      <c r="Q280" s="22"/>
      <c r="R280" s="22"/>
    </row>
    <row r="281" spans="1:18" ht="14.4">
      <c r="A281" s="20">
        <f t="shared" si="17"/>
        <v>254</v>
      </c>
      <c r="B281" s="17" t="s">
        <v>496</v>
      </c>
      <c r="C281" s="17" t="s">
        <v>497</v>
      </c>
      <c r="D281" s="20" t="s">
        <v>5</v>
      </c>
      <c r="E281" s="20" t="s">
        <v>6</v>
      </c>
      <c r="F281" s="18">
        <v>1</v>
      </c>
      <c r="G281" s="19">
        <f>15.96</f>
        <v>15.96</v>
      </c>
      <c r="H281" s="32">
        <v>2889.84</v>
      </c>
      <c r="I281" s="25">
        <f t="shared" si="18"/>
        <v>46121.846400000002</v>
      </c>
      <c r="J281" s="24"/>
      <c r="K281" s="22"/>
      <c r="L281" s="22"/>
      <c r="M281" s="22"/>
      <c r="N281" s="23"/>
      <c r="O281" s="22"/>
      <c r="P281" s="22"/>
      <c r="Q281" s="22"/>
      <c r="R281" s="22"/>
    </row>
    <row r="282" spans="1:18" ht="14.4">
      <c r="A282" s="20">
        <f t="shared" si="17"/>
        <v>255</v>
      </c>
      <c r="B282" s="17" t="s">
        <v>478</v>
      </c>
      <c r="C282" s="17" t="s">
        <v>479</v>
      </c>
      <c r="D282" s="20" t="s">
        <v>5</v>
      </c>
      <c r="E282" s="20" t="s">
        <v>6</v>
      </c>
      <c r="F282" s="18">
        <v>1</v>
      </c>
      <c r="G282" s="19">
        <f>245.48</f>
        <v>245.48</v>
      </c>
      <c r="H282" s="32">
        <v>32</v>
      </c>
      <c r="I282" s="25">
        <f t="shared" si="18"/>
        <v>7855.36</v>
      </c>
      <c r="J282" s="24"/>
      <c r="K282" s="22"/>
      <c r="L282" s="22"/>
      <c r="M282" s="22"/>
      <c r="N282" s="23"/>
      <c r="O282" s="22"/>
      <c r="P282" s="22"/>
      <c r="Q282" s="22"/>
      <c r="R282" s="22"/>
    </row>
    <row r="283" spans="1:18" ht="14.4">
      <c r="A283" s="20">
        <f t="shared" si="17"/>
        <v>256</v>
      </c>
      <c r="B283" s="17" t="s">
        <v>498</v>
      </c>
      <c r="C283" s="17" t="s">
        <v>499</v>
      </c>
      <c r="D283" s="20" t="s">
        <v>8</v>
      </c>
      <c r="E283" s="20" t="s">
        <v>9</v>
      </c>
      <c r="F283" s="18">
        <v>1</v>
      </c>
      <c r="G283" s="19">
        <f>1.633198857*312.93</f>
        <v>511.07691832101</v>
      </c>
      <c r="H283" s="32">
        <v>311.89999999999998</v>
      </c>
      <c r="I283" s="25">
        <f t="shared" si="18"/>
        <v>159404.890824323</v>
      </c>
      <c r="J283" s="24"/>
      <c r="K283" s="22"/>
      <c r="L283" s="22"/>
      <c r="M283" s="22"/>
      <c r="N283" s="23"/>
      <c r="O283" s="22"/>
      <c r="P283" s="22"/>
      <c r="Q283" s="22"/>
      <c r="R283" s="22"/>
    </row>
    <row r="284" spans="1:18" ht="14.4">
      <c r="A284" s="20">
        <f t="shared" si="17"/>
        <v>257</v>
      </c>
      <c r="B284" s="17" t="s">
        <v>500</v>
      </c>
      <c r="C284" s="17" t="s">
        <v>501</v>
      </c>
      <c r="D284" s="9" t="s">
        <v>25</v>
      </c>
      <c r="E284" s="20" t="s">
        <v>26</v>
      </c>
      <c r="F284" s="18">
        <v>1</v>
      </c>
      <c r="G284" s="19">
        <f>179.21</f>
        <v>179.21</v>
      </c>
      <c r="H284" s="32">
        <v>1247.6400000000001</v>
      </c>
      <c r="I284" s="25">
        <f t="shared" si="18"/>
        <v>223589.56440000003</v>
      </c>
      <c r="J284" s="24"/>
      <c r="K284" s="22"/>
      <c r="L284" s="22"/>
      <c r="M284" s="22"/>
      <c r="N284" s="23"/>
      <c r="O284" s="22"/>
      <c r="P284" s="22"/>
      <c r="Q284" s="22"/>
      <c r="R284" s="22"/>
    </row>
    <row r="285" spans="1:18" ht="26.4">
      <c r="A285" s="20">
        <f t="shared" si="17"/>
        <v>258</v>
      </c>
      <c r="B285" s="17" t="s">
        <v>502</v>
      </c>
      <c r="C285" s="17" t="s">
        <v>503</v>
      </c>
      <c r="D285" s="20" t="s">
        <v>8</v>
      </c>
      <c r="E285" s="20" t="s">
        <v>9</v>
      </c>
      <c r="F285" s="18">
        <v>1</v>
      </c>
      <c r="G285" s="19">
        <f>2509.83*1.15</f>
        <v>2886.3044999999997</v>
      </c>
      <c r="H285" s="32">
        <v>368.05380000000002</v>
      </c>
      <c r="I285" s="25">
        <f t="shared" si="18"/>
        <v>1062315.3391821</v>
      </c>
      <c r="J285" s="24"/>
      <c r="K285" s="22"/>
      <c r="L285" s="22"/>
      <c r="M285" s="22"/>
      <c r="N285" s="23"/>
      <c r="O285" s="22"/>
      <c r="P285" s="22"/>
      <c r="Q285" s="22"/>
      <c r="R285" s="22"/>
    </row>
    <row r="286" spans="1:18" ht="14.4">
      <c r="A286" s="20">
        <f t="shared" si="17"/>
        <v>259</v>
      </c>
      <c r="B286" s="17" t="s">
        <v>504</v>
      </c>
      <c r="C286" s="17" t="s">
        <v>505</v>
      </c>
      <c r="D286" s="20" t="s">
        <v>5</v>
      </c>
      <c r="E286" s="20" t="s">
        <v>6</v>
      </c>
      <c r="F286" s="18">
        <v>1</v>
      </c>
      <c r="G286" s="19">
        <f>1.63</f>
        <v>1.63</v>
      </c>
      <c r="H286" s="32">
        <v>12476.4</v>
      </c>
      <c r="I286" s="25">
        <f t="shared" si="18"/>
        <v>20336.531999999999</v>
      </c>
      <c r="J286" s="24"/>
      <c r="K286" s="22"/>
      <c r="L286" s="22"/>
      <c r="M286" s="22"/>
      <c r="N286" s="23"/>
      <c r="O286" s="22"/>
      <c r="P286" s="22"/>
      <c r="Q286" s="22"/>
      <c r="R286" s="22"/>
    </row>
    <row r="287" spans="1:18" ht="26.4">
      <c r="A287" s="20">
        <f t="shared" si="17"/>
        <v>260</v>
      </c>
      <c r="B287" s="17" t="s">
        <v>506</v>
      </c>
      <c r="C287" s="17" t="s">
        <v>507</v>
      </c>
      <c r="D287" s="20" t="s">
        <v>17</v>
      </c>
      <c r="E287" s="20" t="s">
        <v>43</v>
      </c>
      <c r="F287" s="18">
        <v>1</v>
      </c>
      <c r="G287" s="19">
        <f>5456.32</f>
        <v>5456.32</v>
      </c>
      <c r="H287" s="32">
        <v>65.501099999999994</v>
      </c>
      <c r="I287" s="25">
        <f t="shared" si="18"/>
        <v>357394.96195199993</v>
      </c>
      <c r="J287" s="24"/>
      <c r="K287" s="22"/>
      <c r="L287" s="22"/>
      <c r="M287" s="22"/>
      <c r="N287" s="23"/>
      <c r="O287" s="22"/>
      <c r="P287" s="22"/>
      <c r="Q287" s="22"/>
      <c r="R287" s="22"/>
    </row>
    <row r="288" spans="1:18" ht="26.4">
      <c r="A288" s="20">
        <f t="shared" si="17"/>
        <v>261</v>
      </c>
      <c r="B288" s="17" t="s">
        <v>508</v>
      </c>
      <c r="C288" s="17" t="s">
        <v>509</v>
      </c>
      <c r="D288" s="20" t="s">
        <v>5</v>
      </c>
      <c r="E288" s="20" t="s">
        <v>6</v>
      </c>
      <c r="F288" s="18">
        <v>1</v>
      </c>
      <c r="G288" s="19">
        <f>1.26</f>
        <v>1.26</v>
      </c>
      <c r="H288" s="32">
        <v>2729.2125000000001</v>
      </c>
      <c r="I288" s="25">
        <f t="shared" si="18"/>
        <v>3438.8077499999999</v>
      </c>
      <c r="J288" s="24"/>
      <c r="K288" s="22"/>
      <c r="L288" s="22"/>
      <c r="M288" s="22"/>
      <c r="N288" s="23"/>
      <c r="O288" s="22"/>
      <c r="P288" s="22"/>
      <c r="Q288" s="22"/>
      <c r="R288" s="22"/>
    </row>
    <row r="289" spans="1:18" ht="14.4">
      <c r="A289" s="20">
        <f t="shared" si="17"/>
        <v>262</v>
      </c>
      <c r="B289" s="17" t="s">
        <v>496</v>
      </c>
      <c r="C289" s="17" t="s">
        <v>497</v>
      </c>
      <c r="D289" s="20" t="s">
        <v>5</v>
      </c>
      <c r="E289" s="20" t="s">
        <v>6</v>
      </c>
      <c r="F289" s="18">
        <v>1</v>
      </c>
      <c r="G289" s="19">
        <f>5.96</f>
        <v>5.96</v>
      </c>
      <c r="H289" s="32">
        <v>2495.2800000000002</v>
      </c>
      <c r="I289" s="25">
        <f t="shared" si="18"/>
        <v>14871.868800000002</v>
      </c>
      <c r="J289" s="24"/>
      <c r="K289" s="22"/>
      <c r="L289" s="22"/>
      <c r="M289" s="22"/>
      <c r="N289" s="23"/>
      <c r="O289" s="22"/>
      <c r="P289" s="22"/>
      <c r="Q289" s="22"/>
      <c r="R289" s="22"/>
    </row>
    <row r="290" spans="1:18" ht="14.4">
      <c r="A290" s="20"/>
      <c r="B290" s="13" t="s">
        <v>510</v>
      </c>
      <c r="C290" s="14" t="s">
        <v>511</v>
      </c>
      <c r="D290" s="14"/>
      <c r="E290" s="14"/>
      <c r="F290" s="18"/>
      <c r="G290" s="19"/>
      <c r="H290" s="15"/>
      <c r="I290" s="25"/>
      <c r="K290" s="22"/>
      <c r="L290" s="22"/>
      <c r="M290" s="22"/>
      <c r="N290" s="23"/>
      <c r="O290" s="22"/>
      <c r="P290" s="22"/>
      <c r="Q290" s="22"/>
      <c r="R290" s="22"/>
    </row>
    <row r="291" spans="1:18" ht="14.4">
      <c r="A291" s="20">
        <f>A289+1</f>
        <v>263</v>
      </c>
      <c r="B291" s="17" t="s">
        <v>512</v>
      </c>
      <c r="C291" s="17" t="s">
        <v>513</v>
      </c>
      <c r="D291" s="20" t="s">
        <v>8</v>
      </c>
      <c r="E291" s="20" t="s">
        <v>9</v>
      </c>
      <c r="F291" s="18">
        <v>1</v>
      </c>
      <c r="G291" s="19">
        <f>1.633198857*327.94</f>
        <v>535.59123316457999</v>
      </c>
      <c r="H291" s="32">
        <v>118.4</v>
      </c>
      <c r="I291" s="25">
        <f t="shared" si="18"/>
        <v>63414.002006686271</v>
      </c>
      <c r="J291" s="24"/>
      <c r="K291" s="22"/>
      <c r="L291" s="22"/>
      <c r="M291" s="22"/>
      <c r="N291" s="23"/>
      <c r="O291" s="22"/>
      <c r="P291" s="22"/>
      <c r="Q291" s="22"/>
      <c r="R291" s="22"/>
    </row>
    <row r="292" spans="1:18" ht="26.4">
      <c r="A292" s="20">
        <f t="shared" ref="A292:A299" si="19">A291+1</f>
        <v>264</v>
      </c>
      <c r="B292" s="17" t="s">
        <v>514</v>
      </c>
      <c r="C292" s="17" t="s">
        <v>515</v>
      </c>
      <c r="D292" s="20" t="s">
        <v>8</v>
      </c>
      <c r="E292" s="20" t="s">
        <v>9</v>
      </c>
      <c r="F292" s="18">
        <v>1</v>
      </c>
      <c r="G292" s="19">
        <f>944.57</f>
        <v>944.57</v>
      </c>
      <c r="H292" s="32">
        <v>118.4</v>
      </c>
      <c r="I292" s="25">
        <f t="shared" si="18"/>
        <v>111837.08800000002</v>
      </c>
      <c r="J292" s="24"/>
      <c r="K292" s="22"/>
      <c r="L292" s="22"/>
      <c r="M292" s="22"/>
      <c r="N292" s="23"/>
      <c r="O292" s="22"/>
      <c r="P292" s="22"/>
      <c r="Q292" s="22"/>
      <c r="R292" s="22"/>
    </row>
    <row r="293" spans="1:18" ht="26.4">
      <c r="A293" s="20">
        <f t="shared" si="19"/>
        <v>265</v>
      </c>
      <c r="B293" s="17" t="s">
        <v>516</v>
      </c>
      <c r="C293" s="17" t="s">
        <v>517</v>
      </c>
      <c r="D293" s="20" t="s">
        <v>17</v>
      </c>
      <c r="E293" s="20" t="s">
        <v>43</v>
      </c>
      <c r="F293" s="18">
        <v>1</v>
      </c>
      <c r="G293" s="19">
        <f>1.31</f>
        <v>1.31</v>
      </c>
      <c r="H293" s="32">
        <f>H292*1.05</f>
        <v>124.32000000000001</v>
      </c>
      <c r="I293" s="25">
        <f t="shared" si="18"/>
        <v>162.85920000000002</v>
      </c>
      <c r="J293" s="24"/>
      <c r="K293" s="22"/>
      <c r="L293" s="22"/>
      <c r="M293" s="22"/>
      <c r="N293" s="23"/>
      <c r="O293" s="22"/>
      <c r="P293" s="22"/>
      <c r="Q293" s="22"/>
      <c r="R293" s="22"/>
    </row>
    <row r="294" spans="1:18" ht="14.4">
      <c r="A294" s="20">
        <f t="shared" si="19"/>
        <v>266</v>
      </c>
      <c r="B294" s="30" t="s">
        <v>218</v>
      </c>
      <c r="C294" s="30" t="s">
        <v>219</v>
      </c>
      <c r="D294" s="31" t="s">
        <v>48</v>
      </c>
      <c r="E294" s="20" t="s">
        <v>220</v>
      </c>
      <c r="F294" s="18">
        <v>1</v>
      </c>
      <c r="G294" s="19"/>
      <c r="H294" s="32">
        <v>1</v>
      </c>
      <c r="I294" s="25">
        <f>SUM(I258:I293)*0.05</f>
        <v>859962.95140690729</v>
      </c>
      <c r="J294" s="24"/>
      <c r="K294" s="22"/>
      <c r="L294" s="22"/>
      <c r="M294" s="22"/>
      <c r="N294" s="23"/>
      <c r="O294" s="22"/>
      <c r="P294" s="22"/>
      <c r="Q294" s="22"/>
      <c r="R294" s="22"/>
    </row>
    <row r="295" spans="1:18" ht="26.4">
      <c r="A295" s="20">
        <f t="shared" si="19"/>
        <v>267</v>
      </c>
      <c r="B295" s="13" t="s">
        <v>518</v>
      </c>
      <c r="C295" s="14" t="s">
        <v>519</v>
      </c>
      <c r="D295" s="14"/>
      <c r="E295" s="14"/>
      <c r="F295" s="18"/>
      <c r="G295" s="19"/>
      <c r="H295" s="15"/>
      <c r="I295" s="25"/>
      <c r="J295" s="24"/>
      <c r="K295" s="22"/>
      <c r="L295" s="22"/>
      <c r="M295" s="22"/>
      <c r="N295" s="23"/>
      <c r="O295" s="22"/>
      <c r="P295" s="22"/>
      <c r="Q295" s="22"/>
      <c r="R295" s="22"/>
    </row>
    <row r="296" spans="1:18" ht="39.6">
      <c r="A296" s="20">
        <f t="shared" si="19"/>
        <v>268</v>
      </c>
      <c r="B296" s="17" t="s">
        <v>520</v>
      </c>
      <c r="C296" s="17" t="s">
        <v>521</v>
      </c>
      <c r="D296" s="20" t="s">
        <v>17</v>
      </c>
      <c r="E296" s="20" t="s">
        <v>43</v>
      </c>
      <c r="F296" s="18">
        <v>1</v>
      </c>
      <c r="G296" s="19">
        <f>1.633198857*320.71</f>
        <v>523.78320542846996</v>
      </c>
      <c r="H296" s="32">
        <v>475.2</v>
      </c>
      <c r="I296" s="25">
        <f t="shared" si="18"/>
        <v>248901.77921960893</v>
      </c>
      <c r="J296" s="24"/>
      <c r="K296" s="22"/>
      <c r="L296" s="22"/>
      <c r="M296" s="22"/>
      <c r="N296" s="23"/>
      <c r="O296" s="22"/>
      <c r="P296" s="22"/>
      <c r="Q296" s="22"/>
      <c r="R296" s="22"/>
    </row>
    <row r="297" spans="1:18" ht="26.4">
      <c r="A297" s="20">
        <f t="shared" si="19"/>
        <v>269</v>
      </c>
      <c r="B297" s="17" t="s">
        <v>522</v>
      </c>
      <c r="C297" s="17" t="s">
        <v>523</v>
      </c>
      <c r="D297" s="20" t="s">
        <v>17</v>
      </c>
      <c r="E297" s="20" t="s">
        <v>43</v>
      </c>
      <c r="F297" s="18">
        <v>1</v>
      </c>
      <c r="G297" s="19">
        <f>1.633198857*184.82</f>
        <v>301.84781275073999</v>
      </c>
      <c r="H297" s="32">
        <v>475.2</v>
      </c>
      <c r="I297" s="25">
        <f t="shared" si="18"/>
        <v>143438.08061915165</v>
      </c>
      <c r="J297" s="24"/>
      <c r="K297" s="22"/>
      <c r="L297" s="22"/>
      <c r="M297" s="22"/>
      <c r="N297" s="23"/>
      <c r="O297" s="22"/>
      <c r="P297" s="22"/>
      <c r="Q297" s="22"/>
      <c r="R297" s="22"/>
    </row>
    <row r="298" spans="1:18" ht="14.4">
      <c r="A298" s="20">
        <f t="shared" si="19"/>
        <v>270</v>
      </c>
      <c r="B298" s="17" t="s">
        <v>426</v>
      </c>
      <c r="C298" s="17" t="s">
        <v>427</v>
      </c>
      <c r="D298" s="20" t="s">
        <v>17</v>
      </c>
      <c r="E298" s="20" t="s">
        <v>43</v>
      </c>
      <c r="F298" s="18">
        <v>1</v>
      </c>
      <c r="G298" s="19">
        <f>714</f>
        <v>714</v>
      </c>
      <c r="H298" s="32">
        <v>475.2</v>
      </c>
      <c r="I298" s="25">
        <f t="shared" si="18"/>
        <v>339292.8</v>
      </c>
      <c r="J298" s="24"/>
      <c r="K298" s="22"/>
      <c r="L298" s="22"/>
      <c r="M298" s="22"/>
      <c r="N298" s="23"/>
      <c r="O298" s="22"/>
      <c r="P298" s="22"/>
      <c r="Q298" s="22"/>
      <c r="R298" s="22"/>
    </row>
    <row r="299" spans="1:18" ht="26.4">
      <c r="A299" s="20">
        <f t="shared" si="19"/>
        <v>271</v>
      </c>
      <c r="B299" s="17" t="s">
        <v>524</v>
      </c>
      <c r="C299" s="17" t="s">
        <v>525</v>
      </c>
      <c r="D299" s="20" t="s">
        <v>17</v>
      </c>
      <c r="E299" s="20" t="s">
        <v>43</v>
      </c>
      <c r="F299" s="18">
        <v>1</v>
      </c>
      <c r="G299" s="19">
        <f>1.633198857*115.87</f>
        <v>189.23875156059</v>
      </c>
      <c r="H299" s="32">
        <v>475.2</v>
      </c>
      <c r="I299" s="25">
        <f t="shared" si="18"/>
        <v>89926.254741592362</v>
      </c>
      <c r="J299" s="24"/>
      <c r="K299" s="22"/>
      <c r="L299" s="22"/>
      <c r="M299" s="22"/>
      <c r="N299" s="23"/>
      <c r="O299" s="22"/>
      <c r="P299" s="22"/>
      <c r="Q299" s="22"/>
      <c r="R299" s="22"/>
    </row>
    <row r="300" spans="1:18" ht="14.4">
      <c r="A300" s="20"/>
      <c r="B300" s="13" t="s">
        <v>526</v>
      </c>
      <c r="C300" s="14" t="s">
        <v>527</v>
      </c>
      <c r="D300" s="14"/>
      <c r="E300" s="14"/>
      <c r="F300" s="18"/>
      <c r="G300" s="19"/>
      <c r="H300" s="15"/>
      <c r="I300" s="25"/>
      <c r="J300" s="24"/>
      <c r="K300" s="22"/>
      <c r="L300" s="22"/>
      <c r="M300" s="22"/>
      <c r="N300" s="23"/>
      <c r="O300" s="22"/>
      <c r="P300" s="22"/>
      <c r="Q300" s="22"/>
      <c r="R300" s="22"/>
    </row>
    <row r="301" spans="1:18" s="2" customFormat="1" ht="39.6">
      <c r="A301" s="20">
        <f>A299+1</f>
        <v>272</v>
      </c>
      <c r="B301" s="17" t="s">
        <v>528</v>
      </c>
      <c r="C301" s="17" t="s">
        <v>529</v>
      </c>
      <c r="D301" s="20" t="s">
        <v>8</v>
      </c>
      <c r="E301" s="20" t="s">
        <v>9</v>
      </c>
      <c r="F301" s="18">
        <v>1</v>
      </c>
      <c r="G301" s="19">
        <f>1.633198857*359.87*1.15</f>
        <v>675.9001635688785</v>
      </c>
      <c r="H301" s="32">
        <v>1886</v>
      </c>
      <c r="I301" s="25">
        <f t="shared" si="18"/>
        <v>1274747.7084909049</v>
      </c>
      <c r="J301" s="40"/>
      <c r="K301" s="39"/>
      <c r="L301" s="39"/>
      <c r="M301" s="39"/>
      <c r="N301" s="23"/>
      <c r="O301" s="39"/>
      <c r="P301" s="39"/>
      <c r="Q301" s="39"/>
      <c r="R301" s="39"/>
    </row>
    <row r="302" spans="1:18" s="2" customFormat="1" ht="14.4">
      <c r="A302" s="20">
        <f t="shared" ref="A302:A324" si="20">A301+1</f>
        <v>273</v>
      </c>
      <c r="B302" s="17" t="s">
        <v>500</v>
      </c>
      <c r="C302" s="17" t="s">
        <v>501</v>
      </c>
      <c r="D302" s="9" t="s">
        <v>25</v>
      </c>
      <c r="E302" s="20" t="s">
        <v>26</v>
      </c>
      <c r="F302" s="18">
        <v>1</v>
      </c>
      <c r="G302" s="19">
        <f>179.71</f>
        <v>179.71</v>
      </c>
      <c r="H302" s="32">
        <v>7544</v>
      </c>
      <c r="I302" s="25">
        <f t="shared" si="18"/>
        <v>1355732.24</v>
      </c>
      <c r="J302" s="40"/>
      <c r="K302" s="39"/>
      <c r="L302" s="39"/>
      <c r="M302" s="39"/>
      <c r="N302" s="23"/>
      <c r="O302" s="39"/>
      <c r="P302" s="39"/>
      <c r="Q302" s="39"/>
      <c r="R302" s="39"/>
    </row>
    <row r="303" spans="1:18" s="2" customFormat="1" ht="14.4">
      <c r="A303" s="20">
        <f t="shared" si="20"/>
        <v>274</v>
      </c>
      <c r="B303" s="17" t="s">
        <v>530</v>
      </c>
      <c r="C303" s="17" t="s">
        <v>531</v>
      </c>
      <c r="D303" s="20" t="s">
        <v>8</v>
      </c>
      <c r="E303" s="20" t="s">
        <v>9</v>
      </c>
      <c r="F303" s="18">
        <v>1</v>
      </c>
      <c r="G303" s="19">
        <f>1010.07</f>
        <v>1010.07</v>
      </c>
      <c r="H303" s="32">
        <v>2018.02</v>
      </c>
      <c r="I303" s="25">
        <f t="shared" si="18"/>
        <v>2038341.4614000001</v>
      </c>
      <c r="J303" s="40"/>
      <c r="K303" s="39"/>
      <c r="L303" s="39"/>
      <c r="M303" s="39"/>
      <c r="N303" s="23"/>
      <c r="O303" s="39"/>
      <c r="P303" s="39"/>
      <c r="Q303" s="39"/>
      <c r="R303" s="39"/>
    </row>
    <row r="304" spans="1:18" s="2" customFormat="1" ht="26.4">
      <c r="A304" s="20">
        <f t="shared" si="20"/>
        <v>275</v>
      </c>
      <c r="B304" s="17" t="s">
        <v>532</v>
      </c>
      <c r="C304" s="17" t="s">
        <v>533</v>
      </c>
      <c r="D304" s="20" t="s">
        <v>8</v>
      </c>
      <c r="E304" s="20" t="s">
        <v>9</v>
      </c>
      <c r="F304" s="18">
        <v>1</v>
      </c>
      <c r="G304" s="19">
        <f>2214.03*1.15</f>
        <v>2546.1345000000001</v>
      </c>
      <c r="H304" s="32">
        <v>2225.48</v>
      </c>
      <c r="I304" s="25">
        <f t="shared" si="18"/>
        <v>5666371.4070600001</v>
      </c>
      <c r="J304" s="40"/>
      <c r="K304" s="39"/>
      <c r="L304" s="39"/>
      <c r="M304" s="39"/>
      <c r="N304" s="23"/>
      <c r="O304" s="39"/>
      <c r="P304" s="39"/>
      <c r="Q304" s="39"/>
      <c r="R304" s="39"/>
    </row>
    <row r="305" spans="1:18" s="2" customFormat="1" ht="14.4">
      <c r="A305" s="20">
        <f t="shared" si="20"/>
        <v>276</v>
      </c>
      <c r="B305" s="17" t="s">
        <v>504</v>
      </c>
      <c r="C305" s="17" t="s">
        <v>505</v>
      </c>
      <c r="D305" s="20" t="s">
        <v>5</v>
      </c>
      <c r="E305" s="20" t="s">
        <v>6</v>
      </c>
      <c r="F305" s="18">
        <v>1</v>
      </c>
      <c r="G305" s="19">
        <f>1.63</f>
        <v>1.63</v>
      </c>
      <c r="H305" s="32">
        <v>75440</v>
      </c>
      <c r="I305" s="25">
        <f t="shared" si="18"/>
        <v>122967.2</v>
      </c>
      <c r="J305" s="40"/>
      <c r="K305" s="39"/>
      <c r="L305" s="39"/>
      <c r="M305" s="39"/>
      <c r="N305" s="23"/>
      <c r="O305" s="39"/>
      <c r="P305" s="39"/>
      <c r="Q305" s="39"/>
      <c r="R305" s="39"/>
    </row>
    <row r="306" spans="1:18" s="2" customFormat="1" ht="26.4">
      <c r="A306" s="20">
        <f t="shared" si="20"/>
        <v>277</v>
      </c>
      <c r="B306" s="17" t="s">
        <v>508</v>
      </c>
      <c r="C306" s="17" t="s">
        <v>509</v>
      </c>
      <c r="D306" s="20" t="s">
        <v>5</v>
      </c>
      <c r="E306" s="20" t="s">
        <v>6</v>
      </c>
      <c r="F306" s="18">
        <v>1</v>
      </c>
      <c r="G306" s="19">
        <f>1.26</f>
        <v>1.26</v>
      </c>
      <c r="H306" s="32">
        <v>16502.5</v>
      </c>
      <c r="I306" s="25">
        <f t="shared" si="18"/>
        <v>20793.150000000001</v>
      </c>
      <c r="J306" s="40"/>
      <c r="K306" s="39"/>
      <c r="L306" s="39"/>
      <c r="M306" s="39"/>
      <c r="N306" s="23"/>
      <c r="O306" s="39"/>
      <c r="P306" s="39"/>
      <c r="Q306" s="39"/>
      <c r="R306" s="39"/>
    </row>
    <row r="307" spans="1:18" s="2" customFormat="1" ht="14.4">
      <c r="A307" s="20">
        <f t="shared" si="20"/>
        <v>278</v>
      </c>
      <c r="B307" s="17" t="s">
        <v>496</v>
      </c>
      <c r="C307" s="17" t="s">
        <v>497</v>
      </c>
      <c r="D307" s="20" t="s">
        <v>5</v>
      </c>
      <c r="E307" s="20" t="s">
        <v>6</v>
      </c>
      <c r="F307" s="18">
        <v>1</v>
      </c>
      <c r="G307" s="19">
        <f>5.96</f>
        <v>5.96</v>
      </c>
      <c r="H307" s="32">
        <v>15088</v>
      </c>
      <c r="I307" s="25">
        <f t="shared" si="18"/>
        <v>89924.479999999996</v>
      </c>
      <c r="J307" s="40"/>
      <c r="K307" s="39"/>
      <c r="L307" s="39"/>
      <c r="M307" s="39"/>
      <c r="N307" s="23"/>
      <c r="O307" s="39"/>
      <c r="P307" s="39"/>
      <c r="Q307" s="39"/>
      <c r="R307" s="39"/>
    </row>
    <row r="308" spans="1:18" s="2" customFormat="1" ht="26.4">
      <c r="A308" s="20">
        <f t="shared" si="20"/>
        <v>279</v>
      </c>
      <c r="B308" s="17" t="s">
        <v>534</v>
      </c>
      <c r="C308" s="17" t="s">
        <v>535</v>
      </c>
      <c r="D308" s="20" t="s">
        <v>17</v>
      </c>
      <c r="E308" s="20" t="s">
        <v>43</v>
      </c>
      <c r="F308" s="18">
        <v>1</v>
      </c>
      <c r="G308" s="19">
        <f>5456.32</f>
        <v>5456.32</v>
      </c>
      <c r="H308" s="32">
        <v>302.70299999999997</v>
      </c>
      <c r="I308" s="25">
        <f t="shared" si="18"/>
        <v>1651644.4329599999</v>
      </c>
      <c r="J308" s="40"/>
      <c r="K308" s="39"/>
      <c r="L308" s="39"/>
      <c r="M308" s="39"/>
      <c r="N308" s="23"/>
      <c r="O308" s="39"/>
      <c r="P308" s="39"/>
      <c r="Q308" s="39"/>
      <c r="R308" s="39"/>
    </row>
    <row r="309" spans="1:18" s="2" customFormat="1" ht="39.6">
      <c r="A309" s="20">
        <f t="shared" si="20"/>
        <v>280</v>
      </c>
      <c r="B309" s="17" t="s">
        <v>536</v>
      </c>
      <c r="C309" s="17" t="s">
        <v>537</v>
      </c>
      <c r="D309" s="20" t="s">
        <v>8</v>
      </c>
      <c r="E309" s="20" t="s">
        <v>9</v>
      </c>
      <c r="F309" s="18">
        <v>1</v>
      </c>
      <c r="G309" s="19">
        <f>1.633198857*45.82</f>
        <v>74.833171627740001</v>
      </c>
      <c r="H309" s="32">
        <v>1886</v>
      </c>
      <c r="I309" s="25">
        <f t="shared" si="18"/>
        <v>141135.36168991763</v>
      </c>
      <c r="J309" s="40"/>
      <c r="K309" s="39"/>
      <c r="L309" s="39"/>
      <c r="M309" s="39"/>
      <c r="N309" s="23"/>
      <c r="O309" s="39"/>
      <c r="P309" s="39"/>
      <c r="Q309" s="39"/>
      <c r="R309" s="39"/>
    </row>
    <row r="310" spans="1:18" s="2" customFormat="1" ht="14.4">
      <c r="A310" s="20">
        <f t="shared" si="20"/>
        <v>281</v>
      </c>
      <c r="B310" s="17" t="s">
        <v>538</v>
      </c>
      <c r="C310" s="17" t="s">
        <v>539</v>
      </c>
      <c r="D310" s="20" t="s">
        <v>8</v>
      </c>
      <c r="E310" s="20" t="s">
        <v>9</v>
      </c>
      <c r="F310" s="18">
        <v>1</v>
      </c>
      <c r="G310" s="19">
        <f>7.95</f>
        <v>7.95</v>
      </c>
      <c r="H310" s="32">
        <v>2168.9</v>
      </c>
      <c r="I310" s="25">
        <f t="shared" si="18"/>
        <v>17242.755000000001</v>
      </c>
      <c r="J310" s="40"/>
      <c r="K310" s="39"/>
      <c r="L310" s="39"/>
      <c r="M310" s="39"/>
      <c r="N310" s="23"/>
      <c r="O310" s="39"/>
      <c r="P310" s="39"/>
      <c r="Q310" s="39"/>
      <c r="R310" s="39"/>
    </row>
    <row r="311" spans="1:18" s="2" customFormat="1" ht="26.4">
      <c r="A311" s="20">
        <f t="shared" si="20"/>
        <v>282</v>
      </c>
      <c r="B311" s="17" t="s">
        <v>540</v>
      </c>
      <c r="C311" s="17" t="s">
        <v>541</v>
      </c>
      <c r="D311" s="20" t="s">
        <v>8</v>
      </c>
      <c r="E311" s="20" t="s">
        <v>9</v>
      </c>
      <c r="F311" s="18">
        <v>1</v>
      </c>
      <c r="G311" s="19">
        <f>1.633198857*45.82</f>
        <v>74.833171627740001</v>
      </c>
      <c r="H311" s="32">
        <v>1886</v>
      </c>
      <c r="I311" s="25">
        <f t="shared" si="18"/>
        <v>141135.36168991763</v>
      </c>
      <c r="J311" s="40"/>
      <c r="K311" s="39"/>
      <c r="L311" s="39"/>
      <c r="M311" s="39"/>
      <c r="N311" s="23"/>
      <c r="O311" s="39"/>
      <c r="P311" s="39"/>
      <c r="Q311" s="39"/>
      <c r="R311" s="39"/>
    </row>
    <row r="312" spans="1:18" s="2" customFormat="1" ht="14.4">
      <c r="A312" s="20">
        <f t="shared" si="20"/>
        <v>283</v>
      </c>
      <c r="B312" s="17" t="s">
        <v>542</v>
      </c>
      <c r="C312" s="17" t="s">
        <v>543</v>
      </c>
      <c r="D312" s="20" t="s">
        <v>8</v>
      </c>
      <c r="E312" s="20" t="s">
        <v>9</v>
      </c>
      <c r="F312" s="18">
        <v>1</v>
      </c>
      <c r="G312" s="19">
        <f>69.84</f>
        <v>69.84</v>
      </c>
      <c r="H312" s="32">
        <v>2168.9</v>
      </c>
      <c r="I312" s="25">
        <f t="shared" si="18"/>
        <v>151475.97600000002</v>
      </c>
      <c r="J312" s="40"/>
      <c r="K312" s="39"/>
      <c r="L312" s="39"/>
      <c r="M312" s="39"/>
      <c r="N312" s="23"/>
      <c r="O312" s="39"/>
      <c r="P312" s="39"/>
      <c r="Q312" s="39"/>
      <c r="R312" s="39"/>
    </row>
    <row r="313" spans="1:18" s="2" customFormat="1" ht="26.4">
      <c r="A313" s="20">
        <f t="shared" si="20"/>
        <v>284</v>
      </c>
      <c r="B313" s="17" t="s">
        <v>544</v>
      </c>
      <c r="C313" s="17" t="s">
        <v>545</v>
      </c>
      <c r="D313" s="20" t="s">
        <v>8</v>
      </c>
      <c r="E313" s="20" t="s">
        <v>9</v>
      </c>
      <c r="F313" s="18">
        <v>1</v>
      </c>
      <c r="G313" s="19">
        <f>1.633198857*430.78</f>
        <v>703.54940361845991</v>
      </c>
      <c r="H313" s="32">
        <v>270</v>
      </c>
      <c r="I313" s="25">
        <f t="shared" si="18"/>
        <v>189958.33897698417</v>
      </c>
      <c r="J313" s="40"/>
      <c r="K313" s="39"/>
      <c r="L313" s="39"/>
      <c r="M313" s="39"/>
      <c r="N313" s="23"/>
      <c r="O313" s="39"/>
      <c r="P313" s="39"/>
      <c r="Q313" s="39"/>
      <c r="R313" s="39"/>
    </row>
    <row r="314" spans="1:18" s="2" customFormat="1" ht="26.4">
      <c r="A314" s="20">
        <f t="shared" si="20"/>
        <v>285</v>
      </c>
      <c r="B314" s="17" t="s">
        <v>546</v>
      </c>
      <c r="C314" s="17" t="s">
        <v>547</v>
      </c>
      <c r="D314" s="20" t="s">
        <v>8</v>
      </c>
      <c r="E314" s="20" t="s">
        <v>9</v>
      </c>
      <c r="F314" s="18">
        <v>1</v>
      </c>
      <c r="G314" s="19">
        <f>1.633198857*126.96</f>
        <v>207.35092688472</v>
      </c>
      <c r="H314" s="32">
        <v>270</v>
      </c>
      <c r="I314" s="25">
        <f t="shared" si="18"/>
        <v>55984.750258874396</v>
      </c>
      <c r="J314" s="40"/>
      <c r="K314" s="39"/>
      <c r="L314" s="39"/>
      <c r="M314" s="39"/>
      <c r="N314" s="23"/>
      <c r="O314" s="39"/>
      <c r="P314" s="39"/>
      <c r="Q314" s="39"/>
      <c r="R314" s="39"/>
    </row>
    <row r="315" spans="1:18" s="2" customFormat="1" ht="14.4">
      <c r="A315" s="20">
        <f t="shared" si="20"/>
        <v>286</v>
      </c>
      <c r="B315" s="17" t="s">
        <v>548</v>
      </c>
      <c r="C315" s="17" t="s">
        <v>549</v>
      </c>
      <c r="D315" s="9" t="s">
        <v>44</v>
      </c>
      <c r="E315" s="20" t="s">
        <v>45</v>
      </c>
      <c r="F315" s="18">
        <v>1</v>
      </c>
      <c r="G315" s="19">
        <f>90.19</f>
        <v>90.19</v>
      </c>
      <c r="H315" s="32">
        <v>1755</v>
      </c>
      <c r="I315" s="25">
        <f t="shared" si="18"/>
        <v>158283.44999999998</v>
      </c>
      <c r="J315" s="40"/>
      <c r="K315" s="39"/>
      <c r="L315" s="39"/>
      <c r="M315" s="39"/>
      <c r="N315" s="23"/>
      <c r="O315" s="39"/>
      <c r="P315" s="39"/>
      <c r="Q315" s="39"/>
      <c r="R315" s="39"/>
    </row>
    <row r="316" spans="1:18" s="2" customFormat="1" ht="14.4">
      <c r="A316" s="20">
        <f t="shared" si="20"/>
        <v>287</v>
      </c>
      <c r="B316" s="17" t="s">
        <v>550</v>
      </c>
      <c r="C316" s="17" t="s">
        <v>551</v>
      </c>
      <c r="D316" s="20" t="s">
        <v>8</v>
      </c>
      <c r="E316" s="20" t="s">
        <v>9</v>
      </c>
      <c r="F316" s="18">
        <v>1</v>
      </c>
      <c r="G316" s="19">
        <f>1.633198857*45.33</f>
        <v>74.032904187810004</v>
      </c>
      <c r="H316" s="32">
        <v>270</v>
      </c>
      <c r="I316" s="25">
        <f t="shared" si="18"/>
        <v>19988.884130708702</v>
      </c>
      <c r="J316" s="40"/>
      <c r="K316" s="39"/>
      <c r="L316" s="39"/>
      <c r="M316" s="39"/>
      <c r="N316" s="23"/>
      <c r="O316" s="39"/>
      <c r="P316" s="39"/>
      <c r="Q316" s="39"/>
      <c r="R316" s="39"/>
    </row>
    <row r="317" spans="1:18" s="2" customFormat="1" ht="14.4">
      <c r="A317" s="20">
        <f t="shared" si="20"/>
        <v>288</v>
      </c>
      <c r="B317" s="17" t="s">
        <v>552</v>
      </c>
      <c r="C317" s="17" t="s">
        <v>553</v>
      </c>
      <c r="D317" s="20" t="s">
        <v>8</v>
      </c>
      <c r="E317" s="20" t="s">
        <v>9</v>
      </c>
      <c r="F317" s="18">
        <v>1</v>
      </c>
      <c r="G317" s="19">
        <v>52.96</v>
      </c>
      <c r="H317" s="32">
        <v>283.5</v>
      </c>
      <c r="I317" s="25">
        <f t="shared" si="18"/>
        <v>15014.16</v>
      </c>
      <c r="J317" s="40"/>
      <c r="K317" s="39"/>
      <c r="L317" s="39"/>
      <c r="M317" s="39"/>
      <c r="N317" s="23"/>
      <c r="O317" s="39"/>
      <c r="P317" s="39"/>
      <c r="Q317" s="39"/>
      <c r="R317" s="39"/>
    </row>
    <row r="318" spans="1:18" s="2" customFormat="1" ht="14.4">
      <c r="A318" s="20">
        <f t="shared" si="20"/>
        <v>289</v>
      </c>
      <c r="B318" s="17" t="s">
        <v>554</v>
      </c>
      <c r="C318" s="17" t="s">
        <v>555</v>
      </c>
      <c r="D318" s="20" t="s">
        <v>462</v>
      </c>
      <c r="E318" s="20" t="s">
        <v>463</v>
      </c>
      <c r="F318" s="18">
        <v>1</v>
      </c>
      <c r="G318" s="19">
        <f>449.91</f>
        <v>449.91</v>
      </c>
      <c r="H318" s="32">
        <v>1215</v>
      </c>
      <c r="I318" s="25">
        <f t="shared" si="18"/>
        <v>546640.65</v>
      </c>
      <c r="J318" s="40"/>
      <c r="K318" s="39"/>
      <c r="L318" s="39"/>
      <c r="M318" s="39"/>
      <c r="N318" s="23"/>
      <c r="O318" s="39"/>
      <c r="P318" s="39"/>
      <c r="Q318" s="39"/>
      <c r="R318" s="39"/>
    </row>
    <row r="319" spans="1:18" s="2" customFormat="1" ht="26.4">
      <c r="A319" s="20">
        <f t="shared" si="20"/>
        <v>290</v>
      </c>
      <c r="B319" s="17" t="s">
        <v>556</v>
      </c>
      <c r="C319" s="17" t="s">
        <v>557</v>
      </c>
      <c r="D319" s="20" t="s">
        <v>8</v>
      </c>
      <c r="E319" s="20" t="s">
        <v>9</v>
      </c>
      <c r="F319" s="18">
        <v>1</v>
      </c>
      <c r="G319" s="19">
        <v>49.81</v>
      </c>
      <c r="H319" s="32">
        <v>270</v>
      </c>
      <c r="I319" s="25">
        <f t="shared" si="18"/>
        <v>13448.7</v>
      </c>
      <c r="J319" s="40"/>
      <c r="K319" s="39"/>
      <c r="L319" s="39"/>
      <c r="M319" s="39"/>
      <c r="N319" s="23"/>
      <c r="O319" s="39"/>
      <c r="P319" s="39"/>
      <c r="Q319" s="39"/>
      <c r="R319" s="39"/>
    </row>
    <row r="320" spans="1:18" s="2" customFormat="1" ht="14.4">
      <c r="A320" s="20">
        <f t="shared" si="20"/>
        <v>291</v>
      </c>
      <c r="B320" s="17" t="s">
        <v>558</v>
      </c>
      <c r="C320" s="17" t="s">
        <v>559</v>
      </c>
      <c r="D320" s="20" t="s">
        <v>17</v>
      </c>
      <c r="E320" s="20" t="s">
        <v>43</v>
      </c>
      <c r="F320" s="18">
        <v>1</v>
      </c>
      <c r="G320" s="19">
        <f>1.633198857*4745.23</f>
        <v>7749.9042122021092</v>
      </c>
      <c r="H320" s="32">
        <v>270</v>
      </c>
      <c r="I320" s="25">
        <f t="shared" si="18"/>
        <v>2092474.1372945695</v>
      </c>
      <c r="J320" s="40"/>
      <c r="K320" s="39"/>
      <c r="L320" s="39"/>
      <c r="M320" s="39"/>
      <c r="N320" s="23"/>
      <c r="O320" s="39"/>
      <c r="P320" s="39"/>
      <c r="Q320" s="39"/>
      <c r="R320" s="39"/>
    </row>
    <row r="321" spans="1:18" s="2" customFormat="1" ht="26.4">
      <c r="A321" s="20">
        <f t="shared" si="20"/>
        <v>292</v>
      </c>
      <c r="B321" s="17" t="s">
        <v>560</v>
      </c>
      <c r="C321" s="17" t="s">
        <v>561</v>
      </c>
      <c r="D321" s="20" t="s">
        <v>17</v>
      </c>
      <c r="E321" s="20" t="s">
        <v>43</v>
      </c>
      <c r="F321" s="18">
        <v>1</v>
      </c>
      <c r="G321" s="19">
        <f>4806.04*1.15</f>
        <v>5526.9459999999999</v>
      </c>
      <c r="H321" s="32">
        <v>270</v>
      </c>
      <c r="I321" s="25">
        <f t="shared" si="18"/>
        <v>1492275.42</v>
      </c>
      <c r="J321" s="40"/>
      <c r="K321" s="39"/>
      <c r="L321" s="39"/>
      <c r="M321" s="39"/>
      <c r="N321" s="23"/>
      <c r="O321" s="39"/>
      <c r="P321" s="39"/>
      <c r="Q321" s="39"/>
      <c r="R321" s="39"/>
    </row>
    <row r="322" spans="1:18" s="2" customFormat="1" ht="26.4">
      <c r="A322" s="20">
        <f t="shared" si="20"/>
        <v>293</v>
      </c>
      <c r="B322" s="17" t="s">
        <v>302</v>
      </c>
      <c r="C322" s="17" t="s">
        <v>303</v>
      </c>
      <c r="D322" s="9" t="s">
        <v>44</v>
      </c>
      <c r="E322" s="20" t="s">
        <v>45</v>
      </c>
      <c r="F322" s="18">
        <v>1</v>
      </c>
      <c r="G322" s="19">
        <f>16.51</f>
        <v>16.510000000000002</v>
      </c>
      <c r="H322" s="32">
        <v>1215</v>
      </c>
      <c r="I322" s="25">
        <f t="shared" si="18"/>
        <v>20059.650000000001</v>
      </c>
      <c r="J322" s="40"/>
      <c r="K322" s="39"/>
      <c r="L322" s="39"/>
      <c r="M322" s="39"/>
      <c r="N322" s="23"/>
      <c r="O322" s="39"/>
      <c r="P322" s="39"/>
      <c r="Q322" s="39"/>
      <c r="R322" s="39"/>
    </row>
    <row r="323" spans="1:18" s="2" customFormat="1" ht="26.4">
      <c r="A323" s="20">
        <f t="shared" si="20"/>
        <v>294</v>
      </c>
      <c r="B323" s="17" t="s">
        <v>304</v>
      </c>
      <c r="C323" s="17" t="s">
        <v>305</v>
      </c>
      <c r="D323" s="20" t="s">
        <v>5</v>
      </c>
      <c r="E323" s="20" t="s">
        <v>6</v>
      </c>
      <c r="F323" s="18">
        <v>1</v>
      </c>
      <c r="G323" s="19">
        <f>6.13</f>
        <v>6.13</v>
      </c>
      <c r="H323" s="32">
        <v>2160</v>
      </c>
      <c r="I323" s="25">
        <f t="shared" si="18"/>
        <v>13240.8</v>
      </c>
      <c r="J323" s="40"/>
      <c r="K323" s="39"/>
      <c r="L323" s="39"/>
      <c r="M323" s="39"/>
      <c r="N323" s="23"/>
      <c r="O323" s="39"/>
      <c r="P323" s="39"/>
      <c r="Q323" s="39"/>
      <c r="R323" s="39"/>
    </row>
    <row r="324" spans="1:18" s="2" customFormat="1" ht="14.4">
      <c r="A324" s="20">
        <f t="shared" si="20"/>
        <v>295</v>
      </c>
      <c r="B324" s="17" t="s">
        <v>306</v>
      </c>
      <c r="C324" s="17" t="s">
        <v>307</v>
      </c>
      <c r="D324" s="20" t="s">
        <v>5</v>
      </c>
      <c r="E324" s="20" t="s">
        <v>6</v>
      </c>
      <c r="F324" s="18">
        <v>1</v>
      </c>
      <c r="G324" s="19">
        <f>1.633198857*10.57</f>
        <v>17.262911918490001</v>
      </c>
      <c r="H324" s="32">
        <v>2160</v>
      </c>
      <c r="I324" s="25">
        <f t="shared" si="18"/>
        <v>37287.889743938402</v>
      </c>
      <c r="J324" s="40"/>
      <c r="K324" s="39"/>
      <c r="L324" s="39"/>
      <c r="M324" s="39"/>
      <c r="N324" s="23"/>
      <c r="O324" s="39"/>
      <c r="P324" s="39"/>
      <c r="Q324" s="39"/>
      <c r="R324" s="39"/>
    </row>
    <row r="325" spans="1:18" ht="14.4">
      <c r="A325" s="20"/>
      <c r="B325" s="13" t="s">
        <v>562</v>
      </c>
      <c r="C325" s="14" t="s">
        <v>563</v>
      </c>
      <c r="D325" s="14"/>
      <c r="E325" s="14"/>
      <c r="F325" s="18"/>
      <c r="G325" s="19"/>
      <c r="H325" s="15"/>
      <c r="I325" s="25"/>
      <c r="J325" s="24"/>
      <c r="K325" s="22"/>
      <c r="L325" s="22"/>
      <c r="M325" s="22"/>
      <c r="N325" s="23"/>
      <c r="O325" s="22"/>
      <c r="P325" s="22"/>
      <c r="Q325" s="22"/>
      <c r="R325" s="22"/>
    </row>
    <row r="326" spans="1:18" s="2" customFormat="1" ht="26.25" customHeight="1">
      <c r="A326" s="20">
        <f>A324+1</f>
        <v>296</v>
      </c>
      <c r="B326" s="17" t="s">
        <v>564</v>
      </c>
      <c r="C326" s="17" t="s">
        <v>565</v>
      </c>
      <c r="D326" s="20" t="s">
        <v>17</v>
      </c>
      <c r="E326" s="20" t="s">
        <v>43</v>
      </c>
      <c r="F326" s="18">
        <v>1</v>
      </c>
      <c r="G326" s="19">
        <f>1.633198857*441.51</f>
        <v>721.07362735407003</v>
      </c>
      <c r="H326" s="32">
        <v>18.600000000000001</v>
      </c>
      <c r="I326" s="25">
        <f t="shared" si="18"/>
        <v>13411.969468785703</v>
      </c>
      <c r="J326" s="40"/>
      <c r="K326" s="39"/>
      <c r="L326" s="39"/>
      <c r="M326" s="39"/>
      <c r="N326" s="23"/>
      <c r="O326" s="39"/>
      <c r="P326" s="39"/>
      <c r="Q326" s="39"/>
      <c r="R326" s="39"/>
    </row>
    <row r="327" spans="1:18" s="2" customFormat="1" ht="14.4">
      <c r="A327" s="20">
        <f t="shared" ref="A327:A333" si="21">A326+1</f>
        <v>297</v>
      </c>
      <c r="B327" s="17" t="s">
        <v>566</v>
      </c>
      <c r="C327" s="17" t="s">
        <v>567</v>
      </c>
      <c r="D327" s="20" t="s">
        <v>17</v>
      </c>
      <c r="E327" s="20" t="s">
        <v>43</v>
      </c>
      <c r="F327" s="18">
        <v>1</v>
      </c>
      <c r="G327" s="19">
        <f>2958</f>
        <v>2958</v>
      </c>
      <c r="H327" s="32">
        <v>18.941400000000002</v>
      </c>
      <c r="I327" s="25">
        <f t="shared" si="18"/>
        <v>56028.661200000002</v>
      </c>
      <c r="J327" s="40"/>
      <c r="K327" s="39"/>
      <c r="L327" s="39"/>
      <c r="M327" s="39"/>
      <c r="N327" s="23"/>
      <c r="O327" s="39"/>
      <c r="P327" s="39"/>
      <c r="Q327" s="39"/>
      <c r="R327" s="39"/>
    </row>
    <row r="328" spans="1:18" s="2" customFormat="1" ht="26.4">
      <c r="A328" s="20">
        <f t="shared" si="21"/>
        <v>298</v>
      </c>
      <c r="B328" s="17" t="s">
        <v>196</v>
      </c>
      <c r="C328" s="17" t="s">
        <v>197</v>
      </c>
      <c r="D328" s="9" t="s">
        <v>56</v>
      </c>
      <c r="E328" s="20" t="s">
        <v>42</v>
      </c>
      <c r="F328" s="18">
        <v>1</v>
      </c>
      <c r="G328" s="19">
        <f>1.633198857*40352</f>
        <v>65902.840277664</v>
      </c>
      <c r="H328" s="32">
        <v>2.35</v>
      </c>
      <c r="I328" s="25">
        <f t="shared" si="18"/>
        <v>154871.67465251041</v>
      </c>
      <c r="J328" s="40"/>
      <c r="K328" s="39"/>
      <c r="L328" s="39"/>
      <c r="M328" s="39"/>
      <c r="N328" s="23"/>
      <c r="O328" s="39"/>
      <c r="P328" s="39"/>
      <c r="Q328" s="39"/>
      <c r="R328" s="39"/>
    </row>
    <row r="329" spans="1:18" s="2" customFormat="1" ht="39.6">
      <c r="A329" s="20">
        <f t="shared" si="21"/>
        <v>299</v>
      </c>
      <c r="B329" s="17" t="s">
        <v>410</v>
      </c>
      <c r="C329" s="17" t="s">
        <v>284</v>
      </c>
      <c r="D329" s="9" t="s">
        <v>56</v>
      </c>
      <c r="E329" s="20" t="s">
        <v>42</v>
      </c>
      <c r="F329" s="18">
        <v>1</v>
      </c>
      <c r="G329" s="19">
        <f>30969.88</f>
        <v>30969.88</v>
      </c>
      <c r="H329" s="32">
        <v>2.4910000000000001</v>
      </c>
      <c r="I329" s="25">
        <f t="shared" si="18"/>
        <v>77145.971080000003</v>
      </c>
      <c r="J329" s="40"/>
      <c r="K329" s="39"/>
      <c r="L329" s="39"/>
      <c r="M329" s="39"/>
      <c r="N329" s="23"/>
      <c r="O329" s="39"/>
      <c r="P329" s="39"/>
      <c r="Q329" s="39"/>
      <c r="R329" s="39"/>
    </row>
    <row r="330" spans="1:18" s="2" customFormat="1" ht="14.4">
      <c r="A330" s="20">
        <f t="shared" si="21"/>
        <v>300</v>
      </c>
      <c r="B330" s="17" t="s">
        <v>206</v>
      </c>
      <c r="C330" s="17" t="s">
        <v>207</v>
      </c>
      <c r="D330" s="9" t="s">
        <v>56</v>
      </c>
      <c r="E330" s="20" t="s">
        <v>42</v>
      </c>
      <c r="F330" s="18">
        <v>1</v>
      </c>
      <c r="G330" s="19">
        <f>1.633198857*3994.24</f>
        <v>6523.3882025836792</v>
      </c>
      <c r="H330" s="32">
        <v>2.35</v>
      </c>
      <c r="I330" s="25">
        <f t="shared" si="18"/>
        <v>15329.962276071647</v>
      </c>
      <c r="J330" s="40"/>
      <c r="K330" s="39"/>
      <c r="L330" s="39"/>
      <c r="M330" s="39"/>
      <c r="N330" s="23"/>
      <c r="O330" s="39"/>
      <c r="P330" s="39"/>
      <c r="Q330" s="39"/>
      <c r="R330" s="39"/>
    </row>
    <row r="331" spans="1:18" s="2" customFormat="1" ht="26.4">
      <c r="A331" s="20">
        <f t="shared" si="21"/>
        <v>301</v>
      </c>
      <c r="B331" s="17" t="s">
        <v>568</v>
      </c>
      <c r="C331" s="17" t="s">
        <v>569</v>
      </c>
      <c r="D331" s="9" t="s">
        <v>25</v>
      </c>
      <c r="E331" s="20" t="s">
        <v>26</v>
      </c>
      <c r="F331" s="18">
        <v>1</v>
      </c>
      <c r="G331" s="19">
        <f>1.633198857*9792.06*1.15</f>
        <v>18391.238379626731</v>
      </c>
      <c r="H331" s="32">
        <v>435</v>
      </c>
      <c r="I331" s="25">
        <f t="shared" ref="I331:I394" si="22">G331*H331</f>
        <v>8000188.6951376284</v>
      </c>
      <c r="J331" s="40"/>
      <c r="K331" s="39"/>
      <c r="L331" s="39"/>
      <c r="M331" s="39"/>
      <c r="N331" s="23"/>
      <c r="O331" s="39"/>
      <c r="P331" s="39"/>
      <c r="Q331" s="39"/>
      <c r="R331" s="39"/>
    </row>
    <row r="332" spans="1:18" s="2" customFormat="1" ht="26.4">
      <c r="A332" s="20">
        <f t="shared" si="21"/>
        <v>302</v>
      </c>
      <c r="B332" s="17" t="s">
        <v>570</v>
      </c>
      <c r="C332" s="17" t="s">
        <v>571</v>
      </c>
      <c r="D332" s="9" t="s">
        <v>25</v>
      </c>
      <c r="E332" s="20" t="s">
        <v>26</v>
      </c>
      <c r="F332" s="18">
        <v>1</v>
      </c>
      <c r="G332" s="19">
        <f>229.45</f>
        <v>229.45</v>
      </c>
      <c r="H332" s="32">
        <v>435</v>
      </c>
      <c r="I332" s="25">
        <f t="shared" si="22"/>
        <v>99810.75</v>
      </c>
      <c r="J332" s="40"/>
      <c r="K332" s="39"/>
      <c r="L332" s="39"/>
      <c r="M332" s="39"/>
      <c r="N332" s="23"/>
      <c r="O332" s="39"/>
      <c r="P332" s="39"/>
      <c r="Q332" s="39"/>
      <c r="R332" s="39"/>
    </row>
    <row r="333" spans="1:18" s="2" customFormat="1" ht="14.4">
      <c r="A333" s="20">
        <f t="shared" si="21"/>
        <v>303</v>
      </c>
      <c r="B333" s="17" t="s">
        <v>572</v>
      </c>
      <c r="C333" s="17" t="s">
        <v>573</v>
      </c>
      <c r="D333" s="20" t="s">
        <v>5</v>
      </c>
      <c r="E333" s="20" t="s">
        <v>6</v>
      </c>
      <c r="F333" s="18">
        <v>1</v>
      </c>
      <c r="G333" s="19">
        <f>0.42</f>
        <v>0.42</v>
      </c>
      <c r="H333" s="32">
        <v>2175</v>
      </c>
      <c r="I333" s="25">
        <f t="shared" si="22"/>
        <v>913.5</v>
      </c>
      <c r="J333" s="40"/>
      <c r="K333" s="39"/>
      <c r="L333" s="39"/>
      <c r="M333" s="39"/>
      <c r="N333" s="23"/>
      <c r="O333" s="39"/>
      <c r="P333" s="39"/>
      <c r="Q333" s="39"/>
      <c r="R333" s="39"/>
    </row>
    <row r="334" spans="1:18" ht="14.4">
      <c r="A334" s="20"/>
      <c r="B334" s="13" t="s">
        <v>574</v>
      </c>
      <c r="C334" s="14" t="s">
        <v>575</v>
      </c>
      <c r="D334" s="14"/>
      <c r="E334" s="14"/>
      <c r="F334" s="18"/>
      <c r="G334" s="19"/>
      <c r="H334" s="15"/>
      <c r="I334" s="25"/>
      <c r="J334" s="24"/>
      <c r="K334" s="22">
        <f>SUM(K335+K351+K370+K389+K406+K415+K426+K438+K453)</f>
        <v>3703.4100000000003</v>
      </c>
      <c r="L334" s="22"/>
      <c r="M334" s="24">
        <f>868.83+2098.05+1690.51</f>
        <v>4657.3900000000003</v>
      </c>
      <c r="N334" s="23" t="s">
        <v>576</v>
      </c>
      <c r="O334" s="22"/>
      <c r="P334" s="22"/>
      <c r="Q334" s="22"/>
      <c r="R334" s="22"/>
    </row>
    <row r="335" spans="1:18" ht="30" customHeight="1">
      <c r="A335" s="20"/>
      <c r="B335" s="13" t="s">
        <v>577</v>
      </c>
      <c r="C335" s="14" t="s">
        <v>578</v>
      </c>
      <c r="D335" s="14"/>
      <c r="E335" s="14"/>
      <c r="F335" s="18"/>
      <c r="G335" s="19"/>
      <c r="H335" s="15"/>
      <c r="I335" s="25"/>
      <c r="J335" s="50" t="s">
        <v>579</v>
      </c>
      <c r="K335" s="39">
        <v>165.8</v>
      </c>
      <c r="L335" s="39"/>
      <c r="M335" s="22"/>
      <c r="N335" s="23"/>
      <c r="O335" s="22"/>
      <c r="P335" s="22"/>
      <c r="Q335" s="22"/>
      <c r="R335" s="22"/>
    </row>
    <row r="336" spans="1:18" s="2" customFormat="1" ht="36" customHeight="1">
      <c r="A336" s="20">
        <f>A333+1</f>
        <v>304</v>
      </c>
      <c r="B336" s="17" t="s">
        <v>422</v>
      </c>
      <c r="C336" s="17" t="s">
        <v>580</v>
      </c>
      <c r="D336" s="20" t="s">
        <v>17</v>
      </c>
      <c r="E336" s="20" t="s">
        <v>43</v>
      </c>
      <c r="F336" s="18">
        <v>1</v>
      </c>
      <c r="G336" s="19">
        <f>1.633198857*41.29</f>
        <v>67.434780805529996</v>
      </c>
      <c r="H336" s="32">
        <f>165.8*0.1</f>
        <v>16.580000000000002</v>
      </c>
      <c r="I336" s="25">
        <f t="shared" si="22"/>
        <v>1118.0686657556876</v>
      </c>
      <c r="J336" s="51"/>
      <c r="M336" s="39"/>
      <c r="N336" s="23"/>
      <c r="O336" s="39"/>
      <c r="P336" s="39"/>
      <c r="Q336" s="39"/>
      <c r="R336" s="39"/>
    </row>
    <row r="337" spans="1:18" s="2" customFormat="1" ht="26.4">
      <c r="A337" s="20">
        <f t="shared" ref="A337:A350" si="23">A336+1</f>
        <v>305</v>
      </c>
      <c r="B337" s="17" t="s">
        <v>424</v>
      </c>
      <c r="C337" s="17" t="s">
        <v>425</v>
      </c>
      <c r="D337" s="20" t="s">
        <v>17</v>
      </c>
      <c r="E337" s="20" t="s">
        <v>43</v>
      </c>
      <c r="F337" s="18">
        <v>1</v>
      </c>
      <c r="G337" s="19">
        <f>1.633198857*663.59</f>
        <v>1083.7744295166301</v>
      </c>
      <c r="H337" s="32">
        <f>165.8*0.1</f>
        <v>16.580000000000002</v>
      </c>
      <c r="I337" s="25">
        <f t="shared" si="22"/>
        <v>17968.98004138573</v>
      </c>
      <c r="J337" s="40"/>
      <c r="K337" s="39"/>
      <c r="L337" s="39"/>
      <c r="M337" s="39"/>
      <c r="N337" s="23"/>
      <c r="O337" s="39"/>
      <c r="P337" s="39"/>
      <c r="Q337" s="39"/>
      <c r="R337" s="39"/>
    </row>
    <row r="338" spans="1:18" s="2" customFormat="1" ht="14.4">
      <c r="A338" s="20">
        <f t="shared" si="23"/>
        <v>306</v>
      </c>
      <c r="B338" s="17" t="s">
        <v>177</v>
      </c>
      <c r="C338" s="17" t="s">
        <v>58</v>
      </c>
      <c r="D338" s="20" t="s">
        <v>17</v>
      </c>
      <c r="E338" s="20" t="s">
        <v>43</v>
      </c>
      <c r="F338" s="18">
        <v>1</v>
      </c>
      <c r="G338" s="19">
        <f>714</f>
        <v>714</v>
      </c>
      <c r="H338" s="32">
        <f>165.8*0.1</f>
        <v>16.580000000000002</v>
      </c>
      <c r="I338" s="25">
        <f t="shared" si="22"/>
        <v>11838.12</v>
      </c>
      <c r="J338" s="40"/>
      <c r="K338" s="39"/>
      <c r="L338" s="39"/>
      <c r="M338" s="39"/>
      <c r="N338" s="23"/>
      <c r="O338" s="39"/>
      <c r="P338" s="39"/>
      <c r="Q338" s="39"/>
      <c r="R338" s="39"/>
    </row>
    <row r="339" spans="1:18" s="2" customFormat="1" ht="26.4">
      <c r="A339" s="20">
        <f t="shared" si="23"/>
        <v>307</v>
      </c>
      <c r="B339" s="17" t="s">
        <v>581</v>
      </c>
      <c r="C339" s="17" t="s">
        <v>582</v>
      </c>
      <c r="D339" s="20" t="s">
        <v>8</v>
      </c>
      <c r="E339" s="20" t="s">
        <v>9</v>
      </c>
      <c r="F339" s="18">
        <v>1</v>
      </c>
      <c r="G339" s="19">
        <f>1.633198857*117.48</f>
        <v>191.86820172036002</v>
      </c>
      <c r="H339" s="32">
        <v>165.8</v>
      </c>
      <c r="I339" s="25">
        <f t="shared" si="22"/>
        <v>31811.747845235692</v>
      </c>
      <c r="J339" s="40"/>
      <c r="K339" s="39"/>
      <c r="L339" s="39"/>
      <c r="M339" s="39"/>
      <c r="N339" s="23"/>
      <c r="O339" s="39"/>
      <c r="P339" s="39"/>
      <c r="Q339" s="39"/>
      <c r="R339" s="39"/>
    </row>
    <row r="340" spans="1:18" s="2" customFormat="1" ht="26.4">
      <c r="A340" s="20">
        <f t="shared" si="23"/>
        <v>308</v>
      </c>
      <c r="B340" s="17" t="s">
        <v>583</v>
      </c>
      <c r="C340" s="17" t="s">
        <v>584</v>
      </c>
      <c r="D340" s="20" t="s">
        <v>8</v>
      </c>
      <c r="E340" s="20" t="s">
        <v>9</v>
      </c>
      <c r="F340" s="18">
        <v>1</v>
      </c>
      <c r="G340" s="19">
        <f>1.633198857*86.71</f>
        <v>141.61467289046999</v>
      </c>
      <c r="H340" s="32">
        <v>165.8</v>
      </c>
      <c r="I340" s="25">
        <f t="shared" si="22"/>
        <v>23479.712765239925</v>
      </c>
      <c r="J340" s="40"/>
      <c r="K340" s="39"/>
      <c r="L340" s="39"/>
      <c r="M340" s="39"/>
      <c r="N340" s="23"/>
      <c r="O340" s="39"/>
      <c r="P340" s="39"/>
      <c r="Q340" s="39"/>
      <c r="R340" s="39"/>
    </row>
    <row r="341" spans="1:18" s="2" customFormat="1" ht="26.4">
      <c r="A341" s="20">
        <f t="shared" si="23"/>
        <v>309</v>
      </c>
      <c r="B341" s="17" t="s">
        <v>585</v>
      </c>
      <c r="C341" s="17" t="s">
        <v>586</v>
      </c>
      <c r="D341" s="20" t="s">
        <v>8</v>
      </c>
      <c r="E341" s="20" t="s">
        <v>9</v>
      </c>
      <c r="F341" s="18">
        <v>1</v>
      </c>
      <c r="G341" s="19">
        <f>1.633198857*16.04</f>
        <v>26.196509666279997</v>
      </c>
      <c r="H341" s="32">
        <v>165.8</v>
      </c>
      <c r="I341" s="25">
        <f t="shared" si="22"/>
        <v>4343.3813026692242</v>
      </c>
      <c r="J341" s="40"/>
      <c r="K341" s="39"/>
      <c r="L341" s="39"/>
      <c r="M341" s="39"/>
      <c r="N341" s="23"/>
      <c r="O341" s="39"/>
      <c r="P341" s="39"/>
      <c r="Q341" s="39"/>
      <c r="R341" s="39"/>
    </row>
    <row r="342" spans="1:18" s="2" customFormat="1" ht="14.4">
      <c r="A342" s="20">
        <f t="shared" si="23"/>
        <v>310</v>
      </c>
      <c r="B342" s="17" t="s">
        <v>587</v>
      </c>
      <c r="C342" s="17" t="s">
        <v>539</v>
      </c>
      <c r="D342" s="20" t="s">
        <v>8</v>
      </c>
      <c r="E342" s="20" t="s">
        <v>9</v>
      </c>
      <c r="F342" s="18">
        <v>1</v>
      </c>
      <c r="G342" s="19">
        <f>8.75</f>
        <v>8.75</v>
      </c>
      <c r="H342" s="32">
        <f>165.8*1.05</f>
        <v>174.09000000000003</v>
      </c>
      <c r="I342" s="25">
        <f t="shared" si="22"/>
        <v>1523.2875000000004</v>
      </c>
      <c r="J342" s="40"/>
      <c r="K342" s="39"/>
      <c r="L342" s="39"/>
      <c r="M342" s="39"/>
      <c r="N342" s="23"/>
      <c r="O342" s="39"/>
      <c r="P342" s="39"/>
      <c r="Q342" s="39"/>
      <c r="R342" s="39"/>
    </row>
    <row r="343" spans="1:18" s="2" customFormat="1" ht="26.4">
      <c r="A343" s="20">
        <f t="shared" si="23"/>
        <v>311</v>
      </c>
      <c r="B343" s="17" t="s">
        <v>588</v>
      </c>
      <c r="C343" s="17" t="s">
        <v>589</v>
      </c>
      <c r="D343" s="20" t="s">
        <v>8</v>
      </c>
      <c r="E343" s="20" t="s">
        <v>9</v>
      </c>
      <c r="F343" s="18">
        <v>1</v>
      </c>
      <c r="G343" s="19">
        <f>1.633198857*40.19</f>
        <v>65.638262062829995</v>
      </c>
      <c r="H343" s="32">
        <v>165.8</v>
      </c>
      <c r="I343" s="25">
        <f t="shared" si="22"/>
        <v>10882.823850017214</v>
      </c>
      <c r="J343" s="40"/>
      <c r="K343" s="39"/>
      <c r="L343" s="39"/>
      <c r="M343" s="39"/>
      <c r="N343" s="23"/>
      <c r="O343" s="39"/>
      <c r="P343" s="39"/>
      <c r="Q343" s="39"/>
      <c r="R343" s="39"/>
    </row>
    <row r="344" spans="1:18" s="2" customFormat="1" ht="26.4">
      <c r="A344" s="20">
        <f t="shared" si="23"/>
        <v>312</v>
      </c>
      <c r="B344" s="17" t="s">
        <v>590</v>
      </c>
      <c r="C344" s="17" t="s">
        <v>591</v>
      </c>
      <c r="D344" s="20" t="s">
        <v>17</v>
      </c>
      <c r="E344" s="20" t="s">
        <v>43</v>
      </c>
      <c r="F344" s="18">
        <v>1</v>
      </c>
      <c r="G344" s="19">
        <f>4821.83</f>
        <v>4821.83</v>
      </c>
      <c r="H344" s="32">
        <f>165.8*0.1</f>
        <v>16.580000000000002</v>
      </c>
      <c r="I344" s="25">
        <f t="shared" si="22"/>
        <v>79945.941400000011</v>
      </c>
      <c r="J344" s="40"/>
      <c r="K344" s="39"/>
      <c r="L344" s="39"/>
      <c r="M344" s="39"/>
      <c r="N344" s="23"/>
      <c r="O344" s="39"/>
      <c r="P344" s="39"/>
      <c r="Q344" s="39"/>
      <c r="R344" s="39"/>
    </row>
    <row r="345" spans="1:18" s="2" customFormat="1" ht="26.4">
      <c r="A345" s="20">
        <f t="shared" si="23"/>
        <v>313</v>
      </c>
      <c r="B345" s="17" t="s">
        <v>592</v>
      </c>
      <c r="C345" s="17" t="s">
        <v>593</v>
      </c>
      <c r="D345" s="20" t="s">
        <v>8</v>
      </c>
      <c r="E345" s="20" t="s">
        <v>9</v>
      </c>
      <c r="F345" s="18">
        <v>1</v>
      </c>
      <c r="G345" s="19">
        <f>1.633198857*117.56</f>
        <v>191.99885762892001</v>
      </c>
      <c r="H345" s="32">
        <v>165.8</v>
      </c>
      <c r="I345" s="25">
        <f t="shared" si="22"/>
        <v>31833.410594874938</v>
      </c>
      <c r="J345" s="40"/>
      <c r="K345" s="39"/>
      <c r="L345" s="39"/>
      <c r="M345" s="39"/>
      <c r="N345" s="23"/>
      <c r="O345" s="39"/>
      <c r="P345" s="39"/>
      <c r="Q345" s="39"/>
      <c r="R345" s="39"/>
    </row>
    <row r="346" spans="1:18" s="2" customFormat="1" ht="26.4">
      <c r="A346" s="20">
        <f t="shared" si="23"/>
        <v>314</v>
      </c>
      <c r="B346" s="17" t="s">
        <v>594</v>
      </c>
      <c r="C346" s="17" t="s">
        <v>595</v>
      </c>
      <c r="D346" s="20" t="s">
        <v>8</v>
      </c>
      <c r="E346" s="20" t="s">
        <v>9</v>
      </c>
      <c r="F346" s="18">
        <v>1</v>
      </c>
      <c r="G346" s="19">
        <f>1.633198857*166.06</f>
        <v>271.20900219342002</v>
      </c>
      <c r="H346" s="32">
        <v>165.8</v>
      </c>
      <c r="I346" s="25">
        <f t="shared" si="22"/>
        <v>44966.452563669045</v>
      </c>
      <c r="J346" s="40"/>
      <c r="K346" s="39"/>
      <c r="L346" s="39"/>
      <c r="M346" s="39"/>
      <c r="N346" s="23"/>
      <c r="O346" s="39"/>
      <c r="P346" s="39"/>
      <c r="Q346" s="39"/>
      <c r="R346" s="39"/>
    </row>
    <row r="347" spans="1:18" s="2" customFormat="1" ht="14.4">
      <c r="A347" s="20">
        <f t="shared" si="23"/>
        <v>315</v>
      </c>
      <c r="B347" s="17" t="s">
        <v>320</v>
      </c>
      <c r="C347" s="17" t="s">
        <v>321</v>
      </c>
      <c r="D347" s="20" t="s">
        <v>8</v>
      </c>
      <c r="E347" s="20" t="s">
        <v>9</v>
      </c>
      <c r="F347" s="18">
        <v>1</v>
      </c>
      <c r="G347" s="19">
        <f>1.633198857*19.94</f>
        <v>32.565985208580003</v>
      </c>
      <c r="H347" s="32">
        <v>165.8</v>
      </c>
      <c r="I347" s="25">
        <f t="shared" si="22"/>
        <v>5399.4403475825648</v>
      </c>
      <c r="J347" s="40"/>
      <c r="K347" s="39"/>
      <c r="L347" s="39"/>
      <c r="M347" s="39"/>
      <c r="N347" s="23"/>
      <c r="O347" s="39"/>
      <c r="P347" s="39"/>
      <c r="Q347" s="39"/>
      <c r="R347" s="39"/>
    </row>
    <row r="348" spans="1:18" s="2" customFormat="1" ht="14.4">
      <c r="A348" s="20">
        <f t="shared" si="23"/>
        <v>316</v>
      </c>
      <c r="B348" s="17" t="s">
        <v>596</v>
      </c>
      <c r="C348" s="17" t="s">
        <v>597</v>
      </c>
      <c r="D348" s="20" t="s">
        <v>8</v>
      </c>
      <c r="E348" s="20" t="s">
        <v>9</v>
      </c>
      <c r="F348" s="18">
        <v>1</v>
      </c>
      <c r="G348" s="19">
        <f>1.633198857*114.8</f>
        <v>187.49122878360001</v>
      </c>
      <c r="H348" s="32">
        <v>165.8</v>
      </c>
      <c r="I348" s="25">
        <f t="shared" si="22"/>
        <v>31086.045732320883</v>
      </c>
      <c r="J348" s="40"/>
      <c r="K348" s="39"/>
      <c r="L348" s="39"/>
      <c r="M348" s="39"/>
      <c r="N348" s="23"/>
      <c r="O348" s="39"/>
      <c r="P348" s="39"/>
      <c r="Q348" s="39"/>
      <c r="R348" s="39"/>
    </row>
    <row r="349" spans="1:18" s="2" customFormat="1" ht="14.4">
      <c r="A349" s="20">
        <f t="shared" si="23"/>
        <v>317</v>
      </c>
      <c r="B349" s="17" t="s">
        <v>598</v>
      </c>
      <c r="C349" s="17" t="s">
        <v>599</v>
      </c>
      <c r="D349" s="20" t="s">
        <v>8</v>
      </c>
      <c r="E349" s="20" t="s">
        <v>9</v>
      </c>
      <c r="F349" s="18">
        <v>1</v>
      </c>
      <c r="G349" s="19">
        <f>1.633198857*449.22</f>
        <v>733.66559054154004</v>
      </c>
      <c r="H349" s="32">
        <v>165.8</v>
      </c>
      <c r="I349" s="25">
        <f t="shared" si="22"/>
        <v>121641.75491178734</v>
      </c>
      <c r="J349" s="40"/>
      <c r="K349" s="39"/>
      <c r="L349" s="39"/>
      <c r="M349" s="39"/>
      <c r="N349" s="23"/>
      <c r="O349" s="39"/>
      <c r="P349" s="39"/>
      <c r="Q349" s="39"/>
      <c r="R349" s="39"/>
    </row>
    <row r="350" spans="1:18" s="2" customFormat="1" ht="14.4">
      <c r="A350" s="20">
        <f t="shared" si="23"/>
        <v>318</v>
      </c>
      <c r="B350" s="17" t="s">
        <v>600</v>
      </c>
      <c r="C350" s="17" t="s">
        <v>601</v>
      </c>
      <c r="D350" s="20" t="s">
        <v>8</v>
      </c>
      <c r="E350" s="20" t="s">
        <v>9</v>
      </c>
      <c r="F350" s="18">
        <v>1</v>
      </c>
      <c r="G350" s="19">
        <f>880.37</f>
        <v>880.37</v>
      </c>
      <c r="H350" s="32">
        <f>165.8*1.02</f>
        <v>169.11600000000001</v>
      </c>
      <c r="I350" s="25">
        <f t="shared" si="22"/>
        <v>148884.65292000002</v>
      </c>
      <c r="J350" s="40"/>
      <c r="K350" s="39"/>
      <c r="L350" s="39"/>
      <c r="M350" s="39"/>
      <c r="N350" s="23"/>
      <c r="O350" s="39"/>
      <c r="P350" s="39"/>
      <c r="Q350" s="39"/>
      <c r="R350" s="39"/>
    </row>
    <row r="351" spans="1:18" ht="14.4">
      <c r="A351" s="20"/>
      <c r="B351" s="13" t="s">
        <v>602</v>
      </c>
      <c r="C351" s="14" t="s">
        <v>603</v>
      </c>
      <c r="D351" s="14"/>
      <c r="E351" s="14"/>
      <c r="F351" s="18"/>
      <c r="G351" s="19"/>
      <c r="H351" s="15"/>
      <c r="I351" s="25"/>
      <c r="J351" s="52" t="s">
        <v>604</v>
      </c>
      <c r="K351" s="24">
        <v>397.9</v>
      </c>
      <c r="L351" s="24"/>
      <c r="M351" s="22"/>
      <c r="N351" s="23"/>
      <c r="O351" s="22"/>
      <c r="P351" s="22"/>
      <c r="Q351" s="22"/>
      <c r="R351" s="22"/>
    </row>
    <row r="352" spans="1:18" s="2" customFormat="1" ht="26.4">
      <c r="A352" s="20">
        <f>A350+1</f>
        <v>319</v>
      </c>
      <c r="B352" s="17" t="s">
        <v>422</v>
      </c>
      <c r="C352" s="17" t="s">
        <v>580</v>
      </c>
      <c r="D352" s="20" t="s">
        <v>17</v>
      </c>
      <c r="E352" s="20" t="s">
        <v>43</v>
      </c>
      <c r="F352" s="18">
        <v>1</v>
      </c>
      <c r="G352" s="19">
        <f>1.633198857*41.28</f>
        <v>67.418448816960009</v>
      </c>
      <c r="H352" s="32">
        <f>397.9*0.1</f>
        <v>39.79</v>
      </c>
      <c r="I352" s="25">
        <f t="shared" si="22"/>
        <v>2682.5800784268386</v>
      </c>
      <c r="J352" s="40"/>
      <c r="K352" s="39"/>
      <c r="L352" s="39"/>
      <c r="M352" s="39"/>
      <c r="N352" s="23"/>
      <c r="O352" s="39"/>
      <c r="P352" s="39"/>
      <c r="Q352" s="39"/>
      <c r="R352" s="39"/>
    </row>
    <row r="353" spans="1:18" s="2" customFormat="1" ht="26.4">
      <c r="A353" s="20">
        <f t="shared" ref="A353:A369" si="24">A352+1</f>
        <v>320</v>
      </c>
      <c r="B353" s="17" t="s">
        <v>424</v>
      </c>
      <c r="C353" s="17" t="s">
        <v>425</v>
      </c>
      <c r="D353" s="20" t="s">
        <v>17</v>
      </c>
      <c r="E353" s="20" t="s">
        <v>43</v>
      </c>
      <c r="F353" s="18">
        <v>1</v>
      </c>
      <c r="G353" s="19">
        <f>1.633198857*663.59</f>
        <v>1083.7744295166301</v>
      </c>
      <c r="H353" s="32">
        <f>397.9*0.1</f>
        <v>39.79</v>
      </c>
      <c r="I353" s="25">
        <f t="shared" si="22"/>
        <v>43123.384550466712</v>
      </c>
      <c r="J353" s="40"/>
      <c r="K353" s="39"/>
      <c r="L353" s="39"/>
      <c r="M353" s="39"/>
      <c r="N353" s="23"/>
      <c r="O353" s="39"/>
      <c r="P353" s="39"/>
      <c r="Q353" s="39"/>
      <c r="R353" s="39"/>
    </row>
    <row r="354" spans="1:18" s="2" customFormat="1" ht="14.4">
      <c r="A354" s="20">
        <f t="shared" si="24"/>
        <v>321</v>
      </c>
      <c r="B354" s="17" t="s">
        <v>177</v>
      </c>
      <c r="C354" s="17" t="s">
        <v>58</v>
      </c>
      <c r="D354" s="20" t="s">
        <v>17</v>
      </c>
      <c r="E354" s="20" t="s">
        <v>43</v>
      </c>
      <c r="F354" s="18">
        <v>1</v>
      </c>
      <c r="G354" s="19">
        <f>714</f>
        <v>714</v>
      </c>
      <c r="H354" s="32">
        <f>397.9*0.1</f>
        <v>39.79</v>
      </c>
      <c r="I354" s="25">
        <f t="shared" si="22"/>
        <v>28410.059999999998</v>
      </c>
      <c r="J354" s="40"/>
      <c r="K354" s="39"/>
      <c r="L354" s="39"/>
      <c r="M354" s="39"/>
      <c r="N354" s="23"/>
      <c r="O354" s="39"/>
      <c r="P354" s="39"/>
      <c r="Q354" s="39"/>
      <c r="R354" s="39"/>
    </row>
    <row r="355" spans="1:18" s="2" customFormat="1" ht="26.4">
      <c r="A355" s="20">
        <f t="shared" si="24"/>
        <v>322</v>
      </c>
      <c r="B355" s="17" t="s">
        <v>581</v>
      </c>
      <c r="C355" s="17" t="s">
        <v>582</v>
      </c>
      <c r="D355" s="20" t="s">
        <v>8</v>
      </c>
      <c r="E355" s="20" t="s">
        <v>9</v>
      </c>
      <c r="F355" s="18">
        <v>1</v>
      </c>
      <c r="G355" s="19">
        <f>1.633198857*117.49</f>
        <v>191.88453370892998</v>
      </c>
      <c r="H355" s="32">
        <v>397.9</v>
      </c>
      <c r="I355" s="25">
        <f t="shared" si="22"/>
        <v>76350.855962783229</v>
      </c>
      <c r="J355" s="40"/>
      <c r="K355" s="39"/>
      <c r="L355" s="39"/>
      <c r="M355" s="39"/>
      <c r="N355" s="23"/>
      <c r="O355" s="39"/>
      <c r="P355" s="39"/>
      <c r="Q355" s="39"/>
      <c r="R355" s="39"/>
    </row>
    <row r="356" spans="1:18" s="2" customFormat="1" ht="26.4">
      <c r="A356" s="20">
        <f t="shared" si="24"/>
        <v>323</v>
      </c>
      <c r="B356" s="17" t="s">
        <v>583</v>
      </c>
      <c r="C356" s="17" t="s">
        <v>584</v>
      </c>
      <c r="D356" s="20" t="s">
        <v>8</v>
      </c>
      <c r="E356" s="20" t="s">
        <v>9</v>
      </c>
      <c r="F356" s="18">
        <v>1</v>
      </c>
      <c r="G356" s="19">
        <f>1.633198857*86.72</f>
        <v>141.63100487904001</v>
      </c>
      <c r="H356" s="32">
        <v>397.9</v>
      </c>
      <c r="I356" s="25">
        <f t="shared" si="22"/>
        <v>56354.976841370015</v>
      </c>
      <c r="J356" s="40"/>
      <c r="K356" s="39"/>
      <c r="L356" s="39"/>
      <c r="M356" s="39"/>
      <c r="N356" s="23"/>
      <c r="O356" s="39"/>
      <c r="P356" s="39"/>
      <c r="Q356" s="39"/>
      <c r="R356" s="39"/>
    </row>
    <row r="357" spans="1:18" s="2" customFormat="1" ht="26.4">
      <c r="A357" s="20">
        <f t="shared" si="24"/>
        <v>324</v>
      </c>
      <c r="B357" s="17" t="s">
        <v>585</v>
      </c>
      <c r="C357" s="17" t="s">
        <v>586</v>
      </c>
      <c r="D357" s="20" t="s">
        <v>8</v>
      </c>
      <c r="E357" s="20" t="s">
        <v>9</v>
      </c>
      <c r="F357" s="18">
        <v>1</v>
      </c>
      <c r="G357" s="19">
        <f>1.633198857*16.04</f>
        <v>26.196509666279997</v>
      </c>
      <c r="H357" s="32">
        <v>397.9</v>
      </c>
      <c r="I357" s="25">
        <f t="shared" si="22"/>
        <v>10423.59119621281</v>
      </c>
      <c r="J357" s="40"/>
      <c r="K357" s="39"/>
      <c r="L357" s="39"/>
      <c r="M357" s="39"/>
      <c r="N357" s="23"/>
      <c r="O357" s="39"/>
      <c r="P357" s="39"/>
      <c r="Q357" s="39"/>
      <c r="R357" s="39"/>
    </row>
    <row r="358" spans="1:18" s="2" customFormat="1" ht="14.4">
      <c r="A358" s="20">
        <f t="shared" si="24"/>
        <v>325</v>
      </c>
      <c r="B358" s="17" t="s">
        <v>587</v>
      </c>
      <c r="C358" s="17" t="s">
        <v>605</v>
      </c>
      <c r="D358" s="20" t="s">
        <v>8</v>
      </c>
      <c r="E358" s="20" t="s">
        <v>9</v>
      </c>
      <c r="F358" s="18">
        <v>1</v>
      </c>
      <c r="G358" s="19">
        <f>8.76</f>
        <v>8.76</v>
      </c>
      <c r="H358" s="32">
        <f>397.9*1.02</f>
        <v>405.858</v>
      </c>
      <c r="I358" s="25">
        <f t="shared" si="22"/>
        <v>3555.3160800000001</v>
      </c>
      <c r="J358" s="40"/>
      <c r="K358" s="39"/>
      <c r="L358" s="39"/>
      <c r="M358" s="39"/>
      <c r="N358" s="23"/>
      <c r="O358" s="39"/>
      <c r="P358" s="39"/>
      <c r="Q358" s="39"/>
      <c r="R358" s="39"/>
    </row>
    <row r="359" spans="1:18" s="2" customFormat="1" ht="26.4">
      <c r="A359" s="20">
        <f t="shared" si="24"/>
        <v>326</v>
      </c>
      <c r="B359" s="17" t="s">
        <v>588</v>
      </c>
      <c r="C359" s="17" t="s">
        <v>589</v>
      </c>
      <c r="D359" s="20" t="s">
        <v>8</v>
      </c>
      <c r="E359" s="20" t="s">
        <v>9</v>
      </c>
      <c r="F359" s="18">
        <v>1</v>
      </c>
      <c r="G359" s="19">
        <f>1.633198857*40.2</f>
        <v>65.654594051400011</v>
      </c>
      <c r="H359" s="32">
        <v>397.9</v>
      </c>
      <c r="I359" s="25">
        <f t="shared" si="22"/>
        <v>26123.962973052065</v>
      </c>
      <c r="J359" s="40"/>
      <c r="K359" s="39"/>
      <c r="L359" s="39"/>
      <c r="M359" s="39"/>
      <c r="N359" s="23"/>
      <c r="O359" s="39"/>
      <c r="P359" s="39"/>
      <c r="Q359" s="39"/>
      <c r="R359" s="39"/>
    </row>
    <row r="360" spans="1:18" s="2" customFormat="1" ht="26.4">
      <c r="A360" s="20">
        <f t="shared" si="24"/>
        <v>327</v>
      </c>
      <c r="B360" s="17" t="s">
        <v>590</v>
      </c>
      <c r="C360" s="17" t="s">
        <v>591</v>
      </c>
      <c r="D360" s="20" t="s">
        <v>17</v>
      </c>
      <c r="E360" s="20" t="s">
        <v>43</v>
      </c>
      <c r="F360" s="18">
        <v>1</v>
      </c>
      <c r="G360" s="19">
        <f>4821.83</f>
        <v>4821.83</v>
      </c>
      <c r="H360" s="32">
        <f>397.9*0.1</f>
        <v>39.79</v>
      </c>
      <c r="I360" s="25">
        <f t="shared" si="22"/>
        <v>191860.61569999999</v>
      </c>
      <c r="J360" s="40"/>
      <c r="K360" s="39"/>
      <c r="L360" s="39"/>
      <c r="M360" s="39"/>
      <c r="N360" s="23"/>
      <c r="O360" s="39"/>
      <c r="P360" s="39"/>
      <c r="Q360" s="39"/>
      <c r="R360" s="39"/>
    </row>
    <row r="361" spans="1:18" s="2" customFormat="1" ht="14.4">
      <c r="A361" s="20">
        <f t="shared" si="24"/>
        <v>328</v>
      </c>
      <c r="B361" s="17" t="s">
        <v>606</v>
      </c>
      <c r="C361" s="17" t="s">
        <v>607</v>
      </c>
      <c r="D361" s="20" t="s">
        <v>8</v>
      </c>
      <c r="E361" s="20" t="s">
        <v>9</v>
      </c>
      <c r="F361" s="18">
        <v>1</v>
      </c>
      <c r="G361" s="19">
        <f>1.633198857*117.57</f>
        <v>192.01518961748999</v>
      </c>
      <c r="H361" s="32">
        <v>397.9</v>
      </c>
      <c r="I361" s="25">
        <f t="shared" si="22"/>
        <v>76402.843948799258</v>
      </c>
      <c r="J361" s="40"/>
      <c r="K361" s="39"/>
      <c r="L361" s="39"/>
      <c r="M361" s="39"/>
      <c r="N361" s="23"/>
      <c r="O361" s="39"/>
      <c r="P361" s="39"/>
      <c r="Q361" s="39"/>
      <c r="R361" s="39"/>
    </row>
    <row r="362" spans="1:18" s="2" customFormat="1" ht="26.4">
      <c r="A362" s="20">
        <f t="shared" si="24"/>
        <v>329</v>
      </c>
      <c r="B362" s="17" t="s">
        <v>594</v>
      </c>
      <c r="C362" s="17" t="s">
        <v>595</v>
      </c>
      <c r="D362" s="20" t="s">
        <v>8</v>
      </c>
      <c r="E362" s="20" t="s">
        <v>9</v>
      </c>
      <c r="F362" s="18">
        <v>1</v>
      </c>
      <c r="G362" s="19">
        <f>1.633198857*166.07</f>
        <v>271.22533418198998</v>
      </c>
      <c r="H362" s="32">
        <v>397.9</v>
      </c>
      <c r="I362" s="25">
        <f t="shared" si="22"/>
        <v>107920.5604710138</v>
      </c>
      <c r="J362" s="40"/>
      <c r="K362" s="39"/>
      <c r="L362" s="39"/>
      <c r="M362" s="39"/>
      <c r="N362" s="23"/>
      <c r="O362" s="39"/>
      <c r="P362" s="39"/>
      <c r="Q362" s="39"/>
      <c r="R362" s="39"/>
    </row>
    <row r="363" spans="1:18" s="2" customFormat="1" ht="14.4">
      <c r="A363" s="20">
        <f t="shared" si="24"/>
        <v>330</v>
      </c>
      <c r="B363" s="17" t="s">
        <v>320</v>
      </c>
      <c r="C363" s="17" t="s">
        <v>321</v>
      </c>
      <c r="D363" s="20" t="s">
        <v>8</v>
      </c>
      <c r="E363" s="20" t="s">
        <v>9</v>
      </c>
      <c r="F363" s="18">
        <v>1</v>
      </c>
      <c r="G363" s="19">
        <f>1.633198857*19.95</f>
        <v>32.582317197149997</v>
      </c>
      <c r="H363" s="32">
        <v>397.9</v>
      </c>
      <c r="I363" s="25">
        <f t="shared" si="22"/>
        <v>12964.504012745983</v>
      </c>
      <c r="J363" s="40"/>
      <c r="K363" s="39"/>
      <c r="L363" s="39"/>
      <c r="M363" s="39"/>
      <c r="N363" s="23"/>
      <c r="O363" s="39"/>
      <c r="P363" s="39"/>
      <c r="Q363" s="39"/>
      <c r="R363" s="39"/>
    </row>
    <row r="364" spans="1:18" s="2" customFormat="1" ht="26.4">
      <c r="A364" s="20">
        <f t="shared" si="24"/>
        <v>331</v>
      </c>
      <c r="B364" s="17" t="s">
        <v>608</v>
      </c>
      <c r="C364" s="17" t="s">
        <v>609</v>
      </c>
      <c r="D364" s="20" t="s">
        <v>8</v>
      </c>
      <c r="E364" s="20" t="s">
        <v>9</v>
      </c>
      <c r="F364" s="18">
        <v>1</v>
      </c>
      <c r="G364" s="19">
        <f>1.633198857*86</f>
        <v>140.45510170200001</v>
      </c>
      <c r="H364" s="32">
        <v>397.9</v>
      </c>
      <c r="I364" s="25">
        <f t="shared" si="22"/>
        <v>55887.084967225797</v>
      </c>
      <c r="J364" s="40"/>
      <c r="K364" s="39"/>
      <c r="L364" s="39"/>
      <c r="M364" s="39"/>
      <c r="N364" s="23"/>
      <c r="O364" s="39"/>
      <c r="P364" s="39"/>
      <c r="Q364" s="39"/>
      <c r="R364" s="39"/>
    </row>
    <row r="365" spans="1:18" s="2" customFormat="1" ht="26.4">
      <c r="A365" s="20">
        <f t="shared" si="24"/>
        <v>332</v>
      </c>
      <c r="B365" s="17" t="s">
        <v>610</v>
      </c>
      <c r="C365" s="17" t="s">
        <v>611</v>
      </c>
      <c r="D365" s="9" t="s">
        <v>52</v>
      </c>
      <c r="E365" s="20" t="s">
        <v>53</v>
      </c>
      <c r="F365" s="18">
        <v>1</v>
      </c>
      <c r="G365" s="19">
        <f>127.19</f>
        <v>127.19</v>
      </c>
      <c r="H365" s="32">
        <v>80.3</v>
      </c>
      <c r="I365" s="25">
        <f t="shared" si="22"/>
        <v>10213.357</v>
      </c>
      <c r="J365" s="40"/>
      <c r="K365" s="39"/>
      <c r="L365" s="39"/>
      <c r="M365" s="39"/>
      <c r="N365" s="23"/>
      <c r="O365" s="39"/>
      <c r="P365" s="39"/>
      <c r="Q365" s="39"/>
      <c r="R365" s="39"/>
    </row>
    <row r="366" spans="1:18" s="2" customFormat="1" ht="26.4">
      <c r="A366" s="20">
        <f t="shared" si="24"/>
        <v>333</v>
      </c>
      <c r="B366" s="17" t="s">
        <v>612</v>
      </c>
      <c r="C366" s="17" t="s">
        <v>613</v>
      </c>
      <c r="D366" s="9" t="s">
        <v>44</v>
      </c>
      <c r="E366" s="20" t="s">
        <v>45</v>
      </c>
      <c r="F366" s="18">
        <v>1</v>
      </c>
      <c r="G366" s="19">
        <f>50.05</f>
        <v>50.05</v>
      </c>
      <c r="H366" s="32">
        <v>36.9</v>
      </c>
      <c r="I366" s="25">
        <f t="shared" si="22"/>
        <v>1846.8449999999998</v>
      </c>
      <c r="J366" s="40"/>
      <c r="K366" s="39"/>
      <c r="L366" s="39"/>
      <c r="M366" s="39"/>
      <c r="N366" s="23"/>
      <c r="O366" s="39"/>
      <c r="P366" s="39"/>
      <c r="Q366" s="39"/>
      <c r="R366" s="39"/>
    </row>
    <row r="367" spans="1:18" s="2" customFormat="1" ht="26.4">
      <c r="A367" s="20">
        <f t="shared" si="24"/>
        <v>334</v>
      </c>
      <c r="B367" s="17" t="s">
        <v>614</v>
      </c>
      <c r="C367" s="17" t="s">
        <v>615</v>
      </c>
      <c r="D367" s="9" t="s">
        <v>44</v>
      </c>
      <c r="E367" s="20" t="s">
        <v>45</v>
      </c>
      <c r="F367" s="18">
        <v>1</v>
      </c>
      <c r="G367" s="19">
        <f>26.54</f>
        <v>26.54</v>
      </c>
      <c r="H367" s="32">
        <v>3800</v>
      </c>
      <c r="I367" s="25">
        <f t="shared" si="22"/>
        <v>100852</v>
      </c>
      <c r="J367" s="40"/>
      <c r="K367" s="39"/>
      <c r="L367" s="39"/>
      <c r="M367" s="39"/>
      <c r="N367" s="23"/>
      <c r="O367" s="39"/>
      <c r="P367" s="39"/>
      <c r="Q367" s="39"/>
      <c r="R367" s="39"/>
    </row>
    <row r="368" spans="1:18" s="2" customFormat="1" ht="39.6">
      <c r="A368" s="20">
        <f t="shared" si="24"/>
        <v>335</v>
      </c>
      <c r="B368" s="17" t="s">
        <v>616</v>
      </c>
      <c r="C368" s="17" t="s">
        <v>617</v>
      </c>
      <c r="D368" s="20" t="s">
        <v>8</v>
      </c>
      <c r="E368" s="20" t="s">
        <v>9</v>
      </c>
      <c r="F368" s="18">
        <v>1</v>
      </c>
      <c r="G368" s="19">
        <f>1.633198857*336.16</f>
        <v>549.01612776912009</v>
      </c>
      <c r="H368" s="32">
        <v>397.9</v>
      </c>
      <c r="I368" s="25">
        <f t="shared" si="22"/>
        <v>218453.51723933287</v>
      </c>
      <c r="J368" s="40"/>
      <c r="K368" s="39"/>
      <c r="L368" s="39"/>
      <c r="M368" s="39"/>
      <c r="N368" s="23"/>
      <c r="O368" s="39"/>
      <c r="P368" s="39"/>
      <c r="Q368" s="39"/>
      <c r="R368" s="39"/>
    </row>
    <row r="369" spans="1:18" s="2" customFormat="1" ht="26.4">
      <c r="A369" s="20">
        <f t="shared" si="24"/>
        <v>336</v>
      </c>
      <c r="B369" s="17" t="s">
        <v>618</v>
      </c>
      <c r="C369" s="17" t="s">
        <v>619</v>
      </c>
      <c r="D369" s="20" t="s">
        <v>8</v>
      </c>
      <c r="E369" s="20" t="s">
        <v>9</v>
      </c>
      <c r="F369" s="18">
        <v>1</v>
      </c>
      <c r="G369" s="19">
        <f>547.29</f>
        <v>547.29</v>
      </c>
      <c r="H369" s="32">
        <f>397.9*1.02</f>
        <v>405.858</v>
      </c>
      <c r="I369" s="25">
        <f t="shared" si="22"/>
        <v>222122.02481999999</v>
      </c>
      <c r="J369" s="40"/>
      <c r="K369" s="39"/>
      <c r="L369" s="39"/>
      <c r="M369" s="39"/>
      <c r="N369" s="23"/>
      <c r="O369" s="39"/>
      <c r="P369" s="39"/>
      <c r="Q369" s="39"/>
      <c r="R369" s="39"/>
    </row>
    <row r="370" spans="1:18" ht="14.4">
      <c r="A370" s="20"/>
      <c r="B370" s="13" t="s">
        <v>620</v>
      </c>
      <c r="C370" s="14" t="s">
        <v>621</v>
      </c>
      <c r="D370" s="14"/>
      <c r="E370" s="14"/>
      <c r="F370" s="18"/>
      <c r="G370" s="19"/>
      <c r="H370" s="15"/>
      <c r="I370" s="25"/>
      <c r="J370" s="53" t="s">
        <v>622</v>
      </c>
      <c r="K370" s="27">
        <v>151.71</v>
      </c>
      <c r="L370" s="27"/>
      <c r="M370" s="22"/>
      <c r="N370" s="23"/>
      <c r="O370" s="22"/>
      <c r="P370" s="22"/>
      <c r="Q370" s="22"/>
      <c r="R370" s="22"/>
    </row>
    <row r="371" spans="1:18" s="2" customFormat="1" ht="26.4">
      <c r="A371" s="20">
        <f>A369+1</f>
        <v>337</v>
      </c>
      <c r="B371" s="17" t="s">
        <v>422</v>
      </c>
      <c r="C371" s="17" t="s">
        <v>580</v>
      </c>
      <c r="D371" s="20" t="s">
        <v>17</v>
      </c>
      <c r="E371" s="20" t="s">
        <v>43</v>
      </c>
      <c r="F371" s="18">
        <v>1</v>
      </c>
      <c r="G371" s="19">
        <f>1.633198857*41.28</f>
        <v>67.418448816960009</v>
      </c>
      <c r="H371" s="32">
        <f>151.71*0.1</f>
        <v>15.171000000000001</v>
      </c>
      <c r="I371" s="25">
        <f t="shared" si="22"/>
        <v>1022.8052870021004</v>
      </c>
      <c r="J371" s="40"/>
      <c r="K371" s="39"/>
      <c r="L371" s="39"/>
      <c r="M371" s="39"/>
      <c r="N371" s="23"/>
      <c r="O371" s="39"/>
      <c r="P371" s="39"/>
      <c r="Q371" s="39"/>
      <c r="R371" s="39"/>
    </row>
    <row r="372" spans="1:18" s="2" customFormat="1" ht="26.4">
      <c r="A372" s="20">
        <f t="shared" ref="A372:A388" si="25">A371+1</f>
        <v>338</v>
      </c>
      <c r="B372" s="17" t="s">
        <v>424</v>
      </c>
      <c r="C372" s="17" t="s">
        <v>425</v>
      </c>
      <c r="D372" s="20" t="s">
        <v>17</v>
      </c>
      <c r="E372" s="20" t="s">
        <v>43</v>
      </c>
      <c r="F372" s="18">
        <v>1</v>
      </c>
      <c r="G372" s="19">
        <f>1.633198857*663.59</f>
        <v>1083.7744295166301</v>
      </c>
      <c r="H372" s="32">
        <f>151.71*0.1</f>
        <v>15.171000000000001</v>
      </c>
      <c r="I372" s="25">
        <f t="shared" si="22"/>
        <v>16441.941870196795</v>
      </c>
      <c r="J372" s="40"/>
      <c r="K372" s="39"/>
      <c r="L372" s="39"/>
      <c r="M372" s="39"/>
      <c r="N372" s="23"/>
      <c r="O372" s="39"/>
      <c r="P372" s="39"/>
      <c r="Q372" s="39"/>
      <c r="R372" s="39"/>
    </row>
    <row r="373" spans="1:18" s="2" customFormat="1" ht="14.4">
      <c r="A373" s="20">
        <f t="shared" si="25"/>
        <v>339</v>
      </c>
      <c r="B373" s="17" t="s">
        <v>177</v>
      </c>
      <c r="C373" s="17" t="s">
        <v>58</v>
      </c>
      <c r="D373" s="20" t="s">
        <v>17</v>
      </c>
      <c r="E373" s="20" t="s">
        <v>43</v>
      </c>
      <c r="F373" s="18">
        <v>1</v>
      </c>
      <c r="G373" s="19">
        <f>714</f>
        <v>714</v>
      </c>
      <c r="H373" s="32">
        <f>151.71*0.1</f>
        <v>15.171000000000001</v>
      </c>
      <c r="I373" s="25">
        <f t="shared" si="22"/>
        <v>10832.094000000001</v>
      </c>
      <c r="J373" s="40"/>
      <c r="K373" s="39"/>
      <c r="L373" s="39"/>
      <c r="M373" s="39"/>
      <c r="N373" s="23"/>
      <c r="O373" s="39"/>
      <c r="P373" s="39"/>
      <c r="Q373" s="39"/>
      <c r="R373" s="39"/>
    </row>
    <row r="374" spans="1:18" s="2" customFormat="1" ht="26.4">
      <c r="A374" s="20">
        <f t="shared" si="25"/>
        <v>340</v>
      </c>
      <c r="B374" s="17" t="s">
        <v>581</v>
      </c>
      <c r="C374" s="17" t="s">
        <v>582</v>
      </c>
      <c r="D374" s="20" t="s">
        <v>8</v>
      </c>
      <c r="E374" s="20" t="s">
        <v>9</v>
      </c>
      <c r="F374" s="18">
        <v>1</v>
      </c>
      <c r="G374" s="19">
        <f>1.633198857*117.49</f>
        <v>191.88453370892998</v>
      </c>
      <c r="H374" s="32">
        <v>151.71</v>
      </c>
      <c r="I374" s="25">
        <f t="shared" si="22"/>
        <v>29110.802608981769</v>
      </c>
      <c r="J374" s="40"/>
      <c r="K374" s="39"/>
      <c r="L374" s="39"/>
      <c r="M374" s="39"/>
      <c r="N374" s="23"/>
      <c r="O374" s="39"/>
      <c r="P374" s="39"/>
      <c r="Q374" s="39"/>
      <c r="R374" s="39"/>
    </row>
    <row r="375" spans="1:18" s="2" customFormat="1" ht="26.4">
      <c r="A375" s="20">
        <f t="shared" si="25"/>
        <v>341</v>
      </c>
      <c r="B375" s="17" t="s">
        <v>583</v>
      </c>
      <c r="C375" s="17" t="s">
        <v>584</v>
      </c>
      <c r="D375" s="20" t="s">
        <v>8</v>
      </c>
      <c r="E375" s="20" t="s">
        <v>9</v>
      </c>
      <c r="F375" s="18">
        <v>1</v>
      </c>
      <c r="G375" s="19">
        <f>1.633198857*86.71</f>
        <v>141.61467289046999</v>
      </c>
      <c r="H375" s="32">
        <v>151.71</v>
      </c>
      <c r="I375" s="25">
        <f t="shared" si="22"/>
        <v>21484.362024213202</v>
      </c>
      <c r="J375" s="40"/>
      <c r="K375" s="39"/>
      <c r="L375" s="39"/>
      <c r="M375" s="39"/>
      <c r="N375" s="23"/>
      <c r="O375" s="39"/>
      <c r="P375" s="39"/>
      <c r="Q375" s="39"/>
      <c r="R375" s="39"/>
    </row>
    <row r="376" spans="1:18" s="2" customFormat="1" ht="26.4">
      <c r="A376" s="20">
        <f t="shared" si="25"/>
        <v>342</v>
      </c>
      <c r="B376" s="17" t="s">
        <v>585</v>
      </c>
      <c r="C376" s="17" t="s">
        <v>586</v>
      </c>
      <c r="D376" s="20" t="s">
        <v>8</v>
      </c>
      <c r="E376" s="20" t="s">
        <v>9</v>
      </c>
      <c r="F376" s="18">
        <v>1</v>
      </c>
      <c r="G376" s="19">
        <f>1.633198857*16.04</f>
        <v>26.196509666279997</v>
      </c>
      <c r="H376" s="32">
        <v>151.71</v>
      </c>
      <c r="I376" s="25">
        <f t="shared" si="22"/>
        <v>3974.2724814713388</v>
      </c>
      <c r="J376" s="40"/>
      <c r="K376" s="39"/>
      <c r="L376" s="39"/>
      <c r="M376" s="39"/>
      <c r="N376" s="23"/>
      <c r="O376" s="39"/>
      <c r="P376" s="39"/>
      <c r="Q376" s="39"/>
      <c r="R376" s="39"/>
    </row>
    <row r="377" spans="1:18" s="2" customFormat="1" ht="14.4">
      <c r="A377" s="20">
        <f t="shared" si="25"/>
        <v>343</v>
      </c>
      <c r="B377" s="17" t="s">
        <v>538</v>
      </c>
      <c r="C377" s="17" t="s">
        <v>539</v>
      </c>
      <c r="D377" s="20" t="s">
        <v>8</v>
      </c>
      <c r="E377" s="20" t="s">
        <v>9</v>
      </c>
      <c r="F377" s="18">
        <v>1</v>
      </c>
      <c r="G377" s="19">
        <f>8.75</f>
        <v>8.75</v>
      </c>
      <c r="H377" s="32">
        <f>151.71*1.05</f>
        <v>159.2955</v>
      </c>
      <c r="I377" s="25">
        <f t="shared" si="22"/>
        <v>1393.8356249999999</v>
      </c>
      <c r="J377" s="40"/>
      <c r="K377" s="39"/>
      <c r="L377" s="39"/>
      <c r="M377" s="39"/>
      <c r="N377" s="23"/>
      <c r="O377" s="39"/>
      <c r="P377" s="39"/>
      <c r="Q377" s="39"/>
      <c r="R377" s="39"/>
    </row>
    <row r="378" spans="1:18" s="2" customFormat="1" ht="26.4">
      <c r="A378" s="20">
        <f t="shared" si="25"/>
        <v>344</v>
      </c>
      <c r="B378" s="17" t="s">
        <v>588</v>
      </c>
      <c r="C378" s="17" t="s">
        <v>589</v>
      </c>
      <c r="D378" s="20" t="s">
        <v>8</v>
      </c>
      <c r="E378" s="20" t="s">
        <v>9</v>
      </c>
      <c r="F378" s="18">
        <v>1</v>
      </c>
      <c r="G378" s="19">
        <f>1.633198857*40.2</f>
        <v>65.654594051400011</v>
      </c>
      <c r="H378" s="32">
        <v>151.71</v>
      </c>
      <c r="I378" s="25">
        <f t="shared" si="22"/>
        <v>9960.458463537896</v>
      </c>
      <c r="J378" s="40"/>
      <c r="K378" s="39"/>
      <c r="L378" s="39"/>
      <c r="M378" s="39"/>
      <c r="N378" s="23"/>
      <c r="O378" s="39"/>
      <c r="P378" s="39"/>
      <c r="Q378" s="39"/>
      <c r="R378" s="39"/>
    </row>
    <row r="379" spans="1:18" s="2" customFormat="1" ht="26.4">
      <c r="A379" s="20">
        <f t="shared" si="25"/>
        <v>345</v>
      </c>
      <c r="B379" s="17" t="s">
        <v>590</v>
      </c>
      <c r="C379" s="17" t="s">
        <v>591</v>
      </c>
      <c r="D379" s="20" t="s">
        <v>17</v>
      </c>
      <c r="E379" s="20" t="s">
        <v>43</v>
      </c>
      <c r="F379" s="18">
        <v>1</v>
      </c>
      <c r="G379" s="19">
        <f>4821.83</f>
        <v>4821.83</v>
      </c>
      <c r="H379" s="32">
        <f>151.71*0.1</f>
        <v>15.171000000000001</v>
      </c>
      <c r="I379" s="25">
        <f t="shared" si="22"/>
        <v>73151.982929999998</v>
      </c>
      <c r="J379" s="40"/>
      <c r="K379" s="39"/>
      <c r="L379" s="39"/>
      <c r="M379" s="39"/>
      <c r="N379" s="23"/>
      <c r="O379" s="39"/>
      <c r="P379" s="39"/>
      <c r="Q379" s="39"/>
      <c r="R379" s="39"/>
    </row>
    <row r="380" spans="1:18" s="2" customFormat="1" ht="14.4">
      <c r="A380" s="20">
        <f t="shared" si="25"/>
        <v>346</v>
      </c>
      <c r="B380" s="17" t="s">
        <v>592</v>
      </c>
      <c r="C380" s="17" t="s">
        <v>607</v>
      </c>
      <c r="D380" s="20" t="s">
        <v>8</v>
      </c>
      <c r="E380" s="20" t="s">
        <v>9</v>
      </c>
      <c r="F380" s="18">
        <v>1</v>
      </c>
      <c r="G380" s="19">
        <f>1.633198857*67.62</f>
        <v>110.43690671034001</v>
      </c>
      <c r="H380" s="32">
        <v>151.71</v>
      </c>
      <c r="I380" s="25">
        <f t="shared" si="22"/>
        <v>16754.383117025685</v>
      </c>
      <c r="J380" s="40"/>
      <c r="K380" s="39"/>
      <c r="L380" s="39"/>
      <c r="M380" s="39"/>
      <c r="N380" s="23"/>
      <c r="O380" s="39"/>
      <c r="P380" s="39"/>
      <c r="Q380" s="39"/>
      <c r="R380" s="39"/>
    </row>
    <row r="381" spans="1:18" s="2" customFormat="1" ht="26.4">
      <c r="A381" s="20">
        <f t="shared" si="25"/>
        <v>347</v>
      </c>
      <c r="B381" s="17" t="s">
        <v>594</v>
      </c>
      <c r="C381" s="17" t="s">
        <v>595</v>
      </c>
      <c r="D381" s="20" t="s">
        <v>8</v>
      </c>
      <c r="E381" s="20" t="s">
        <v>9</v>
      </c>
      <c r="F381" s="18">
        <v>1</v>
      </c>
      <c r="G381" s="19">
        <f>1.633198857*28.74</f>
        <v>46.938135150179995</v>
      </c>
      <c r="H381" s="32">
        <v>151.71</v>
      </c>
      <c r="I381" s="25">
        <f t="shared" si="22"/>
        <v>7120.9844836338079</v>
      </c>
      <c r="J381" s="40"/>
      <c r="K381" s="39"/>
      <c r="L381" s="39"/>
      <c r="M381" s="39"/>
      <c r="N381" s="23"/>
      <c r="O381" s="39"/>
      <c r="P381" s="39"/>
      <c r="Q381" s="39"/>
      <c r="R381" s="39"/>
    </row>
    <row r="382" spans="1:18" s="2" customFormat="1" ht="26.4">
      <c r="A382" s="20">
        <f t="shared" si="25"/>
        <v>348</v>
      </c>
      <c r="B382" s="17" t="s">
        <v>623</v>
      </c>
      <c r="C382" s="17" t="s">
        <v>624</v>
      </c>
      <c r="D382" s="20" t="s">
        <v>17</v>
      </c>
      <c r="E382" s="20" t="s">
        <v>43</v>
      </c>
      <c r="F382" s="18">
        <v>1</v>
      </c>
      <c r="G382" s="19">
        <f>2448</f>
        <v>2448</v>
      </c>
      <c r="H382" s="32">
        <f>151.71*0.075</f>
        <v>11.37825</v>
      </c>
      <c r="I382" s="25">
        <f t="shared" si="22"/>
        <v>27853.955999999998</v>
      </c>
      <c r="J382" s="40"/>
      <c r="K382" s="39"/>
      <c r="L382" s="39"/>
      <c r="M382" s="39"/>
      <c r="N382" s="23"/>
      <c r="O382" s="39"/>
      <c r="P382" s="39"/>
      <c r="Q382" s="39"/>
      <c r="R382" s="39"/>
    </row>
    <row r="383" spans="1:18" s="2" customFormat="1" ht="14.4">
      <c r="A383" s="20">
        <f t="shared" si="25"/>
        <v>349</v>
      </c>
      <c r="B383" s="17" t="s">
        <v>320</v>
      </c>
      <c r="C383" s="17" t="s">
        <v>321</v>
      </c>
      <c r="D383" s="20" t="s">
        <v>8</v>
      </c>
      <c r="E383" s="20" t="s">
        <v>9</v>
      </c>
      <c r="F383" s="18">
        <v>1</v>
      </c>
      <c r="G383" s="19">
        <f>1.633198857*19.95</f>
        <v>32.582317197149997</v>
      </c>
      <c r="H383" s="32">
        <f>151.71*1.02</f>
        <v>154.74420000000001</v>
      </c>
      <c r="I383" s="25">
        <f t="shared" si="22"/>
        <v>5041.9246088192185</v>
      </c>
      <c r="J383" s="40"/>
      <c r="K383" s="39"/>
      <c r="L383" s="39"/>
      <c r="M383" s="39"/>
      <c r="N383" s="23"/>
      <c r="O383" s="39"/>
      <c r="P383" s="39"/>
      <c r="Q383" s="39"/>
      <c r="R383" s="39"/>
    </row>
    <row r="384" spans="1:18" s="2" customFormat="1" ht="26.4">
      <c r="A384" s="20">
        <f t="shared" si="25"/>
        <v>350</v>
      </c>
      <c r="B384" s="17" t="s">
        <v>625</v>
      </c>
      <c r="C384" s="17" t="s">
        <v>626</v>
      </c>
      <c r="D384" s="9" t="s">
        <v>56</v>
      </c>
      <c r="E384" s="20" t="s">
        <v>42</v>
      </c>
      <c r="F384" s="18">
        <v>1</v>
      </c>
      <c r="G384" s="19">
        <f>29299.35</f>
        <v>29299.35</v>
      </c>
      <c r="H384" s="32">
        <v>0.5</v>
      </c>
      <c r="I384" s="25">
        <f t="shared" si="22"/>
        <v>14649.674999999999</v>
      </c>
      <c r="J384" s="40"/>
      <c r="K384" s="39"/>
      <c r="L384" s="39"/>
      <c r="M384" s="39"/>
      <c r="N384" s="23"/>
      <c r="O384" s="39"/>
      <c r="P384" s="39"/>
      <c r="Q384" s="39"/>
      <c r="R384" s="39"/>
    </row>
    <row r="385" spans="1:18" s="2" customFormat="1" ht="14.4">
      <c r="A385" s="20">
        <f t="shared" si="25"/>
        <v>351</v>
      </c>
      <c r="B385" s="17" t="s">
        <v>596</v>
      </c>
      <c r="C385" s="17" t="s">
        <v>597</v>
      </c>
      <c r="D385" s="20" t="s">
        <v>8</v>
      </c>
      <c r="E385" s="20" t="s">
        <v>9</v>
      </c>
      <c r="F385" s="18">
        <v>1</v>
      </c>
      <c r="G385" s="19">
        <f>1.633198857*54.04</f>
        <v>88.258066232280001</v>
      </c>
      <c r="H385" s="32">
        <v>151.71</v>
      </c>
      <c r="I385" s="25">
        <f t="shared" si="22"/>
        <v>13389.631228099199</v>
      </c>
      <c r="J385" s="40"/>
      <c r="K385" s="39"/>
      <c r="L385" s="39"/>
      <c r="M385" s="39"/>
      <c r="N385" s="23"/>
      <c r="O385" s="39"/>
      <c r="P385" s="39"/>
      <c r="Q385" s="39"/>
      <c r="R385" s="39"/>
    </row>
    <row r="386" spans="1:18" s="2" customFormat="1" ht="14.4">
      <c r="A386" s="20">
        <f t="shared" si="25"/>
        <v>352</v>
      </c>
      <c r="B386" s="17" t="s">
        <v>627</v>
      </c>
      <c r="C386" s="17" t="s">
        <v>628</v>
      </c>
      <c r="D386" s="9" t="s">
        <v>52</v>
      </c>
      <c r="E386" s="20" t="s">
        <v>53</v>
      </c>
      <c r="F386" s="18">
        <v>1</v>
      </c>
      <c r="G386" s="19">
        <f>60.77</f>
        <v>60.77</v>
      </c>
      <c r="H386" s="32">
        <v>42</v>
      </c>
      <c r="I386" s="25">
        <f t="shared" si="22"/>
        <v>2552.34</v>
      </c>
      <c r="J386" s="40"/>
      <c r="K386" s="39"/>
      <c r="L386" s="39"/>
      <c r="M386" s="39"/>
      <c r="N386" s="23"/>
      <c r="O386" s="39"/>
      <c r="P386" s="39"/>
      <c r="Q386" s="39"/>
      <c r="R386" s="39"/>
    </row>
    <row r="387" spans="1:18" s="2" customFormat="1" ht="26.4">
      <c r="A387" s="20">
        <f t="shared" si="25"/>
        <v>353</v>
      </c>
      <c r="B387" s="17" t="s">
        <v>629</v>
      </c>
      <c r="C387" s="17" t="s">
        <v>630</v>
      </c>
      <c r="D387" s="20" t="s">
        <v>8</v>
      </c>
      <c r="E387" s="20" t="s">
        <v>9</v>
      </c>
      <c r="F387" s="18">
        <v>1</v>
      </c>
      <c r="G387" s="19">
        <f>1.633198857*449.23</f>
        <v>733.68192253011</v>
      </c>
      <c r="H387" s="32">
        <v>151.71</v>
      </c>
      <c r="I387" s="25">
        <f t="shared" si="22"/>
        <v>111306.884467043</v>
      </c>
      <c r="J387" s="40"/>
      <c r="K387" s="39"/>
      <c r="L387" s="39"/>
      <c r="M387" s="39"/>
      <c r="N387" s="23"/>
      <c r="O387" s="39"/>
      <c r="P387" s="39"/>
      <c r="Q387" s="39"/>
      <c r="R387" s="39"/>
    </row>
    <row r="388" spans="1:18" s="2" customFormat="1" ht="14.4">
      <c r="A388" s="20">
        <f t="shared" si="25"/>
        <v>354</v>
      </c>
      <c r="B388" s="17" t="s">
        <v>631</v>
      </c>
      <c r="C388" s="17" t="s">
        <v>632</v>
      </c>
      <c r="D388" s="20" t="s">
        <v>8</v>
      </c>
      <c r="E388" s="20" t="s">
        <v>9</v>
      </c>
      <c r="F388" s="18">
        <v>1</v>
      </c>
      <c r="G388" s="19">
        <f>982.37</f>
        <v>982.37</v>
      </c>
      <c r="H388" s="32">
        <f>151.71*1.05</f>
        <v>159.2955</v>
      </c>
      <c r="I388" s="25">
        <f t="shared" si="22"/>
        <v>156487.12033500001</v>
      </c>
      <c r="J388" s="40"/>
      <c r="K388" s="39"/>
      <c r="L388" s="39"/>
      <c r="M388" s="39"/>
      <c r="N388" s="23"/>
      <c r="O388" s="39"/>
      <c r="P388" s="39"/>
      <c r="Q388" s="39"/>
      <c r="R388" s="39"/>
    </row>
    <row r="389" spans="1:18" ht="14.4">
      <c r="A389" s="20"/>
      <c r="B389" s="13" t="s">
        <v>633</v>
      </c>
      <c r="C389" s="14" t="s">
        <v>634</v>
      </c>
      <c r="D389" s="14"/>
      <c r="E389" s="14"/>
      <c r="F389" s="18"/>
      <c r="G389" s="19"/>
      <c r="H389" s="15"/>
      <c r="I389" s="25"/>
      <c r="J389" s="52" t="s">
        <v>635</v>
      </c>
      <c r="K389" s="22">
        <v>58.85</v>
      </c>
      <c r="L389" s="22"/>
      <c r="M389" s="22"/>
      <c r="N389" s="23"/>
      <c r="O389" s="22"/>
      <c r="P389" s="22"/>
      <c r="Q389" s="22"/>
      <c r="R389" s="22"/>
    </row>
    <row r="390" spans="1:18" s="2" customFormat="1" ht="26.4">
      <c r="A390" s="20">
        <f>A388+1</f>
        <v>355</v>
      </c>
      <c r="B390" s="17" t="s">
        <v>422</v>
      </c>
      <c r="C390" s="17" t="s">
        <v>580</v>
      </c>
      <c r="D390" s="20" t="s">
        <v>17</v>
      </c>
      <c r="E390" s="20" t="s">
        <v>43</v>
      </c>
      <c r="F390" s="18">
        <v>1</v>
      </c>
      <c r="G390" s="19">
        <f>1.633198857*41.29</f>
        <v>67.434780805529996</v>
      </c>
      <c r="H390" s="32">
        <v>5.9</v>
      </c>
      <c r="I390" s="25">
        <f t="shared" si="22"/>
        <v>397.86520675262699</v>
      </c>
      <c r="J390" s="40"/>
      <c r="K390" s="39"/>
      <c r="L390" s="39"/>
      <c r="M390" s="39"/>
      <c r="N390" s="23"/>
      <c r="O390" s="39"/>
      <c r="P390" s="39"/>
      <c r="Q390" s="39"/>
      <c r="R390" s="39"/>
    </row>
    <row r="391" spans="1:18" s="2" customFormat="1" ht="26.4">
      <c r="A391" s="20">
        <f t="shared" ref="A391:A405" si="26">A390+1</f>
        <v>356</v>
      </c>
      <c r="B391" s="17" t="s">
        <v>424</v>
      </c>
      <c r="C391" s="17" t="s">
        <v>425</v>
      </c>
      <c r="D391" s="20" t="s">
        <v>17</v>
      </c>
      <c r="E391" s="20" t="s">
        <v>43</v>
      </c>
      <c r="F391" s="18">
        <v>1</v>
      </c>
      <c r="G391" s="19">
        <f>1.633198857*663.59</f>
        <v>1083.7744295166301</v>
      </c>
      <c r="H391" s="32">
        <v>5.8849999999999998</v>
      </c>
      <c r="I391" s="25">
        <f t="shared" si="22"/>
        <v>6378.0125177053678</v>
      </c>
      <c r="J391" s="40"/>
      <c r="K391" s="39"/>
      <c r="L391" s="39"/>
      <c r="M391" s="39"/>
      <c r="N391" s="23"/>
      <c r="O391" s="39"/>
      <c r="P391" s="39"/>
      <c r="Q391" s="39"/>
      <c r="R391" s="39"/>
    </row>
    <row r="392" spans="1:18" s="2" customFormat="1" ht="14.4">
      <c r="A392" s="20">
        <f t="shared" si="26"/>
        <v>357</v>
      </c>
      <c r="B392" s="17" t="s">
        <v>177</v>
      </c>
      <c r="C392" s="17" t="s">
        <v>58</v>
      </c>
      <c r="D392" s="20" t="s">
        <v>17</v>
      </c>
      <c r="E392" s="20" t="s">
        <v>43</v>
      </c>
      <c r="F392" s="18">
        <v>1</v>
      </c>
      <c r="G392" s="19">
        <f>714</f>
        <v>714</v>
      </c>
      <c r="H392" s="32">
        <v>6.5911999999999997</v>
      </c>
      <c r="I392" s="25">
        <f t="shared" si="22"/>
        <v>4706.1167999999998</v>
      </c>
      <c r="J392" s="40"/>
      <c r="K392" s="39"/>
      <c r="L392" s="39"/>
      <c r="M392" s="39"/>
      <c r="N392" s="23"/>
      <c r="O392" s="39"/>
      <c r="P392" s="39"/>
      <c r="Q392" s="39"/>
      <c r="R392" s="39"/>
    </row>
    <row r="393" spans="1:18" s="2" customFormat="1" ht="26.4">
      <c r="A393" s="20">
        <f t="shared" si="26"/>
        <v>358</v>
      </c>
      <c r="B393" s="17" t="s">
        <v>636</v>
      </c>
      <c r="C393" s="17" t="s">
        <v>582</v>
      </c>
      <c r="D393" s="20" t="s">
        <v>8</v>
      </c>
      <c r="E393" s="20" t="s">
        <v>9</v>
      </c>
      <c r="F393" s="18">
        <v>1</v>
      </c>
      <c r="G393" s="19">
        <f>1.633198857*117.49</f>
        <v>191.88453370892998</v>
      </c>
      <c r="H393" s="32">
        <v>58.9</v>
      </c>
      <c r="I393" s="25">
        <f t="shared" si="22"/>
        <v>11301.999035455976</v>
      </c>
      <c r="J393" s="40"/>
      <c r="K393" s="39"/>
      <c r="L393" s="39"/>
      <c r="M393" s="39"/>
      <c r="N393" s="23"/>
      <c r="O393" s="39"/>
      <c r="P393" s="39"/>
      <c r="Q393" s="39"/>
      <c r="R393" s="39"/>
    </row>
    <row r="394" spans="1:18" s="2" customFormat="1" ht="26.4">
      <c r="A394" s="20">
        <f t="shared" si="26"/>
        <v>359</v>
      </c>
      <c r="B394" s="17" t="s">
        <v>583</v>
      </c>
      <c r="C394" s="17" t="s">
        <v>584</v>
      </c>
      <c r="D394" s="20" t="s">
        <v>8</v>
      </c>
      <c r="E394" s="20" t="s">
        <v>9</v>
      </c>
      <c r="F394" s="18">
        <v>1</v>
      </c>
      <c r="G394" s="19">
        <f>1.633198857*86.71</f>
        <v>141.61467289046999</v>
      </c>
      <c r="H394" s="32">
        <v>58.9</v>
      </c>
      <c r="I394" s="25">
        <f t="shared" si="22"/>
        <v>8341.1042332486813</v>
      </c>
      <c r="J394" s="40"/>
      <c r="K394" s="39"/>
      <c r="L394" s="39"/>
      <c r="M394" s="39"/>
      <c r="N394" s="23"/>
      <c r="O394" s="39"/>
      <c r="P394" s="39"/>
      <c r="Q394" s="39"/>
      <c r="R394" s="39"/>
    </row>
    <row r="395" spans="1:18" s="2" customFormat="1" ht="26.4">
      <c r="A395" s="20">
        <f t="shared" si="26"/>
        <v>360</v>
      </c>
      <c r="B395" s="17" t="s">
        <v>585</v>
      </c>
      <c r="C395" s="17" t="s">
        <v>586</v>
      </c>
      <c r="D395" s="20" t="s">
        <v>8</v>
      </c>
      <c r="E395" s="20" t="s">
        <v>9</v>
      </c>
      <c r="F395" s="18">
        <v>1</v>
      </c>
      <c r="G395" s="19">
        <f>1.633198857*16.04</f>
        <v>26.196509666279997</v>
      </c>
      <c r="H395" s="32">
        <v>58.9</v>
      </c>
      <c r="I395" s="25">
        <f t="shared" ref="I395:I458" si="27">G395*H395</f>
        <v>1542.9744193438919</v>
      </c>
      <c r="J395" s="40"/>
      <c r="K395" s="39"/>
      <c r="L395" s="39"/>
      <c r="M395" s="39"/>
      <c r="N395" s="23"/>
      <c r="O395" s="39"/>
      <c r="P395" s="39"/>
      <c r="Q395" s="39"/>
      <c r="R395" s="39"/>
    </row>
    <row r="396" spans="1:18" s="2" customFormat="1" ht="14.4">
      <c r="A396" s="20">
        <f t="shared" si="26"/>
        <v>361</v>
      </c>
      <c r="B396" s="17" t="s">
        <v>538</v>
      </c>
      <c r="C396" s="17" t="s">
        <v>539</v>
      </c>
      <c r="D396" s="20" t="s">
        <v>8</v>
      </c>
      <c r="E396" s="20" t="s">
        <v>9</v>
      </c>
      <c r="F396" s="18">
        <v>1</v>
      </c>
      <c r="G396" s="19">
        <f>8.75</f>
        <v>8.75</v>
      </c>
      <c r="H396" s="32">
        <v>65</v>
      </c>
      <c r="I396" s="25">
        <f t="shared" si="27"/>
        <v>568.75</v>
      </c>
      <c r="J396" s="40"/>
      <c r="K396" s="39"/>
      <c r="L396" s="39"/>
      <c r="M396" s="39"/>
      <c r="N396" s="23"/>
      <c r="O396" s="39"/>
      <c r="P396" s="39"/>
      <c r="Q396" s="39"/>
      <c r="R396" s="39"/>
    </row>
    <row r="397" spans="1:18" s="2" customFormat="1" ht="26.4">
      <c r="A397" s="20">
        <f t="shared" si="26"/>
        <v>362</v>
      </c>
      <c r="B397" s="17" t="s">
        <v>588</v>
      </c>
      <c r="C397" s="17" t="s">
        <v>589</v>
      </c>
      <c r="D397" s="20" t="s">
        <v>8</v>
      </c>
      <c r="E397" s="20" t="s">
        <v>9</v>
      </c>
      <c r="F397" s="18">
        <v>1</v>
      </c>
      <c r="G397" s="19">
        <f>1.633198857*40.2</f>
        <v>65.654594051400011</v>
      </c>
      <c r="H397" s="32">
        <v>58.9</v>
      </c>
      <c r="I397" s="25">
        <f t="shared" si="27"/>
        <v>3867.0555896274604</v>
      </c>
      <c r="J397" s="40"/>
      <c r="K397" s="39"/>
      <c r="L397" s="39"/>
      <c r="M397" s="39"/>
      <c r="N397" s="23"/>
      <c r="O397" s="39"/>
      <c r="P397" s="39"/>
      <c r="Q397" s="39"/>
      <c r="R397" s="39"/>
    </row>
    <row r="398" spans="1:18" s="2" customFormat="1" ht="26.4">
      <c r="A398" s="20">
        <f t="shared" si="26"/>
        <v>363</v>
      </c>
      <c r="B398" s="17" t="s">
        <v>590</v>
      </c>
      <c r="C398" s="17" t="s">
        <v>591</v>
      </c>
      <c r="D398" s="20" t="s">
        <v>17</v>
      </c>
      <c r="E398" s="20" t="s">
        <v>43</v>
      </c>
      <c r="F398" s="18">
        <v>1</v>
      </c>
      <c r="G398" s="19">
        <f>4821.83</f>
        <v>4821.83</v>
      </c>
      <c r="H398" s="32">
        <v>3.00135</v>
      </c>
      <c r="I398" s="25">
        <f t="shared" si="27"/>
        <v>14471.999470499999</v>
      </c>
      <c r="J398" s="40"/>
      <c r="K398" s="39"/>
      <c r="L398" s="39"/>
      <c r="M398" s="39"/>
      <c r="N398" s="23"/>
      <c r="O398" s="39"/>
      <c r="P398" s="39"/>
      <c r="Q398" s="39"/>
      <c r="R398" s="39"/>
    </row>
    <row r="399" spans="1:18" s="2" customFormat="1" ht="26.4">
      <c r="A399" s="20">
        <f t="shared" si="26"/>
        <v>364</v>
      </c>
      <c r="B399" s="17" t="s">
        <v>592</v>
      </c>
      <c r="C399" s="17" t="s">
        <v>637</v>
      </c>
      <c r="D399" s="20" t="s">
        <v>8</v>
      </c>
      <c r="E399" s="20" t="s">
        <v>9</v>
      </c>
      <c r="F399" s="18">
        <v>1</v>
      </c>
      <c r="G399" s="19">
        <f>1.633198857*117.57</f>
        <v>192.01518961748999</v>
      </c>
      <c r="H399" s="32">
        <v>58.9</v>
      </c>
      <c r="I399" s="25">
        <f t="shared" si="27"/>
        <v>11309.69466847016</v>
      </c>
      <c r="J399" s="40"/>
      <c r="K399" s="39"/>
      <c r="L399" s="39"/>
      <c r="M399" s="39"/>
      <c r="N399" s="23"/>
      <c r="O399" s="39"/>
      <c r="P399" s="39"/>
      <c r="Q399" s="39"/>
      <c r="R399" s="39"/>
    </row>
    <row r="400" spans="1:18" s="2" customFormat="1" ht="26.4">
      <c r="A400" s="20">
        <f t="shared" si="26"/>
        <v>365</v>
      </c>
      <c r="B400" s="17" t="s">
        <v>594</v>
      </c>
      <c r="C400" s="17" t="s">
        <v>595</v>
      </c>
      <c r="D400" s="20" t="s">
        <v>8</v>
      </c>
      <c r="E400" s="20" t="s">
        <v>9</v>
      </c>
      <c r="F400" s="18">
        <v>1</v>
      </c>
      <c r="G400" s="19">
        <f>1.633198857*166.07</f>
        <v>271.22533418198998</v>
      </c>
      <c r="H400" s="32">
        <v>58.9</v>
      </c>
      <c r="I400" s="25">
        <f t="shared" si="27"/>
        <v>15975.17218331921</v>
      </c>
      <c r="J400" s="40"/>
      <c r="K400" s="39"/>
      <c r="L400" s="39"/>
      <c r="M400" s="39"/>
      <c r="N400" s="23"/>
      <c r="O400" s="39"/>
      <c r="P400" s="39"/>
      <c r="Q400" s="39"/>
      <c r="R400" s="39"/>
    </row>
    <row r="401" spans="1:18" s="2" customFormat="1" ht="14.4">
      <c r="A401" s="20">
        <f t="shared" si="26"/>
        <v>366</v>
      </c>
      <c r="B401" s="17" t="s">
        <v>320</v>
      </c>
      <c r="C401" s="17" t="s">
        <v>321</v>
      </c>
      <c r="D401" s="20" t="s">
        <v>8</v>
      </c>
      <c r="E401" s="20" t="s">
        <v>9</v>
      </c>
      <c r="F401" s="18">
        <v>1</v>
      </c>
      <c r="G401" s="19">
        <f>1.633198857*19.95</f>
        <v>32.582317197149997</v>
      </c>
      <c r="H401" s="32">
        <v>58.9</v>
      </c>
      <c r="I401" s="25">
        <f t="shared" si="27"/>
        <v>1919.0984829121348</v>
      </c>
      <c r="J401" s="40"/>
      <c r="K401" s="39"/>
      <c r="L401" s="39"/>
      <c r="M401" s="39"/>
      <c r="N401" s="23"/>
      <c r="O401" s="39"/>
      <c r="P401" s="39"/>
      <c r="Q401" s="39"/>
      <c r="R401" s="39"/>
    </row>
    <row r="402" spans="1:18" s="2" customFormat="1" ht="26.4">
      <c r="A402" s="20">
        <f t="shared" si="26"/>
        <v>367</v>
      </c>
      <c r="B402" s="17" t="s">
        <v>638</v>
      </c>
      <c r="C402" s="17" t="s">
        <v>626</v>
      </c>
      <c r="D402" s="9" t="s">
        <v>56</v>
      </c>
      <c r="E402" s="20" t="s">
        <v>42</v>
      </c>
      <c r="F402" s="18">
        <v>1</v>
      </c>
      <c r="G402" s="19">
        <f>29299.35</f>
        <v>29299.35</v>
      </c>
      <c r="H402" s="32">
        <v>0.22774949999999999</v>
      </c>
      <c r="I402" s="25">
        <f t="shared" si="27"/>
        <v>6672.9123128249994</v>
      </c>
      <c r="J402" s="40"/>
      <c r="K402" s="39"/>
      <c r="L402" s="39"/>
      <c r="M402" s="39"/>
      <c r="N402" s="23"/>
      <c r="O402" s="39"/>
      <c r="P402" s="39"/>
      <c r="Q402" s="39"/>
      <c r="R402" s="39"/>
    </row>
    <row r="403" spans="1:18" s="2" customFormat="1" ht="26.4">
      <c r="A403" s="20">
        <f t="shared" si="26"/>
        <v>368</v>
      </c>
      <c r="B403" s="17" t="s">
        <v>639</v>
      </c>
      <c r="C403" s="17" t="s">
        <v>640</v>
      </c>
      <c r="D403" s="20" t="s">
        <v>8</v>
      </c>
      <c r="E403" s="20" t="s">
        <v>9</v>
      </c>
      <c r="F403" s="18">
        <v>1</v>
      </c>
      <c r="G403" s="19">
        <f>1.633198857*894.58</f>
        <v>1461.0270334950601</v>
      </c>
      <c r="H403" s="32">
        <v>67.7</v>
      </c>
      <c r="I403" s="25">
        <f t="shared" si="27"/>
        <v>98911.53016761558</v>
      </c>
      <c r="J403" s="40"/>
      <c r="K403" s="39"/>
      <c r="L403" s="39"/>
      <c r="M403" s="39"/>
      <c r="N403" s="23"/>
      <c r="O403" s="39"/>
      <c r="P403" s="39"/>
      <c r="Q403" s="39"/>
      <c r="R403" s="39"/>
    </row>
    <row r="404" spans="1:18" s="2" customFormat="1" ht="39.6">
      <c r="A404" s="20">
        <f t="shared" si="26"/>
        <v>369</v>
      </c>
      <c r="B404" s="17" t="s">
        <v>616</v>
      </c>
      <c r="C404" s="17" t="s">
        <v>617</v>
      </c>
      <c r="D404" s="20" t="s">
        <v>8</v>
      </c>
      <c r="E404" s="20" t="s">
        <v>9</v>
      </c>
      <c r="F404" s="18">
        <v>1</v>
      </c>
      <c r="G404" s="19">
        <f>1.633198857*336.16</f>
        <v>549.01612776912009</v>
      </c>
      <c r="H404" s="32">
        <v>58.9</v>
      </c>
      <c r="I404" s="25">
        <f t="shared" si="27"/>
        <v>32337.049925601172</v>
      </c>
      <c r="J404" s="40"/>
      <c r="K404" s="39"/>
      <c r="L404" s="39"/>
      <c r="M404" s="39"/>
      <c r="N404" s="23"/>
      <c r="O404" s="39"/>
      <c r="P404" s="39"/>
      <c r="Q404" s="39"/>
      <c r="R404" s="39"/>
    </row>
    <row r="405" spans="1:18" s="2" customFormat="1" ht="26.4">
      <c r="A405" s="20">
        <f t="shared" si="26"/>
        <v>370</v>
      </c>
      <c r="B405" s="17" t="s">
        <v>618</v>
      </c>
      <c r="C405" s="17" t="s">
        <v>619</v>
      </c>
      <c r="D405" s="20" t="s">
        <v>8</v>
      </c>
      <c r="E405" s="20" t="s">
        <v>9</v>
      </c>
      <c r="F405" s="18">
        <v>1</v>
      </c>
      <c r="G405" s="19">
        <f>547.29</f>
        <v>547.29</v>
      </c>
      <c r="H405" s="32">
        <v>60.027000000000001</v>
      </c>
      <c r="I405" s="25">
        <f t="shared" si="27"/>
        <v>32852.176829999997</v>
      </c>
      <c r="J405" s="40"/>
      <c r="K405" s="39"/>
      <c r="L405" s="39"/>
      <c r="M405" s="39"/>
      <c r="N405" s="23"/>
      <c r="O405" s="39"/>
      <c r="P405" s="39"/>
      <c r="Q405" s="39"/>
      <c r="R405" s="39"/>
    </row>
    <row r="406" spans="1:18" ht="14.4">
      <c r="A406" s="20"/>
      <c r="B406" s="13" t="s">
        <v>641</v>
      </c>
      <c r="C406" s="14" t="s">
        <v>642</v>
      </c>
      <c r="D406" s="14"/>
      <c r="E406" s="14"/>
      <c r="F406" s="18"/>
      <c r="G406" s="19"/>
      <c r="H406" s="15"/>
      <c r="I406" s="25"/>
      <c r="J406" s="52" t="s">
        <v>643</v>
      </c>
      <c r="K406" s="22">
        <v>1192.98</v>
      </c>
      <c r="L406" s="22"/>
      <c r="M406" s="22"/>
      <c r="N406" s="23"/>
      <c r="O406" s="22"/>
      <c r="P406" s="22"/>
      <c r="Q406" s="22"/>
      <c r="R406" s="22"/>
    </row>
    <row r="407" spans="1:18" s="2" customFormat="1" ht="26.4">
      <c r="A407" s="20">
        <f>A405+1</f>
        <v>371</v>
      </c>
      <c r="B407" s="17" t="s">
        <v>592</v>
      </c>
      <c r="C407" s="17" t="s">
        <v>637</v>
      </c>
      <c r="D407" s="20" t="s">
        <v>8</v>
      </c>
      <c r="E407" s="20" t="s">
        <v>9</v>
      </c>
      <c r="F407" s="18">
        <v>1</v>
      </c>
      <c r="G407" s="19">
        <f>1.633198857*117.57</f>
        <v>192.01518961748999</v>
      </c>
      <c r="H407" s="32">
        <v>1192.98</v>
      </c>
      <c r="I407" s="25">
        <f t="shared" si="27"/>
        <v>229070.28090987323</v>
      </c>
      <c r="J407" s="40"/>
      <c r="K407" s="39"/>
      <c r="L407" s="39"/>
      <c r="M407" s="39"/>
      <c r="N407" s="23"/>
      <c r="O407" s="39"/>
      <c r="P407" s="39"/>
      <c r="Q407" s="39"/>
      <c r="R407" s="39"/>
    </row>
    <row r="408" spans="1:18" s="2" customFormat="1" ht="26.4">
      <c r="A408" s="20">
        <f t="shared" ref="A408:A414" si="28">A407+1</f>
        <v>372</v>
      </c>
      <c r="B408" s="17" t="s">
        <v>594</v>
      </c>
      <c r="C408" s="17" t="s">
        <v>595</v>
      </c>
      <c r="D408" s="20" t="s">
        <v>8</v>
      </c>
      <c r="E408" s="20" t="s">
        <v>9</v>
      </c>
      <c r="F408" s="18">
        <v>1</v>
      </c>
      <c r="G408" s="19">
        <f>1.633198857*105.69</f>
        <v>172.61278719633</v>
      </c>
      <c r="H408" s="32">
        <v>1192.98</v>
      </c>
      <c r="I408" s="25">
        <f t="shared" si="27"/>
        <v>205923.60286947776</v>
      </c>
      <c r="J408" s="40"/>
      <c r="K408" s="39"/>
      <c r="L408" s="39"/>
      <c r="M408" s="39"/>
      <c r="N408" s="23"/>
      <c r="O408" s="39"/>
      <c r="P408" s="39"/>
      <c r="Q408" s="39"/>
      <c r="R408" s="39"/>
    </row>
    <row r="409" spans="1:18" s="2" customFormat="1" ht="14.4">
      <c r="A409" s="20">
        <f t="shared" si="28"/>
        <v>373</v>
      </c>
      <c r="B409" s="17" t="s">
        <v>320</v>
      </c>
      <c r="C409" s="17" t="s">
        <v>321</v>
      </c>
      <c r="D409" s="20" t="s">
        <v>8</v>
      </c>
      <c r="E409" s="20" t="s">
        <v>9</v>
      </c>
      <c r="F409" s="18">
        <v>1</v>
      </c>
      <c r="G409" s="19">
        <f>1.633198857*19.95</f>
        <v>32.582317197149997</v>
      </c>
      <c r="H409" s="32">
        <v>1192.98</v>
      </c>
      <c r="I409" s="25">
        <f t="shared" si="27"/>
        <v>38870.052769856004</v>
      </c>
      <c r="J409" s="40">
        <f>F410/K406</f>
        <v>8.3823701989974681E-4</v>
      </c>
      <c r="K409" s="39"/>
      <c r="L409" s="39"/>
      <c r="M409" s="39"/>
      <c r="N409" s="23"/>
      <c r="O409" s="39"/>
      <c r="P409" s="39"/>
      <c r="Q409" s="39"/>
      <c r="R409" s="39"/>
    </row>
    <row r="410" spans="1:18" s="2" customFormat="1" ht="14.4">
      <c r="A410" s="20">
        <f t="shared" si="28"/>
        <v>374</v>
      </c>
      <c r="B410" s="17" t="s">
        <v>638</v>
      </c>
      <c r="C410" s="17" t="s">
        <v>644</v>
      </c>
      <c r="D410" s="9" t="s">
        <v>56</v>
      </c>
      <c r="E410" s="20" t="s">
        <v>42</v>
      </c>
      <c r="F410" s="18">
        <v>1</v>
      </c>
      <c r="G410" s="19">
        <f>29299.35</f>
        <v>29299.35</v>
      </c>
      <c r="H410" s="32">
        <f>0.0038*1192.98</f>
        <v>4.5333240000000004</v>
      </c>
      <c r="I410" s="25">
        <f t="shared" si="27"/>
        <v>132823.4465394</v>
      </c>
      <c r="J410" s="40">
        <f>0.878/226.9</f>
        <v>3.8695460555310708E-3</v>
      </c>
      <c r="K410" s="39"/>
      <c r="L410" s="39"/>
      <c r="M410" s="39"/>
      <c r="N410" s="23"/>
      <c r="O410" s="39"/>
      <c r="P410" s="39"/>
      <c r="Q410" s="39"/>
      <c r="R410" s="39"/>
    </row>
    <row r="411" spans="1:18" s="2" customFormat="1" ht="14.4">
      <c r="A411" s="20">
        <f t="shared" si="28"/>
        <v>375</v>
      </c>
      <c r="B411" s="17" t="s">
        <v>596</v>
      </c>
      <c r="C411" s="17" t="s">
        <v>597</v>
      </c>
      <c r="D411" s="20" t="s">
        <v>8</v>
      </c>
      <c r="E411" s="20" t="s">
        <v>9</v>
      </c>
      <c r="F411" s="18">
        <v>1</v>
      </c>
      <c r="G411" s="19">
        <f>1.633198857*54.04</f>
        <v>88.258066232280001</v>
      </c>
      <c r="H411" s="32">
        <v>1192.98</v>
      </c>
      <c r="I411" s="25">
        <f t="shared" si="27"/>
        <v>105290.10785378539</v>
      </c>
      <c r="J411" s="40">
        <f>68.076/226</f>
        <v>0.30122123893805308</v>
      </c>
      <c r="K411" s="39"/>
      <c r="L411" s="39"/>
      <c r="M411" s="39"/>
      <c r="N411" s="23"/>
      <c r="O411" s="39"/>
      <c r="P411" s="39"/>
      <c r="Q411" s="39"/>
      <c r="R411" s="39"/>
    </row>
    <row r="412" spans="1:18" s="2" customFormat="1" ht="14.4">
      <c r="A412" s="20">
        <f t="shared" si="28"/>
        <v>376</v>
      </c>
      <c r="B412" s="17" t="s">
        <v>627</v>
      </c>
      <c r="C412" s="17" t="s">
        <v>628</v>
      </c>
      <c r="D412" s="9" t="s">
        <v>52</v>
      </c>
      <c r="E412" s="20" t="s">
        <v>53</v>
      </c>
      <c r="F412" s="18">
        <v>1</v>
      </c>
      <c r="G412" s="19">
        <f>60.77</f>
        <v>60.77</v>
      </c>
      <c r="H412" s="32">
        <f>0.3*1192.98</f>
        <v>357.89400000000001</v>
      </c>
      <c r="I412" s="25">
        <f t="shared" si="27"/>
        <v>21749.218380000002</v>
      </c>
      <c r="J412" s="40"/>
      <c r="K412" s="39"/>
      <c r="L412" s="39"/>
      <c r="M412" s="39"/>
      <c r="N412" s="23"/>
      <c r="O412" s="39"/>
      <c r="P412" s="39"/>
      <c r="Q412" s="39"/>
      <c r="R412" s="39"/>
    </row>
    <row r="413" spans="1:18" s="2" customFormat="1" ht="14.4">
      <c r="A413" s="20">
        <f t="shared" si="28"/>
        <v>377</v>
      </c>
      <c r="B413" s="17" t="s">
        <v>598</v>
      </c>
      <c r="C413" s="17" t="s">
        <v>599</v>
      </c>
      <c r="D413" s="20" t="s">
        <v>8</v>
      </c>
      <c r="E413" s="20" t="s">
        <v>9</v>
      </c>
      <c r="F413" s="18">
        <v>1</v>
      </c>
      <c r="G413" s="19">
        <f>1.633198857*449.22</f>
        <v>733.66559054154004</v>
      </c>
      <c r="H413" s="32">
        <v>1192.98</v>
      </c>
      <c r="I413" s="25">
        <f t="shared" si="27"/>
        <v>875248.37620424642</v>
      </c>
      <c r="J413" s="40"/>
      <c r="K413" s="39"/>
      <c r="L413" s="39"/>
      <c r="M413" s="39"/>
      <c r="N413" s="23"/>
      <c r="O413" s="39"/>
      <c r="P413" s="39"/>
      <c r="Q413" s="39"/>
      <c r="R413" s="39"/>
    </row>
    <row r="414" spans="1:18" s="2" customFormat="1" ht="14.4">
      <c r="A414" s="20">
        <f t="shared" si="28"/>
        <v>378</v>
      </c>
      <c r="B414" s="17" t="s">
        <v>600</v>
      </c>
      <c r="C414" s="17" t="s">
        <v>601</v>
      </c>
      <c r="D414" s="20" t="s">
        <v>8</v>
      </c>
      <c r="E414" s="20" t="s">
        <v>9</v>
      </c>
      <c r="F414" s="18">
        <v>1</v>
      </c>
      <c r="G414" s="19">
        <f>880.37*1.15</f>
        <v>1012.4254999999999</v>
      </c>
      <c r="H414" s="32">
        <f>1192.98*1.05</f>
        <v>1252.6290000000001</v>
      </c>
      <c r="I414" s="25">
        <f t="shared" si="27"/>
        <v>1268193.5416395001</v>
      </c>
      <c r="J414" s="40"/>
      <c r="K414" s="39"/>
      <c r="L414" s="39"/>
      <c r="M414" s="39"/>
      <c r="N414" s="23"/>
      <c r="O414" s="39"/>
      <c r="P414" s="39"/>
      <c r="Q414" s="39"/>
      <c r="R414" s="39"/>
    </row>
    <row r="415" spans="1:18" ht="14.4">
      <c r="A415" s="20"/>
      <c r="B415" s="13" t="s">
        <v>645</v>
      </c>
      <c r="C415" s="14" t="s">
        <v>646</v>
      </c>
      <c r="D415" s="14"/>
      <c r="E415" s="14"/>
      <c r="F415" s="18"/>
      <c r="G415" s="19"/>
      <c r="H415" s="15"/>
      <c r="I415" s="25"/>
      <c r="J415" s="52" t="s">
        <v>647</v>
      </c>
      <c r="K415" s="22">
        <v>1277.33</v>
      </c>
      <c r="L415" s="22"/>
      <c r="M415" s="22"/>
      <c r="N415" s="23"/>
      <c r="O415" s="22"/>
      <c r="P415" s="22"/>
      <c r="Q415" s="22"/>
      <c r="R415" s="22"/>
    </row>
    <row r="416" spans="1:18" s="2" customFormat="1" ht="26.4">
      <c r="A416" s="20">
        <f>A414+1</f>
        <v>379</v>
      </c>
      <c r="B416" s="17" t="s">
        <v>592</v>
      </c>
      <c r="C416" s="17" t="s">
        <v>637</v>
      </c>
      <c r="D416" s="20" t="s">
        <v>8</v>
      </c>
      <c r="E416" s="20" t="s">
        <v>9</v>
      </c>
      <c r="F416" s="18">
        <v>1</v>
      </c>
      <c r="G416" s="19">
        <f>1.633198857*117.57</f>
        <v>192.01518961748999</v>
      </c>
      <c r="H416" s="32">
        <v>1277.33</v>
      </c>
      <c r="I416" s="25">
        <f t="shared" si="27"/>
        <v>245266.76215410847</v>
      </c>
      <c r="J416" s="40"/>
      <c r="K416" s="39"/>
      <c r="L416" s="39"/>
      <c r="M416" s="39"/>
      <c r="N416" s="23"/>
      <c r="O416" s="39"/>
      <c r="P416" s="39"/>
      <c r="Q416" s="39"/>
      <c r="R416" s="39"/>
    </row>
    <row r="417" spans="1:18" s="2" customFormat="1" ht="26.4">
      <c r="A417" s="20">
        <f t="shared" ref="A417:A425" si="29">A416+1</f>
        <v>380</v>
      </c>
      <c r="B417" s="17" t="s">
        <v>594</v>
      </c>
      <c r="C417" s="17" t="s">
        <v>595</v>
      </c>
      <c r="D417" s="20" t="s">
        <v>8</v>
      </c>
      <c r="E417" s="20" t="s">
        <v>9</v>
      </c>
      <c r="F417" s="18">
        <v>1</v>
      </c>
      <c r="G417" s="19">
        <f>1.633198857*105.68</f>
        <v>172.59645520776002</v>
      </c>
      <c r="H417" s="32">
        <v>1277.33</v>
      </c>
      <c r="I417" s="25">
        <f t="shared" si="27"/>
        <v>220462.63013052809</v>
      </c>
      <c r="J417" s="40"/>
      <c r="K417" s="39"/>
      <c r="L417" s="39"/>
      <c r="M417" s="39"/>
      <c r="N417" s="23"/>
      <c r="O417" s="39"/>
      <c r="P417" s="39"/>
      <c r="Q417" s="39"/>
      <c r="R417" s="39"/>
    </row>
    <row r="418" spans="1:18" s="2" customFormat="1" ht="14.4">
      <c r="A418" s="20">
        <f t="shared" si="29"/>
        <v>381</v>
      </c>
      <c r="B418" s="17" t="s">
        <v>320</v>
      </c>
      <c r="C418" s="17" t="s">
        <v>321</v>
      </c>
      <c r="D418" s="20" t="s">
        <v>8</v>
      </c>
      <c r="E418" s="20" t="s">
        <v>9</v>
      </c>
      <c r="F418" s="18">
        <v>1</v>
      </c>
      <c r="G418" s="19">
        <f>1.633198857*19.95</f>
        <v>32.582317197149997</v>
      </c>
      <c r="H418" s="32">
        <v>1277.33</v>
      </c>
      <c r="I418" s="25">
        <f t="shared" si="27"/>
        <v>41618.371225435607</v>
      </c>
      <c r="J418" s="40"/>
      <c r="K418" s="39"/>
      <c r="L418" s="39"/>
      <c r="M418" s="39"/>
      <c r="N418" s="23"/>
      <c r="O418" s="39"/>
      <c r="P418" s="39"/>
      <c r="Q418" s="39"/>
      <c r="R418" s="39"/>
    </row>
    <row r="419" spans="1:18" s="2" customFormat="1" ht="26.4">
      <c r="A419" s="20">
        <f t="shared" si="29"/>
        <v>382</v>
      </c>
      <c r="B419" s="17" t="s">
        <v>625</v>
      </c>
      <c r="C419" s="17" t="s">
        <v>626</v>
      </c>
      <c r="D419" s="9" t="s">
        <v>56</v>
      </c>
      <c r="E419" s="20" t="s">
        <v>42</v>
      </c>
      <c r="F419" s="18">
        <v>1</v>
      </c>
      <c r="G419" s="19">
        <f>29299.35</f>
        <v>29299.35</v>
      </c>
      <c r="H419" s="32">
        <f>0.0038*1277.33</f>
        <v>4.8538540000000001</v>
      </c>
      <c r="I419" s="25">
        <f t="shared" si="27"/>
        <v>142214.76719489999</v>
      </c>
      <c r="J419" s="40">
        <f>2.624/678</f>
        <v>3.8702064896755164E-3</v>
      </c>
      <c r="K419" s="39"/>
      <c r="L419" s="39"/>
      <c r="M419" s="39"/>
      <c r="N419" s="23"/>
      <c r="O419" s="39"/>
      <c r="P419" s="39"/>
      <c r="Q419" s="39"/>
      <c r="R419" s="39"/>
    </row>
    <row r="420" spans="1:18" s="2" customFormat="1" ht="26.4">
      <c r="A420" s="20">
        <f t="shared" si="29"/>
        <v>383</v>
      </c>
      <c r="B420" s="17" t="s">
        <v>608</v>
      </c>
      <c r="C420" s="17" t="s">
        <v>609</v>
      </c>
      <c r="D420" s="20" t="s">
        <v>8</v>
      </c>
      <c r="E420" s="20" t="s">
        <v>9</v>
      </c>
      <c r="F420" s="18">
        <v>1</v>
      </c>
      <c r="G420" s="19">
        <f>1.633198857*86</f>
        <v>140.45510170200001</v>
      </c>
      <c r="H420" s="32">
        <v>1277.33</v>
      </c>
      <c r="I420" s="25">
        <f t="shared" si="27"/>
        <v>179407.51505701567</v>
      </c>
      <c r="J420" s="40"/>
      <c r="K420" s="39"/>
      <c r="L420" s="39"/>
      <c r="M420" s="39"/>
      <c r="N420" s="23"/>
      <c r="O420" s="39"/>
      <c r="P420" s="39"/>
      <c r="Q420" s="39"/>
      <c r="R420" s="39"/>
    </row>
    <row r="421" spans="1:18" s="2" customFormat="1" ht="26.4">
      <c r="A421" s="20">
        <f t="shared" si="29"/>
        <v>384</v>
      </c>
      <c r="B421" s="17" t="s">
        <v>610</v>
      </c>
      <c r="C421" s="17" t="s">
        <v>611</v>
      </c>
      <c r="D421" s="9" t="s">
        <v>52</v>
      </c>
      <c r="E421" s="20" t="s">
        <v>53</v>
      </c>
      <c r="F421" s="18">
        <v>1</v>
      </c>
      <c r="G421" s="19">
        <f>127.19</f>
        <v>127.19</v>
      </c>
      <c r="H421" s="32">
        <f>0.197*1277</f>
        <v>251.56900000000002</v>
      </c>
      <c r="I421" s="25">
        <f t="shared" si="27"/>
        <v>31997.061110000002</v>
      </c>
      <c r="J421" s="40">
        <f>133.572/678</f>
        <v>0.19700884955752213</v>
      </c>
      <c r="K421" s="39"/>
      <c r="L421" s="39"/>
      <c r="M421" s="39"/>
      <c r="N421" s="23"/>
      <c r="O421" s="39"/>
      <c r="P421" s="39"/>
      <c r="Q421" s="39"/>
      <c r="R421" s="39"/>
    </row>
    <row r="422" spans="1:18" s="2" customFormat="1" ht="26.4">
      <c r="A422" s="20">
        <f t="shared" si="29"/>
        <v>385</v>
      </c>
      <c r="B422" s="17" t="s">
        <v>648</v>
      </c>
      <c r="C422" s="17" t="s">
        <v>649</v>
      </c>
      <c r="D422" s="9" t="s">
        <v>44</v>
      </c>
      <c r="E422" s="20" t="s">
        <v>45</v>
      </c>
      <c r="F422" s="18">
        <v>1</v>
      </c>
      <c r="G422" s="19">
        <f>50.05</f>
        <v>50.05</v>
      </c>
      <c r="H422" s="32">
        <f>0.075*1277</f>
        <v>95.774999999999991</v>
      </c>
      <c r="I422" s="25">
        <f t="shared" si="27"/>
        <v>4793.5387499999997</v>
      </c>
      <c r="J422" s="40">
        <f>51.192/678</f>
        <v>7.5504424778761056E-2</v>
      </c>
      <c r="K422" s="39"/>
      <c r="L422" s="39"/>
      <c r="M422" s="39"/>
      <c r="N422" s="23"/>
      <c r="O422" s="39"/>
      <c r="P422" s="39"/>
      <c r="Q422" s="39"/>
      <c r="R422" s="39"/>
    </row>
    <row r="423" spans="1:18" s="2" customFormat="1" ht="26.4">
      <c r="A423" s="20">
        <f t="shared" si="29"/>
        <v>386</v>
      </c>
      <c r="B423" s="17" t="s">
        <v>614</v>
      </c>
      <c r="C423" s="17" t="s">
        <v>650</v>
      </c>
      <c r="D423" s="9" t="s">
        <v>44</v>
      </c>
      <c r="E423" s="20" t="s">
        <v>45</v>
      </c>
      <c r="F423" s="18">
        <v>1</v>
      </c>
      <c r="G423" s="19">
        <f>26.54</f>
        <v>26.54</v>
      </c>
      <c r="H423" s="32">
        <f>7*1277</f>
        <v>8939</v>
      </c>
      <c r="I423" s="25">
        <f t="shared" si="27"/>
        <v>237241.06</v>
      </c>
      <c r="J423" s="40">
        <f>6102.27/678</f>
        <v>9.0003982300884964</v>
      </c>
      <c r="K423" s="39"/>
      <c r="L423" s="39"/>
      <c r="M423" s="39"/>
      <c r="N423" s="23"/>
      <c r="O423" s="39"/>
      <c r="P423" s="39"/>
      <c r="Q423" s="39"/>
      <c r="R423" s="39"/>
    </row>
    <row r="424" spans="1:18" s="2" customFormat="1" ht="39.6">
      <c r="A424" s="20">
        <f t="shared" si="29"/>
        <v>387</v>
      </c>
      <c r="B424" s="17" t="s">
        <v>616</v>
      </c>
      <c r="C424" s="17" t="s">
        <v>617</v>
      </c>
      <c r="D424" s="20" t="s">
        <v>8</v>
      </c>
      <c r="E424" s="20" t="s">
        <v>9</v>
      </c>
      <c r="F424" s="18">
        <v>1</v>
      </c>
      <c r="G424" s="19">
        <f>1.633198857*336.16</f>
        <v>549.01612776912009</v>
      </c>
      <c r="H424" s="32">
        <v>1277.33</v>
      </c>
      <c r="I424" s="25">
        <f t="shared" si="27"/>
        <v>701274.77048333012</v>
      </c>
      <c r="J424" s="40"/>
      <c r="K424" s="39"/>
      <c r="L424" s="39"/>
      <c r="M424" s="39"/>
      <c r="N424" s="23"/>
      <c r="O424" s="39"/>
      <c r="P424" s="39"/>
      <c r="Q424" s="39"/>
      <c r="R424" s="39"/>
    </row>
    <row r="425" spans="1:18" s="2" customFormat="1" ht="26.4">
      <c r="A425" s="20">
        <f t="shared" si="29"/>
        <v>388</v>
      </c>
      <c r="B425" s="17" t="s">
        <v>618</v>
      </c>
      <c r="C425" s="17" t="s">
        <v>619</v>
      </c>
      <c r="D425" s="20" t="s">
        <v>8</v>
      </c>
      <c r="E425" s="20" t="s">
        <v>9</v>
      </c>
      <c r="F425" s="18">
        <v>1</v>
      </c>
      <c r="G425" s="19">
        <f>547.29*1.15</f>
        <v>629.38349999999991</v>
      </c>
      <c r="H425" s="32">
        <f>1277.33*1.05</f>
        <v>1341.1965</v>
      </c>
      <c r="I425" s="25">
        <f t="shared" si="27"/>
        <v>844126.94735774992</v>
      </c>
      <c r="J425" s="40"/>
      <c r="K425" s="39"/>
      <c r="L425" s="39"/>
      <c r="M425" s="39"/>
      <c r="N425" s="23"/>
      <c r="O425" s="39"/>
      <c r="P425" s="39"/>
      <c r="Q425" s="39"/>
      <c r="R425" s="39"/>
    </row>
    <row r="426" spans="1:18" ht="14.4">
      <c r="A426" s="20"/>
      <c r="B426" s="13" t="s">
        <v>651</v>
      </c>
      <c r="C426" s="14" t="s">
        <v>652</v>
      </c>
      <c r="D426" s="14"/>
      <c r="E426" s="14"/>
      <c r="F426" s="18"/>
      <c r="G426" s="19"/>
      <c r="H426" s="15"/>
      <c r="I426" s="25"/>
      <c r="J426" s="52" t="s">
        <v>653</v>
      </c>
      <c r="K426" s="22">
        <v>102.69</v>
      </c>
      <c r="L426" s="22"/>
      <c r="M426" s="22"/>
      <c r="N426" s="23"/>
      <c r="O426" s="22"/>
      <c r="P426" s="22"/>
      <c r="Q426" s="22"/>
      <c r="R426" s="22"/>
    </row>
    <row r="427" spans="1:18" s="2" customFormat="1" ht="26.4">
      <c r="A427" s="20">
        <f>A425+1</f>
        <v>389</v>
      </c>
      <c r="B427" s="17" t="s">
        <v>654</v>
      </c>
      <c r="C427" s="17" t="s">
        <v>637</v>
      </c>
      <c r="D427" s="20" t="s">
        <v>8</v>
      </c>
      <c r="E427" s="20" t="s">
        <v>9</v>
      </c>
      <c r="F427" s="18">
        <v>1</v>
      </c>
      <c r="G427" s="19">
        <f>1.633198857*117.57</f>
        <v>192.01518961748999</v>
      </c>
      <c r="H427" s="32">
        <v>102.69</v>
      </c>
      <c r="I427" s="25">
        <f t="shared" si="27"/>
        <v>19718.039821820046</v>
      </c>
      <c r="J427" s="40"/>
      <c r="K427" s="39"/>
      <c r="L427" s="39"/>
      <c r="M427" s="39"/>
      <c r="N427" s="23"/>
      <c r="O427" s="39"/>
      <c r="P427" s="39"/>
      <c r="Q427" s="39"/>
      <c r="R427" s="39"/>
    </row>
    <row r="428" spans="1:18" s="2" customFormat="1" ht="26.4">
      <c r="A428" s="20">
        <f t="shared" ref="A428:A437" si="30">A427+1</f>
        <v>390</v>
      </c>
      <c r="B428" s="17" t="s">
        <v>594</v>
      </c>
      <c r="C428" s="17" t="s">
        <v>595</v>
      </c>
      <c r="D428" s="20" t="s">
        <v>8</v>
      </c>
      <c r="E428" s="20" t="s">
        <v>9</v>
      </c>
      <c r="F428" s="18">
        <v>1</v>
      </c>
      <c r="G428" s="19">
        <f>1.633198857*105.68</f>
        <v>172.59645520776002</v>
      </c>
      <c r="H428" s="32">
        <v>102.69</v>
      </c>
      <c r="I428" s="25">
        <f t="shared" si="27"/>
        <v>17723.929985284874</v>
      </c>
      <c r="J428" s="40"/>
      <c r="K428" s="39"/>
      <c r="L428" s="39"/>
      <c r="M428" s="39"/>
      <c r="N428" s="23"/>
      <c r="O428" s="39"/>
      <c r="P428" s="39"/>
      <c r="Q428" s="39"/>
      <c r="R428" s="39"/>
    </row>
    <row r="429" spans="1:18" s="2" customFormat="1" ht="14.4">
      <c r="A429" s="20">
        <f t="shared" si="30"/>
        <v>391</v>
      </c>
      <c r="B429" s="17" t="s">
        <v>320</v>
      </c>
      <c r="C429" s="17" t="s">
        <v>321</v>
      </c>
      <c r="D429" s="20" t="s">
        <v>8</v>
      </c>
      <c r="E429" s="20" t="s">
        <v>9</v>
      </c>
      <c r="F429" s="18">
        <v>1</v>
      </c>
      <c r="G429" s="19">
        <f>1.633198857*19.95</f>
        <v>32.582317197149997</v>
      </c>
      <c r="H429" s="32">
        <v>102.69</v>
      </c>
      <c r="I429" s="25">
        <f t="shared" si="27"/>
        <v>3345.8781529753333</v>
      </c>
      <c r="J429" s="40"/>
      <c r="K429" s="39"/>
      <c r="L429" s="39"/>
      <c r="M429" s="39"/>
      <c r="N429" s="23"/>
      <c r="O429" s="39"/>
      <c r="P429" s="39"/>
      <c r="Q429" s="39"/>
      <c r="R429" s="39"/>
    </row>
    <row r="430" spans="1:18" s="2" customFormat="1" ht="26.4">
      <c r="A430" s="20">
        <f t="shared" si="30"/>
        <v>392</v>
      </c>
      <c r="B430" s="17" t="s">
        <v>638</v>
      </c>
      <c r="C430" s="17" t="s">
        <v>655</v>
      </c>
      <c r="D430" s="9" t="s">
        <v>56</v>
      </c>
      <c r="E430" s="20" t="s">
        <v>42</v>
      </c>
      <c r="F430" s="18">
        <v>1</v>
      </c>
      <c r="G430" s="19">
        <f>29299.35</f>
        <v>29299.35</v>
      </c>
      <c r="H430" s="32">
        <v>0.40217039999999998</v>
      </c>
      <c r="I430" s="25">
        <f t="shared" si="27"/>
        <v>11783.331309239999</v>
      </c>
      <c r="J430" s="40"/>
      <c r="K430" s="39"/>
      <c r="L430" s="39"/>
      <c r="M430" s="39"/>
      <c r="N430" s="23"/>
      <c r="O430" s="39"/>
      <c r="P430" s="39"/>
      <c r="Q430" s="39"/>
      <c r="R430" s="39"/>
    </row>
    <row r="431" spans="1:18" s="2" customFormat="1" ht="26.4">
      <c r="A431" s="20">
        <f t="shared" si="30"/>
        <v>393</v>
      </c>
      <c r="B431" s="17" t="s">
        <v>639</v>
      </c>
      <c r="C431" s="17" t="s">
        <v>640</v>
      </c>
      <c r="D431" s="20" t="s">
        <v>8</v>
      </c>
      <c r="E431" s="20" t="s">
        <v>9</v>
      </c>
      <c r="F431" s="18">
        <v>1</v>
      </c>
      <c r="G431" s="19">
        <f>1.633198857*894.58</f>
        <v>1461.0270334950601</v>
      </c>
      <c r="H431" s="32">
        <v>119.5</v>
      </c>
      <c r="I431" s="25">
        <f t="shared" si="27"/>
        <v>174592.73050265969</v>
      </c>
      <c r="J431" s="40"/>
      <c r="K431" s="39"/>
      <c r="L431" s="39"/>
      <c r="M431" s="39"/>
      <c r="N431" s="23"/>
      <c r="O431" s="39"/>
      <c r="P431" s="39"/>
      <c r="Q431" s="39"/>
      <c r="R431" s="39"/>
    </row>
    <row r="432" spans="1:18" s="2" customFormat="1" ht="26.4">
      <c r="A432" s="20">
        <f t="shared" si="30"/>
        <v>394</v>
      </c>
      <c r="B432" s="17" t="s">
        <v>608</v>
      </c>
      <c r="C432" s="17" t="s">
        <v>609</v>
      </c>
      <c r="D432" s="20" t="s">
        <v>8</v>
      </c>
      <c r="E432" s="20" t="s">
        <v>9</v>
      </c>
      <c r="F432" s="18">
        <v>1</v>
      </c>
      <c r="G432" s="19">
        <f>1.633198857*86</f>
        <v>140.45510170200001</v>
      </c>
      <c r="H432" s="32">
        <v>102.69</v>
      </c>
      <c r="I432" s="25">
        <f t="shared" si="27"/>
        <v>14423.334393778381</v>
      </c>
      <c r="J432" s="40"/>
      <c r="K432" s="39"/>
      <c r="L432" s="39"/>
      <c r="M432" s="39"/>
      <c r="N432" s="23"/>
      <c r="O432" s="39"/>
      <c r="P432" s="39"/>
      <c r="Q432" s="39"/>
      <c r="R432" s="39"/>
    </row>
    <row r="433" spans="1:18" s="2" customFormat="1" ht="26.4">
      <c r="A433" s="20">
        <f t="shared" si="30"/>
        <v>395</v>
      </c>
      <c r="B433" s="17" t="s">
        <v>610</v>
      </c>
      <c r="C433" s="17" t="s">
        <v>656</v>
      </c>
      <c r="D433" s="9" t="s">
        <v>52</v>
      </c>
      <c r="E433" s="20" t="s">
        <v>53</v>
      </c>
      <c r="F433" s="18">
        <v>1</v>
      </c>
      <c r="G433" s="19">
        <f>127.19</f>
        <v>127.19</v>
      </c>
      <c r="H433" s="32">
        <v>20.472239999999999</v>
      </c>
      <c r="I433" s="25">
        <f t="shared" si="27"/>
        <v>2603.8642055999999</v>
      </c>
      <c r="J433" s="40"/>
      <c r="K433" s="39"/>
      <c r="L433" s="39"/>
      <c r="M433" s="39"/>
      <c r="N433" s="23"/>
      <c r="O433" s="39"/>
      <c r="P433" s="39"/>
      <c r="Q433" s="39"/>
      <c r="R433" s="39"/>
    </row>
    <row r="434" spans="1:18" s="2" customFormat="1" ht="26.4">
      <c r="A434" s="20">
        <f t="shared" si="30"/>
        <v>396</v>
      </c>
      <c r="B434" s="17" t="s">
        <v>612</v>
      </c>
      <c r="C434" s="17" t="s">
        <v>613</v>
      </c>
      <c r="D434" s="9" t="s">
        <v>44</v>
      </c>
      <c r="E434" s="20" t="s">
        <v>45</v>
      </c>
      <c r="F434" s="18">
        <v>1</v>
      </c>
      <c r="G434" s="19">
        <f>50.05</f>
        <v>50.05</v>
      </c>
      <c r="H434" s="32">
        <v>7.8459599999999998</v>
      </c>
      <c r="I434" s="25">
        <f t="shared" si="27"/>
        <v>392.69029799999998</v>
      </c>
      <c r="J434" s="40"/>
      <c r="K434" s="39"/>
      <c r="L434" s="39"/>
      <c r="M434" s="39"/>
      <c r="N434" s="23"/>
      <c r="O434" s="39"/>
      <c r="P434" s="39"/>
      <c r="Q434" s="39"/>
      <c r="R434" s="39"/>
    </row>
    <row r="435" spans="1:18" s="2" customFormat="1" ht="26.4">
      <c r="A435" s="20">
        <f t="shared" si="30"/>
        <v>397</v>
      </c>
      <c r="B435" s="17" t="s">
        <v>657</v>
      </c>
      <c r="C435" s="17" t="s">
        <v>615</v>
      </c>
      <c r="D435" s="9" t="s">
        <v>44</v>
      </c>
      <c r="E435" s="20" t="s">
        <v>45</v>
      </c>
      <c r="F435" s="18">
        <v>1</v>
      </c>
      <c r="G435" s="19">
        <f>26.54</f>
        <v>26.54</v>
      </c>
      <c r="H435" s="32">
        <v>935.28</v>
      </c>
      <c r="I435" s="25">
        <f t="shared" si="27"/>
        <v>24822.331199999997</v>
      </c>
      <c r="J435" s="40"/>
      <c r="K435" s="39"/>
      <c r="L435" s="39"/>
      <c r="M435" s="39"/>
      <c r="N435" s="23"/>
      <c r="O435" s="39"/>
      <c r="P435" s="39"/>
      <c r="Q435" s="39"/>
      <c r="R435" s="39"/>
    </row>
    <row r="436" spans="1:18" s="2" customFormat="1" ht="39.6">
      <c r="A436" s="20">
        <f t="shared" si="30"/>
        <v>398</v>
      </c>
      <c r="B436" s="17" t="s">
        <v>616</v>
      </c>
      <c r="C436" s="17" t="s">
        <v>617</v>
      </c>
      <c r="D436" s="20" t="s">
        <v>8</v>
      </c>
      <c r="E436" s="20" t="s">
        <v>9</v>
      </c>
      <c r="F436" s="18">
        <v>1</v>
      </c>
      <c r="G436" s="19">
        <f>1.633198857*336.16</f>
        <v>549.01612776912009</v>
      </c>
      <c r="H436" s="32">
        <v>102.69</v>
      </c>
      <c r="I436" s="25">
        <f t="shared" si="27"/>
        <v>56378.466160610944</v>
      </c>
      <c r="J436" s="40"/>
      <c r="K436" s="39"/>
      <c r="L436" s="39"/>
      <c r="M436" s="39"/>
      <c r="N436" s="23"/>
      <c r="O436" s="39"/>
      <c r="P436" s="39"/>
      <c r="Q436" s="39"/>
      <c r="R436" s="39"/>
    </row>
    <row r="437" spans="1:18" s="2" customFormat="1" ht="26.4">
      <c r="A437" s="20">
        <f t="shared" si="30"/>
        <v>399</v>
      </c>
      <c r="B437" s="17" t="s">
        <v>618</v>
      </c>
      <c r="C437" s="17" t="s">
        <v>619</v>
      </c>
      <c r="D437" s="20" t="s">
        <v>8</v>
      </c>
      <c r="E437" s="20" t="s">
        <v>9</v>
      </c>
      <c r="F437" s="18">
        <v>1</v>
      </c>
      <c r="G437" s="19">
        <f>547.29</f>
        <v>547.29</v>
      </c>
      <c r="H437" s="32">
        <v>105.9984</v>
      </c>
      <c r="I437" s="25">
        <f t="shared" si="27"/>
        <v>58011.864335999999</v>
      </c>
      <c r="J437" s="40"/>
      <c r="K437" s="39"/>
      <c r="L437" s="39"/>
      <c r="M437" s="39"/>
      <c r="N437" s="23"/>
      <c r="O437" s="39"/>
      <c r="P437" s="39"/>
      <c r="Q437" s="39"/>
      <c r="R437" s="39"/>
    </row>
    <row r="438" spans="1:18" ht="14.4">
      <c r="A438" s="20"/>
      <c r="B438" s="13" t="s">
        <v>658</v>
      </c>
      <c r="C438" s="14" t="s">
        <v>659</v>
      </c>
      <c r="D438" s="14"/>
      <c r="E438" s="14"/>
      <c r="F438" s="18"/>
      <c r="G438" s="19"/>
      <c r="H438" s="15"/>
      <c r="I438" s="25"/>
      <c r="J438" s="52" t="s">
        <v>660</v>
      </c>
      <c r="K438" s="22">
        <v>259.08999999999997</v>
      </c>
      <c r="L438" s="22"/>
      <c r="M438" s="22"/>
      <c r="N438" s="23"/>
      <c r="O438" s="22"/>
      <c r="P438" s="22"/>
      <c r="Q438" s="22"/>
      <c r="R438" s="22"/>
    </row>
    <row r="439" spans="1:18" s="2" customFormat="1" ht="14.4">
      <c r="A439" s="20">
        <f>A437+1</f>
        <v>400</v>
      </c>
      <c r="B439" s="17" t="s">
        <v>182</v>
      </c>
      <c r="C439" s="17" t="s">
        <v>183</v>
      </c>
      <c r="D439" s="20" t="s">
        <v>17</v>
      </c>
      <c r="E439" s="20" t="s">
        <v>43</v>
      </c>
      <c r="F439" s="18">
        <v>1</v>
      </c>
      <c r="G439" s="19">
        <f>1.633198857*274.56</f>
        <v>448.41107817791999</v>
      </c>
      <c r="H439" s="32">
        <v>75</v>
      </c>
      <c r="I439" s="25">
        <f t="shared" si="27"/>
        <v>33630.830863344003</v>
      </c>
      <c r="J439" s="40"/>
      <c r="K439" s="39"/>
      <c r="L439" s="39"/>
      <c r="M439" s="39"/>
      <c r="N439" s="23"/>
      <c r="O439" s="39"/>
      <c r="P439" s="39"/>
      <c r="Q439" s="39"/>
      <c r="R439" s="39"/>
    </row>
    <row r="440" spans="1:18" s="2" customFormat="1" ht="14.4">
      <c r="A440" s="20">
        <f t="shared" ref="A440:A452" si="31">A439+1</f>
        <v>401</v>
      </c>
      <c r="B440" s="17" t="s">
        <v>661</v>
      </c>
      <c r="C440" s="17" t="s">
        <v>662</v>
      </c>
      <c r="D440" s="20" t="s">
        <v>17</v>
      </c>
      <c r="E440" s="20" t="s">
        <v>43</v>
      </c>
      <c r="F440" s="18">
        <v>1</v>
      </c>
      <c r="G440" s="19">
        <f>2958</f>
        <v>2958</v>
      </c>
      <c r="H440" s="32">
        <v>76.527540000000002</v>
      </c>
      <c r="I440" s="25">
        <f t="shared" si="27"/>
        <v>226368.46332000001</v>
      </c>
      <c r="J440" s="40"/>
      <c r="K440" s="39"/>
      <c r="L440" s="39"/>
      <c r="M440" s="39"/>
      <c r="N440" s="23"/>
      <c r="O440" s="39"/>
      <c r="P440" s="39"/>
      <c r="Q440" s="39"/>
      <c r="R440" s="39"/>
    </row>
    <row r="441" spans="1:18" s="2" customFormat="1" ht="26.4">
      <c r="A441" s="20">
        <f t="shared" si="31"/>
        <v>402</v>
      </c>
      <c r="B441" s="17" t="s">
        <v>585</v>
      </c>
      <c r="C441" s="17" t="s">
        <v>586</v>
      </c>
      <c r="D441" s="20" t="s">
        <v>8</v>
      </c>
      <c r="E441" s="20" t="s">
        <v>9</v>
      </c>
      <c r="F441" s="18">
        <v>1</v>
      </c>
      <c r="G441" s="19">
        <f>1.633198857*16.03</f>
        <v>26.180177677710002</v>
      </c>
      <c r="H441" s="32">
        <v>259.08999999999997</v>
      </c>
      <c r="I441" s="25">
        <f t="shared" si="27"/>
        <v>6783.0222345178836</v>
      </c>
      <c r="J441" s="40"/>
      <c r="K441" s="39"/>
      <c r="L441" s="39"/>
      <c r="M441" s="39"/>
      <c r="N441" s="23"/>
      <c r="O441" s="39"/>
      <c r="P441" s="39"/>
      <c r="Q441" s="39"/>
      <c r="R441" s="39"/>
    </row>
    <row r="442" spans="1:18" s="2" customFormat="1" ht="14.4">
      <c r="A442" s="20">
        <f t="shared" si="31"/>
        <v>403</v>
      </c>
      <c r="B442" s="17" t="s">
        <v>538</v>
      </c>
      <c r="C442" s="17" t="s">
        <v>539</v>
      </c>
      <c r="D442" s="20" t="s">
        <v>8</v>
      </c>
      <c r="E442" s="20" t="s">
        <v>9</v>
      </c>
      <c r="F442" s="18">
        <v>1</v>
      </c>
      <c r="G442" s="19">
        <f>8.75</f>
        <v>8.75</v>
      </c>
      <c r="H442" s="32">
        <v>275</v>
      </c>
      <c r="I442" s="25">
        <f t="shared" si="27"/>
        <v>2406.25</v>
      </c>
      <c r="J442" s="40"/>
      <c r="K442" s="39"/>
      <c r="L442" s="39"/>
      <c r="M442" s="39"/>
      <c r="N442" s="23"/>
      <c r="O442" s="39"/>
      <c r="P442" s="39"/>
      <c r="Q442" s="39"/>
      <c r="R442" s="39"/>
    </row>
    <row r="443" spans="1:18" s="2" customFormat="1" ht="26.4">
      <c r="A443" s="20">
        <f t="shared" si="31"/>
        <v>404</v>
      </c>
      <c r="B443" s="17" t="s">
        <v>588</v>
      </c>
      <c r="C443" s="17" t="s">
        <v>589</v>
      </c>
      <c r="D443" s="20" t="s">
        <v>8</v>
      </c>
      <c r="E443" s="20" t="s">
        <v>9</v>
      </c>
      <c r="F443" s="18">
        <v>1</v>
      </c>
      <c r="G443" s="19">
        <f>1.633198857*40.2</f>
        <v>65.654594051400011</v>
      </c>
      <c r="H443" s="32">
        <v>259.08999999999997</v>
      </c>
      <c r="I443" s="25">
        <f t="shared" si="27"/>
        <v>17010.448772777228</v>
      </c>
      <c r="J443" s="40"/>
      <c r="K443" s="39"/>
      <c r="L443" s="39"/>
      <c r="M443" s="39"/>
      <c r="N443" s="23"/>
      <c r="O443" s="39"/>
      <c r="P443" s="39"/>
      <c r="Q443" s="39"/>
      <c r="R443" s="39"/>
    </row>
    <row r="444" spans="1:18" s="2" customFormat="1" ht="26.4">
      <c r="A444" s="20">
        <f t="shared" si="31"/>
        <v>405</v>
      </c>
      <c r="B444" s="17" t="s">
        <v>590</v>
      </c>
      <c r="C444" s="17" t="s">
        <v>591</v>
      </c>
      <c r="D444" s="20" t="s">
        <v>17</v>
      </c>
      <c r="E444" s="20" t="s">
        <v>43</v>
      </c>
      <c r="F444" s="18">
        <v>1</v>
      </c>
      <c r="G444" s="19">
        <f>4821.83</f>
        <v>4821.83</v>
      </c>
      <c r="H444" s="32">
        <v>12.75459</v>
      </c>
      <c r="I444" s="25">
        <f t="shared" si="27"/>
        <v>61500.464699700002</v>
      </c>
      <c r="J444" s="40"/>
      <c r="K444" s="39"/>
      <c r="L444" s="39"/>
      <c r="M444" s="39"/>
      <c r="N444" s="23"/>
      <c r="O444" s="39"/>
      <c r="P444" s="39"/>
      <c r="Q444" s="39"/>
      <c r="R444" s="39"/>
    </row>
    <row r="445" spans="1:18" s="2" customFormat="1" ht="26.4">
      <c r="A445" s="20">
        <f t="shared" si="31"/>
        <v>406</v>
      </c>
      <c r="B445" s="17" t="s">
        <v>592</v>
      </c>
      <c r="C445" s="17" t="s">
        <v>637</v>
      </c>
      <c r="D445" s="20" t="s">
        <v>8</v>
      </c>
      <c r="E445" s="20" t="s">
        <v>9</v>
      </c>
      <c r="F445" s="18">
        <v>1</v>
      </c>
      <c r="G445" s="19">
        <f>1.633198857*117.57</f>
        <v>192.01518961748999</v>
      </c>
      <c r="H445" s="32">
        <v>259.08999999999997</v>
      </c>
      <c r="I445" s="25">
        <f t="shared" si="27"/>
        <v>49749.21547799548</v>
      </c>
      <c r="J445" s="40"/>
      <c r="K445" s="39"/>
      <c r="L445" s="39"/>
      <c r="M445" s="39"/>
      <c r="N445" s="23"/>
      <c r="O445" s="39"/>
      <c r="P445" s="39"/>
      <c r="Q445" s="39"/>
      <c r="R445" s="39"/>
    </row>
    <row r="446" spans="1:18" s="2" customFormat="1" ht="26.4">
      <c r="A446" s="20">
        <f t="shared" si="31"/>
        <v>407</v>
      </c>
      <c r="B446" s="17" t="s">
        <v>594</v>
      </c>
      <c r="C446" s="17" t="s">
        <v>595</v>
      </c>
      <c r="D446" s="20" t="s">
        <v>8</v>
      </c>
      <c r="E446" s="20" t="s">
        <v>9</v>
      </c>
      <c r="F446" s="18">
        <v>1</v>
      </c>
      <c r="G446" s="19">
        <f>1.633198857*166.07</f>
        <v>271.22533418198998</v>
      </c>
      <c r="H446" s="32">
        <v>259.08999999999997</v>
      </c>
      <c r="I446" s="25">
        <f t="shared" si="27"/>
        <v>70271.77183321178</v>
      </c>
      <c r="J446" s="40"/>
      <c r="K446" s="39"/>
      <c r="L446" s="39"/>
      <c r="M446" s="39"/>
      <c r="N446" s="23"/>
      <c r="O446" s="39"/>
      <c r="P446" s="39"/>
      <c r="Q446" s="39"/>
      <c r="R446" s="39"/>
    </row>
    <row r="447" spans="1:18" s="2" customFormat="1" ht="14.4">
      <c r="A447" s="20">
        <f t="shared" si="31"/>
        <v>408</v>
      </c>
      <c r="B447" s="17" t="s">
        <v>320</v>
      </c>
      <c r="C447" s="17" t="s">
        <v>321</v>
      </c>
      <c r="D447" s="20" t="s">
        <v>8</v>
      </c>
      <c r="E447" s="20" t="s">
        <v>9</v>
      </c>
      <c r="F447" s="18">
        <v>1</v>
      </c>
      <c r="G447" s="19">
        <f>1.633198857*19.95</f>
        <v>32.582317197149997</v>
      </c>
      <c r="H447" s="32">
        <v>259.08999999999997</v>
      </c>
      <c r="I447" s="25">
        <f t="shared" si="27"/>
        <v>8441.7525626095921</v>
      </c>
      <c r="J447" s="40"/>
      <c r="K447" s="39"/>
      <c r="L447" s="39"/>
      <c r="M447" s="39"/>
      <c r="N447" s="23"/>
      <c r="O447" s="39"/>
      <c r="P447" s="39"/>
      <c r="Q447" s="39"/>
      <c r="R447" s="39"/>
    </row>
    <row r="448" spans="1:18" s="2" customFormat="1" ht="26.4">
      <c r="A448" s="20">
        <f t="shared" si="31"/>
        <v>409</v>
      </c>
      <c r="B448" s="17" t="s">
        <v>663</v>
      </c>
      <c r="C448" s="17" t="s">
        <v>664</v>
      </c>
      <c r="D448" s="9" t="s">
        <v>56</v>
      </c>
      <c r="E448" s="20" t="s">
        <v>42</v>
      </c>
      <c r="F448" s="18">
        <v>1</v>
      </c>
      <c r="G448" s="19">
        <f>29299.35</f>
        <v>29299.35</v>
      </c>
      <c r="H448" s="32">
        <v>0.96784829999999999</v>
      </c>
      <c r="I448" s="25">
        <f t="shared" si="27"/>
        <v>28357.326088604997</v>
      </c>
      <c r="J448" s="40"/>
      <c r="K448" s="39"/>
      <c r="L448" s="39"/>
      <c r="M448" s="39"/>
      <c r="N448" s="23"/>
      <c r="O448" s="39"/>
      <c r="P448" s="39"/>
      <c r="Q448" s="39"/>
      <c r="R448" s="39"/>
    </row>
    <row r="449" spans="1:18" s="2" customFormat="1" ht="14.4">
      <c r="A449" s="20">
        <f t="shared" si="31"/>
        <v>410</v>
      </c>
      <c r="B449" s="17" t="s">
        <v>596</v>
      </c>
      <c r="C449" s="17" t="s">
        <v>597</v>
      </c>
      <c r="D449" s="20" t="s">
        <v>8</v>
      </c>
      <c r="E449" s="20" t="s">
        <v>9</v>
      </c>
      <c r="F449" s="18">
        <v>1</v>
      </c>
      <c r="G449" s="19">
        <f>1.633198857*54.04</f>
        <v>88.258066232280001</v>
      </c>
      <c r="H449" s="32">
        <v>250.1</v>
      </c>
      <c r="I449" s="25">
        <f t="shared" si="27"/>
        <v>22073.342364693228</v>
      </c>
      <c r="J449" s="40"/>
      <c r="K449" s="39"/>
      <c r="L449" s="39"/>
      <c r="M449" s="39"/>
      <c r="N449" s="23"/>
      <c r="O449" s="39"/>
      <c r="P449" s="39"/>
      <c r="Q449" s="39"/>
      <c r="R449" s="39"/>
    </row>
    <row r="450" spans="1:18" s="2" customFormat="1" ht="14.4">
      <c r="A450" s="20">
        <f t="shared" si="31"/>
        <v>411</v>
      </c>
      <c r="B450" s="17" t="s">
        <v>627</v>
      </c>
      <c r="C450" s="17" t="s">
        <v>628</v>
      </c>
      <c r="D450" s="9" t="s">
        <v>52</v>
      </c>
      <c r="E450" s="20" t="s">
        <v>53</v>
      </c>
      <c r="F450" s="18">
        <v>1</v>
      </c>
      <c r="G450" s="19">
        <f>60.77</f>
        <v>60.77</v>
      </c>
      <c r="H450" s="32">
        <v>75.027000000000001</v>
      </c>
      <c r="I450" s="25">
        <f t="shared" si="27"/>
        <v>4559.3907900000004</v>
      </c>
      <c r="J450" s="40"/>
      <c r="K450" s="39"/>
      <c r="L450" s="39"/>
      <c r="M450" s="39"/>
      <c r="N450" s="23"/>
      <c r="O450" s="39"/>
      <c r="P450" s="39"/>
      <c r="Q450" s="39"/>
      <c r="R450" s="39"/>
    </row>
    <row r="451" spans="1:18" s="2" customFormat="1" ht="14.4">
      <c r="A451" s="20">
        <f t="shared" si="31"/>
        <v>412</v>
      </c>
      <c r="B451" s="17" t="s">
        <v>598</v>
      </c>
      <c r="C451" s="17" t="s">
        <v>599</v>
      </c>
      <c r="D451" s="20" t="s">
        <v>8</v>
      </c>
      <c r="E451" s="20" t="s">
        <v>9</v>
      </c>
      <c r="F451" s="18">
        <v>1</v>
      </c>
      <c r="G451" s="19">
        <f>1.633198857*449.22</f>
        <v>733.66559054154004</v>
      </c>
      <c r="H451" s="32">
        <v>250.1</v>
      </c>
      <c r="I451" s="25">
        <f t="shared" si="27"/>
        <v>183489.76419443917</v>
      </c>
      <c r="J451" s="40"/>
      <c r="K451" s="39"/>
      <c r="L451" s="39"/>
      <c r="M451" s="39"/>
      <c r="N451" s="23"/>
      <c r="O451" s="39"/>
      <c r="P451" s="39"/>
      <c r="Q451" s="39"/>
      <c r="R451" s="39"/>
    </row>
    <row r="452" spans="1:18" s="2" customFormat="1" ht="14.4">
      <c r="A452" s="20">
        <f t="shared" si="31"/>
        <v>413</v>
      </c>
      <c r="B452" s="17" t="s">
        <v>600</v>
      </c>
      <c r="C452" s="17" t="s">
        <v>601</v>
      </c>
      <c r="D452" s="20" t="s">
        <v>8</v>
      </c>
      <c r="E452" s="20" t="s">
        <v>9</v>
      </c>
      <c r="F452" s="18">
        <v>1</v>
      </c>
      <c r="G452" s="19">
        <f>880.37</f>
        <v>880.37</v>
      </c>
      <c r="H452" s="32">
        <f>250.1*1.05</f>
        <v>262.60500000000002</v>
      </c>
      <c r="I452" s="25">
        <f t="shared" si="27"/>
        <v>231189.56385000001</v>
      </c>
      <c r="J452" s="40"/>
      <c r="K452" s="39"/>
      <c r="L452" s="39"/>
      <c r="M452" s="39"/>
      <c r="N452" s="23"/>
      <c r="O452" s="39"/>
      <c r="P452" s="39"/>
      <c r="Q452" s="39"/>
      <c r="R452" s="39"/>
    </row>
    <row r="453" spans="1:18" s="2" customFormat="1" ht="26.4">
      <c r="A453" s="20"/>
      <c r="B453" s="13" t="s">
        <v>665</v>
      </c>
      <c r="C453" s="14" t="s">
        <v>666</v>
      </c>
      <c r="D453" s="20"/>
      <c r="E453" s="20"/>
      <c r="F453" s="18"/>
      <c r="G453" s="19"/>
      <c r="H453" s="32"/>
      <c r="I453" s="25"/>
      <c r="J453" s="64" t="s">
        <v>667</v>
      </c>
      <c r="K453" s="65">
        <v>97.06</v>
      </c>
      <c r="L453" s="66"/>
      <c r="M453" s="39"/>
      <c r="N453" s="23"/>
      <c r="O453" s="39"/>
      <c r="P453" s="39"/>
      <c r="Q453" s="39"/>
      <c r="R453" s="39"/>
    </row>
    <row r="454" spans="1:18" s="2" customFormat="1" ht="39.6">
      <c r="A454" s="20">
        <f>A452+1</f>
        <v>414</v>
      </c>
      <c r="B454" s="17" t="s">
        <v>616</v>
      </c>
      <c r="C454" s="17" t="s">
        <v>617</v>
      </c>
      <c r="D454" s="20" t="s">
        <v>8</v>
      </c>
      <c r="E454" s="20" t="s">
        <v>9</v>
      </c>
      <c r="F454" s="18">
        <v>1</v>
      </c>
      <c r="G454" s="19">
        <f>549.02</f>
        <v>549.02</v>
      </c>
      <c r="H454" s="32">
        <v>97.06</v>
      </c>
      <c r="I454" s="25">
        <f t="shared" si="27"/>
        <v>53287.881199999996</v>
      </c>
      <c r="J454" s="66"/>
      <c r="K454" s="66"/>
      <c r="L454" s="66"/>
      <c r="M454" s="39"/>
      <c r="N454" s="23"/>
      <c r="O454" s="39"/>
      <c r="P454" s="39"/>
      <c r="Q454" s="39"/>
      <c r="R454" s="39"/>
    </row>
    <row r="455" spans="1:18" s="2" customFormat="1" ht="26.4">
      <c r="A455" s="20">
        <f>A454+1</f>
        <v>415</v>
      </c>
      <c r="B455" s="17" t="s">
        <v>618</v>
      </c>
      <c r="C455" s="17" t="s">
        <v>619</v>
      </c>
      <c r="D455" s="20" t="s">
        <v>8</v>
      </c>
      <c r="E455" s="20" t="s">
        <v>9</v>
      </c>
      <c r="F455" s="18">
        <v>1</v>
      </c>
      <c r="G455" s="19">
        <f>547.29</f>
        <v>547.29</v>
      </c>
      <c r="H455" s="32">
        <f>97.06*1.05</f>
        <v>101.91300000000001</v>
      </c>
      <c r="I455" s="25">
        <f t="shared" si="27"/>
        <v>55775.965770000003</v>
      </c>
      <c r="J455" s="66"/>
      <c r="K455" s="66"/>
      <c r="L455" s="66"/>
      <c r="M455" s="39"/>
      <c r="N455" s="23"/>
      <c r="O455" s="39"/>
      <c r="P455" s="39"/>
      <c r="Q455" s="39"/>
      <c r="R455" s="39"/>
    </row>
    <row r="456" spans="1:18" ht="14.4">
      <c r="A456" s="20"/>
      <c r="B456" s="13" t="s">
        <v>668</v>
      </c>
      <c r="C456" s="14" t="s">
        <v>669</v>
      </c>
      <c r="D456" s="14"/>
      <c r="E456" s="14"/>
      <c r="F456" s="18"/>
      <c r="G456" s="19"/>
      <c r="H456" s="15"/>
      <c r="I456" s="25"/>
      <c r="J456" s="24"/>
      <c r="K456" s="22"/>
      <c r="L456" s="22"/>
      <c r="M456" s="22"/>
      <c r="N456" s="23"/>
      <c r="O456" s="22"/>
      <c r="P456" s="22"/>
      <c r="Q456" s="22"/>
      <c r="R456" s="22"/>
    </row>
    <row r="457" spans="1:18" s="2" customFormat="1" ht="14.4">
      <c r="A457" s="20">
        <f>A455</f>
        <v>415</v>
      </c>
      <c r="B457" s="17" t="s">
        <v>670</v>
      </c>
      <c r="C457" s="17" t="s">
        <v>671</v>
      </c>
      <c r="D457" s="20" t="s">
        <v>5</v>
      </c>
      <c r="E457" s="20" t="s">
        <v>6</v>
      </c>
      <c r="F457" s="18">
        <v>1</v>
      </c>
      <c r="G457" s="19">
        <f>1.633198857*77.61</f>
        <v>126.75256329177</v>
      </c>
      <c r="H457" s="32">
        <v>13</v>
      </c>
      <c r="I457" s="25">
        <f t="shared" si="27"/>
        <v>1647.78332279301</v>
      </c>
      <c r="J457" s="40"/>
      <c r="K457" s="39"/>
      <c r="L457" s="39"/>
      <c r="M457" s="39"/>
      <c r="N457" s="23"/>
      <c r="O457" s="39"/>
      <c r="P457" s="39"/>
      <c r="Q457" s="39"/>
      <c r="R457" s="39"/>
    </row>
    <row r="458" spans="1:18" s="2" customFormat="1" ht="26.4">
      <c r="A458" s="20">
        <f t="shared" ref="A458:A479" si="32">A457+1</f>
        <v>416</v>
      </c>
      <c r="B458" s="17" t="s">
        <v>672</v>
      </c>
      <c r="C458" s="17" t="s">
        <v>673</v>
      </c>
      <c r="D458" s="20" t="s">
        <v>5</v>
      </c>
      <c r="E458" s="20" t="s">
        <v>6</v>
      </c>
      <c r="F458" s="18">
        <v>1</v>
      </c>
      <c r="G458" s="19">
        <f>374.9</f>
        <v>374.9</v>
      </c>
      <c r="H458" s="32">
        <v>9</v>
      </c>
      <c r="I458" s="25">
        <f t="shared" si="27"/>
        <v>3374.1</v>
      </c>
      <c r="J458" s="40"/>
      <c r="K458" s="39"/>
      <c r="L458" s="39"/>
      <c r="M458" s="39"/>
      <c r="N458" s="23"/>
      <c r="O458" s="39"/>
      <c r="P458" s="39"/>
      <c r="Q458" s="39"/>
      <c r="R458" s="39"/>
    </row>
    <row r="459" spans="1:18" s="2" customFormat="1" ht="14.4">
      <c r="A459" s="20">
        <f t="shared" si="32"/>
        <v>417</v>
      </c>
      <c r="B459" s="17" t="s">
        <v>674</v>
      </c>
      <c r="C459" s="17" t="s">
        <v>675</v>
      </c>
      <c r="D459" s="20" t="s">
        <v>5</v>
      </c>
      <c r="E459" s="20" t="s">
        <v>6</v>
      </c>
      <c r="F459" s="18">
        <v>1</v>
      </c>
      <c r="G459" s="19">
        <f>369.8</f>
        <v>369.8</v>
      </c>
      <c r="H459" s="32">
        <v>4</v>
      </c>
      <c r="I459" s="25">
        <f t="shared" ref="I459:I522" si="33">G459*H459</f>
        <v>1479.2</v>
      </c>
      <c r="J459" s="40"/>
      <c r="K459" s="39"/>
      <c r="L459" s="39"/>
      <c r="M459" s="39"/>
      <c r="N459" s="23"/>
      <c r="O459" s="39"/>
      <c r="P459" s="39"/>
      <c r="Q459" s="39"/>
      <c r="R459" s="39"/>
    </row>
    <row r="460" spans="1:18" s="2" customFormat="1" ht="14.4">
      <c r="A460" s="20">
        <f t="shared" si="32"/>
        <v>418</v>
      </c>
      <c r="B460" s="17" t="s">
        <v>676</v>
      </c>
      <c r="C460" s="17" t="s">
        <v>677</v>
      </c>
      <c r="D460" s="20" t="s">
        <v>5</v>
      </c>
      <c r="E460" s="20" t="s">
        <v>6</v>
      </c>
      <c r="F460" s="18">
        <v>1</v>
      </c>
      <c r="G460" s="19">
        <f>202.25</f>
        <v>202.25</v>
      </c>
      <c r="H460" s="32">
        <v>1</v>
      </c>
      <c r="I460" s="25">
        <f t="shared" si="33"/>
        <v>202.25</v>
      </c>
      <c r="J460" s="40"/>
      <c r="K460" s="39"/>
      <c r="L460" s="39"/>
      <c r="M460" s="39"/>
      <c r="N460" s="23"/>
      <c r="O460" s="39"/>
      <c r="P460" s="39"/>
      <c r="Q460" s="39"/>
      <c r="R460" s="39"/>
    </row>
    <row r="461" spans="1:18" s="2" customFormat="1" ht="14.4">
      <c r="A461" s="20">
        <f t="shared" si="32"/>
        <v>419</v>
      </c>
      <c r="B461" s="17" t="s">
        <v>678</v>
      </c>
      <c r="C461" s="17" t="s">
        <v>679</v>
      </c>
      <c r="D461" s="20" t="s">
        <v>5</v>
      </c>
      <c r="E461" s="20" t="s">
        <v>6</v>
      </c>
      <c r="F461" s="18">
        <v>1</v>
      </c>
      <c r="G461" s="19">
        <f>1126.08</f>
        <v>1126.08</v>
      </c>
      <c r="H461" s="32">
        <v>1</v>
      </c>
      <c r="I461" s="25">
        <f t="shared" si="33"/>
        <v>1126.08</v>
      </c>
      <c r="J461" s="40"/>
      <c r="K461" s="39"/>
      <c r="L461" s="39"/>
      <c r="M461" s="39"/>
      <c r="N461" s="23"/>
      <c r="O461" s="39"/>
      <c r="P461" s="39"/>
      <c r="Q461" s="39"/>
      <c r="R461" s="39"/>
    </row>
    <row r="462" spans="1:18" s="2" customFormat="1" ht="26.4">
      <c r="A462" s="20">
        <f t="shared" si="32"/>
        <v>420</v>
      </c>
      <c r="B462" s="17" t="s">
        <v>680</v>
      </c>
      <c r="C462" s="17" t="s">
        <v>681</v>
      </c>
      <c r="D462" s="20" t="s">
        <v>682</v>
      </c>
      <c r="E462" s="20" t="s">
        <v>683</v>
      </c>
      <c r="F462" s="18">
        <v>1</v>
      </c>
      <c r="G462" s="19">
        <f>1.633198857*66.6</f>
        <v>108.7710438762</v>
      </c>
      <c r="H462" s="32">
        <v>50.4</v>
      </c>
      <c r="I462" s="25">
        <f t="shared" si="33"/>
        <v>5482.0606113604799</v>
      </c>
      <c r="J462" s="40"/>
      <c r="K462" s="39"/>
      <c r="L462" s="39"/>
      <c r="M462" s="39"/>
      <c r="N462" s="23"/>
      <c r="O462" s="39"/>
      <c r="P462" s="39"/>
      <c r="Q462" s="39"/>
      <c r="R462" s="39"/>
    </row>
    <row r="463" spans="1:18" s="2" customFormat="1" ht="14.4">
      <c r="A463" s="20">
        <f t="shared" si="32"/>
        <v>421</v>
      </c>
      <c r="B463" s="17" t="s">
        <v>684</v>
      </c>
      <c r="C463" s="17" t="s">
        <v>685</v>
      </c>
      <c r="D463" s="9" t="s">
        <v>25</v>
      </c>
      <c r="E463" s="20" t="s">
        <v>686</v>
      </c>
      <c r="F463" s="18">
        <v>1</v>
      </c>
      <c r="G463" s="19">
        <f>26.1</f>
        <v>26.1</v>
      </c>
      <c r="H463" s="32">
        <v>55.44</v>
      </c>
      <c r="I463" s="25">
        <f t="shared" si="33"/>
        <v>1446.9839999999999</v>
      </c>
      <c r="J463" s="40"/>
      <c r="K463" s="39"/>
      <c r="L463" s="39"/>
      <c r="M463" s="39"/>
      <c r="N463" s="23"/>
      <c r="O463" s="39"/>
      <c r="P463" s="39"/>
      <c r="Q463" s="39"/>
      <c r="R463" s="39"/>
    </row>
    <row r="464" spans="1:18" s="2" customFormat="1" ht="26.4">
      <c r="A464" s="20">
        <f t="shared" si="32"/>
        <v>422</v>
      </c>
      <c r="B464" s="17" t="s">
        <v>687</v>
      </c>
      <c r="C464" s="17" t="s">
        <v>688</v>
      </c>
      <c r="D464" s="9" t="s">
        <v>25</v>
      </c>
      <c r="E464" s="20" t="s">
        <v>26</v>
      </c>
      <c r="F464" s="18">
        <v>1</v>
      </c>
      <c r="G464" s="19">
        <f>1.633198857*13.12</f>
        <v>21.427569003839999</v>
      </c>
      <c r="H464" s="32">
        <v>14.2</v>
      </c>
      <c r="I464" s="25">
        <f t="shared" si="33"/>
        <v>304.27147985452797</v>
      </c>
      <c r="J464" s="40"/>
      <c r="K464" s="39"/>
      <c r="L464" s="39"/>
      <c r="M464" s="39"/>
      <c r="N464" s="23"/>
      <c r="O464" s="39"/>
      <c r="P464" s="39"/>
      <c r="Q464" s="39"/>
      <c r="R464" s="39"/>
    </row>
    <row r="465" spans="1:18" s="2" customFormat="1" ht="14.4">
      <c r="A465" s="20">
        <f t="shared" si="32"/>
        <v>423</v>
      </c>
      <c r="B465" s="17" t="s">
        <v>689</v>
      </c>
      <c r="C465" s="17" t="s">
        <v>690</v>
      </c>
      <c r="D465" s="9" t="s">
        <v>25</v>
      </c>
      <c r="E465" s="20" t="s">
        <v>26</v>
      </c>
      <c r="F465" s="18">
        <v>1</v>
      </c>
      <c r="G465" s="19">
        <f>39.62</f>
        <v>39.619999999999997</v>
      </c>
      <c r="H465" s="32">
        <v>14.342000000000001</v>
      </c>
      <c r="I465" s="25">
        <f t="shared" si="33"/>
        <v>568.23004000000003</v>
      </c>
      <c r="J465" s="40"/>
      <c r="K465" s="39"/>
      <c r="L465" s="39"/>
      <c r="M465" s="39"/>
      <c r="N465" s="23"/>
      <c r="O465" s="39"/>
      <c r="P465" s="39"/>
      <c r="Q465" s="39"/>
      <c r="R465" s="39"/>
    </row>
    <row r="466" spans="1:18" s="2" customFormat="1" ht="39.6">
      <c r="A466" s="20">
        <f t="shared" si="32"/>
        <v>424</v>
      </c>
      <c r="B466" s="17" t="s">
        <v>691</v>
      </c>
      <c r="C466" s="17" t="s">
        <v>692</v>
      </c>
      <c r="D466" s="20" t="s">
        <v>5</v>
      </c>
      <c r="E466" s="20" t="s">
        <v>6</v>
      </c>
      <c r="F466" s="18">
        <v>1</v>
      </c>
      <c r="G466" s="19">
        <f>1.633198857*6.29</f>
        <v>10.27282081053</v>
      </c>
      <c r="H466" s="32">
        <v>8</v>
      </c>
      <c r="I466" s="25">
        <f t="shared" si="33"/>
        <v>82.182566484239999</v>
      </c>
      <c r="J466" s="40"/>
      <c r="K466" s="39"/>
      <c r="L466" s="39"/>
      <c r="M466" s="39"/>
      <c r="N466" s="23"/>
      <c r="O466" s="39"/>
      <c r="P466" s="39"/>
      <c r="Q466" s="39"/>
      <c r="R466" s="39"/>
    </row>
    <row r="467" spans="1:18" s="2" customFormat="1" ht="26.4">
      <c r="A467" s="20">
        <f t="shared" si="32"/>
        <v>425</v>
      </c>
      <c r="B467" s="17" t="s">
        <v>693</v>
      </c>
      <c r="C467" s="17" t="s">
        <v>694</v>
      </c>
      <c r="D467" s="20" t="s">
        <v>5</v>
      </c>
      <c r="E467" s="20" t="s">
        <v>6</v>
      </c>
      <c r="F467" s="18">
        <v>1</v>
      </c>
      <c r="G467" s="19">
        <f>2016.18</f>
        <v>2016.18</v>
      </c>
      <c r="H467" s="32">
        <v>1</v>
      </c>
      <c r="I467" s="25">
        <f t="shared" si="33"/>
        <v>2016.18</v>
      </c>
      <c r="J467" s="40"/>
      <c r="K467" s="39"/>
      <c r="L467" s="39"/>
      <c r="M467" s="39"/>
      <c r="N467" s="23"/>
      <c r="O467" s="39"/>
      <c r="P467" s="39"/>
      <c r="Q467" s="39"/>
      <c r="R467" s="39"/>
    </row>
    <row r="468" spans="1:18" s="2" customFormat="1" ht="26.4">
      <c r="A468" s="20">
        <f t="shared" si="32"/>
        <v>426</v>
      </c>
      <c r="B468" s="17" t="s">
        <v>695</v>
      </c>
      <c r="C468" s="17" t="s">
        <v>696</v>
      </c>
      <c r="D468" s="20" t="s">
        <v>5</v>
      </c>
      <c r="E468" s="20" t="s">
        <v>6</v>
      </c>
      <c r="F468" s="18">
        <v>1</v>
      </c>
      <c r="G468" s="19">
        <f>1641.84</f>
        <v>1641.84</v>
      </c>
      <c r="H468" s="32">
        <v>1</v>
      </c>
      <c r="I468" s="25">
        <f t="shared" si="33"/>
        <v>1641.84</v>
      </c>
      <c r="J468" s="40"/>
      <c r="K468" s="39"/>
      <c r="L468" s="39"/>
      <c r="M468" s="39"/>
      <c r="N468" s="23"/>
      <c r="O468" s="39"/>
      <c r="P468" s="39"/>
      <c r="Q468" s="39"/>
      <c r="R468" s="39"/>
    </row>
    <row r="469" spans="1:18" s="2" customFormat="1" ht="14.4">
      <c r="A469" s="20">
        <f t="shared" si="32"/>
        <v>427</v>
      </c>
      <c r="B469" s="17" t="s">
        <v>697</v>
      </c>
      <c r="C469" s="17" t="s">
        <v>698</v>
      </c>
      <c r="D469" s="20" t="s">
        <v>5</v>
      </c>
      <c r="E469" s="20" t="s">
        <v>6</v>
      </c>
      <c r="F469" s="18">
        <v>1</v>
      </c>
      <c r="G469" s="19">
        <f>1575.54</f>
        <v>1575.54</v>
      </c>
      <c r="H469" s="32">
        <v>1</v>
      </c>
      <c r="I469" s="25">
        <f t="shared" si="33"/>
        <v>1575.54</v>
      </c>
      <c r="J469" s="40"/>
      <c r="K469" s="39"/>
      <c r="L469" s="39"/>
      <c r="M469" s="39"/>
      <c r="N469" s="23"/>
      <c r="O469" s="39"/>
      <c r="P469" s="39"/>
      <c r="Q469" s="39"/>
      <c r="R469" s="39"/>
    </row>
    <row r="470" spans="1:18" s="2" customFormat="1" ht="26.4">
      <c r="A470" s="20">
        <f t="shared" si="32"/>
        <v>428</v>
      </c>
      <c r="B470" s="17" t="s">
        <v>699</v>
      </c>
      <c r="C470" s="17" t="s">
        <v>700</v>
      </c>
      <c r="D470" s="20" t="s">
        <v>5</v>
      </c>
      <c r="E470" s="20" t="s">
        <v>6</v>
      </c>
      <c r="F470" s="18">
        <v>1</v>
      </c>
      <c r="G470" s="19">
        <f>1.633198857*27.39</f>
        <v>44.733316693230002</v>
      </c>
      <c r="H470" s="32">
        <v>4</v>
      </c>
      <c r="I470" s="25">
        <f t="shared" si="33"/>
        <v>178.93326677292001</v>
      </c>
      <c r="J470" s="40"/>
      <c r="K470" s="39"/>
      <c r="L470" s="39"/>
      <c r="M470" s="39"/>
      <c r="N470" s="23"/>
      <c r="O470" s="39"/>
      <c r="P470" s="39"/>
      <c r="Q470" s="39"/>
      <c r="R470" s="39"/>
    </row>
    <row r="471" spans="1:18" s="2" customFormat="1" ht="26.4">
      <c r="A471" s="20">
        <f t="shared" si="32"/>
        <v>429</v>
      </c>
      <c r="B471" s="17" t="s">
        <v>701</v>
      </c>
      <c r="C471" s="17" t="s">
        <v>702</v>
      </c>
      <c r="D471" s="20" t="s">
        <v>5</v>
      </c>
      <c r="E471" s="20" t="s">
        <v>6</v>
      </c>
      <c r="F471" s="18">
        <v>1</v>
      </c>
      <c r="G471" s="19">
        <f>2738.92</f>
        <v>2738.92</v>
      </c>
      <c r="H471" s="32">
        <v>4</v>
      </c>
      <c r="I471" s="25">
        <f t="shared" si="33"/>
        <v>10955.68</v>
      </c>
      <c r="J471" s="40"/>
      <c r="K471" s="39"/>
      <c r="L471" s="39"/>
      <c r="M471" s="39"/>
      <c r="N471" s="23"/>
      <c r="O471" s="39"/>
      <c r="P471" s="39"/>
      <c r="Q471" s="39"/>
      <c r="R471" s="39"/>
    </row>
    <row r="472" spans="1:18" s="2" customFormat="1" ht="26.4">
      <c r="A472" s="20">
        <f t="shared" si="32"/>
        <v>430</v>
      </c>
      <c r="B472" s="17" t="s">
        <v>703</v>
      </c>
      <c r="C472" s="17" t="s">
        <v>704</v>
      </c>
      <c r="D472" s="20" t="s">
        <v>8</v>
      </c>
      <c r="E472" s="20" t="s">
        <v>9</v>
      </c>
      <c r="F472" s="18">
        <v>1</v>
      </c>
      <c r="G472" s="19">
        <f>1.633198857*136.47</f>
        <v>222.88264801478999</v>
      </c>
      <c r="H472" s="32">
        <v>3.4</v>
      </c>
      <c r="I472" s="25">
        <f t="shared" si="33"/>
        <v>757.80100325028593</v>
      </c>
      <c r="J472" s="40"/>
      <c r="K472" s="39"/>
      <c r="L472" s="39"/>
      <c r="M472" s="39"/>
      <c r="N472" s="23"/>
      <c r="O472" s="39"/>
      <c r="P472" s="39"/>
      <c r="Q472" s="39"/>
      <c r="R472" s="39"/>
    </row>
    <row r="473" spans="1:18" s="2" customFormat="1" ht="14.4">
      <c r="A473" s="20">
        <f t="shared" si="32"/>
        <v>431</v>
      </c>
      <c r="B473" s="17" t="s">
        <v>705</v>
      </c>
      <c r="C473" s="17" t="s">
        <v>706</v>
      </c>
      <c r="D473" s="20" t="s">
        <v>8</v>
      </c>
      <c r="E473" s="20" t="s">
        <v>9</v>
      </c>
      <c r="F473" s="18">
        <v>1</v>
      </c>
      <c r="G473" s="19">
        <f>192.08</f>
        <v>192.08</v>
      </c>
      <c r="H473" s="32">
        <v>3.468</v>
      </c>
      <c r="I473" s="25">
        <f t="shared" si="33"/>
        <v>666.13344000000006</v>
      </c>
      <c r="J473" s="40"/>
      <c r="K473" s="39"/>
      <c r="L473" s="39"/>
      <c r="M473" s="39"/>
      <c r="N473" s="23"/>
      <c r="O473" s="39"/>
      <c r="P473" s="39"/>
      <c r="Q473" s="39"/>
      <c r="R473" s="39"/>
    </row>
    <row r="474" spans="1:18" s="2" customFormat="1" ht="39.6">
      <c r="A474" s="20">
        <f t="shared" si="32"/>
        <v>432</v>
      </c>
      <c r="B474" s="17" t="s">
        <v>707</v>
      </c>
      <c r="C474" s="17" t="s">
        <v>708</v>
      </c>
      <c r="D474" s="20" t="s">
        <v>8</v>
      </c>
      <c r="E474" s="20" t="s">
        <v>9</v>
      </c>
      <c r="F474" s="18">
        <v>1</v>
      </c>
      <c r="G474" s="19">
        <f>1.633198857*221.7</f>
        <v>362.08018659689998</v>
      </c>
      <c r="H474" s="32">
        <v>0.6</v>
      </c>
      <c r="I474" s="25">
        <f t="shared" si="33"/>
        <v>217.24811195813999</v>
      </c>
      <c r="J474" s="40"/>
      <c r="K474" s="39"/>
      <c r="L474" s="39"/>
      <c r="M474" s="39"/>
      <c r="N474" s="23"/>
      <c r="O474" s="39"/>
      <c r="P474" s="39"/>
      <c r="Q474" s="39"/>
      <c r="R474" s="39"/>
    </row>
    <row r="475" spans="1:18" s="2" customFormat="1" ht="26.4">
      <c r="A475" s="20">
        <f t="shared" si="32"/>
        <v>433</v>
      </c>
      <c r="B475" s="17" t="s">
        <v>709</v>
      </c>
      <c r="C475" s="17" t="s">
        <v>710</v>
      </c>
      <c r="D475" s="20" t="s">
        <v>8</v>
      </c>
      <c r="E475" s="20" t="s">
        <v>9</v>
      </c>
      <c r="F475" s="18">
        <v>1</v>
      </c>
      <c r="G475" s="19">
        <f>595.06</f>
        <v>595.05999999999995</v>
      </c>
      <c r="H475" s="32">
        <v>0.64259999999999995</v>
      </c>
      <c r="I475" s="25">
        <f t="shared" si="33"/>
        <v>382.38555599999995</v>
      </c>
      <c r="J475" s="40"/>
      <c r="K475" s="39"/>
      <c r="L475" s="39"/>
      <c r="M475" s="39"/>
      <c r="N475" s="23"/>
      <c r="O475" s="39"/>
      <c r="P475" s="39"/>
      <c r="Q475" s="39"/>
      <c r="R475" s="39"/>
    </row>
    <row r="476" spans="1:18" s="2" customFormat="1" ht="26.4">
      <c r="A476" s="20">
        <f t="shared" si="32"/>
        <v>434</v>
      </c>
      <c r="B476" s="17" t="s">
        <v>711</v>
      </c>
      <c r="C476" s="17" t="s">
        <v>712</v>
      </c>
      <c r="D476" s="9" t="s">
        <v>44</v>
      </c>
      <c r="E476" s="20" t="s">
        <v>45</v>
      </c>
      <c r="F476" s="18">
        <v>1</v>
      </c>
      <c r="G476" s="19">
        <f>11.06</f>
        <v>11.06</v>
      </c>
      <c r="H476" s="32">
        <v>5.2</v>
      </c>
      <c r="I476" s="25">
        <f t="shared" si="33"/>
        <v>57.512000000000008</v>
      </c>
      <c r="J476" s="40"/>
      <c r="K476" s="39"/>
      <c r="L476" s="39"/>
      <c r="M476" s="39"/>
      <c r="N476" s="23"/>
      <c r="O476" s="39"/>
      <c r="P476" s="39"/>
      <c r="Q476" s="39"/>
      <c r="R476" s="39"/>
    </row>
    <row r="477" spans="1:18" s="2" customFormat="1" ht="26.4">
      <c r="A477" s="20">
        <f t="shared" si="32"/>
        <v>435</v>
      </c>
      <c r="B477" s="17" t="s">
        <v>713</v>
      </c>
      <c r="C477" s="17" t="s">
        <v>714</v>
      </c>
      <c r="D477" s="9" t="s">
        <v>44</v>
      </c>
      <c r="E477" s="20" t="s">
        <v>45</v>
      </c>
      <c r="F477" s="18">
        <v>1</v>
      </c>
      <c r="G477" s="19">
        <f>131.78</f>
        <v>131.78</v>
      </c>
      <c r="H477" s="32">
        <v>0.45400000000000001</v>
      </c>
      <c r="I477" s="25">
        <f t="shared" si="33"/>
        <v>59.828120000000006</v>
      </c>
      <c r="J477" s="40"/>
      <c r="K477" s="39"/>
      <c r="L477" s="39"/>
      <c r="M477" s="39"/>
      <c r="N477" s="23"/>
      <c r="O477" s="39"/>
      <c r="P477" s="39"/>
      <c r="Q477" s="39"/>
      <c r="R477" s="39"/>
    </row>
    <row r="478" spans="1:18" s="2" customFormat="1" ht="14.4">
      <c r="A478" s="20">
        <f t="shared" si="32"/>
        <v>436</v>
      </c>
      <c r="B478" s="17" t="s">
        <v>715</v>
      </c>
      <c r="C478" s="17" t="s">
        <v>716</v>
      </c>
      <c r="D478" s="20" t="s">
        <v>5</v>
      </c>
      <c r="E478" s="20" t="s">
        <v>6</v>
      </c>
      <c r="F478" s="18">
        <v>1</v>
      </c>
      <c r="G478" s="19">
        <f>0.59</f>
        <v>0.59</v>
      </c>
      <c r="H478" s="32">
        <v>7.22</v>
      </c>
      <c r="I478" s="25">
        <f t="shared" si="33"/>
        <v>4.2597999999999994</v>
      </c>
      <c r="J478" s="40"/>
      <c r="K478" s="39"/>
      <c r="L478" s="39"/>
      <c r="M478" s="39"/>
      <c r="N478" s="23"/>
      <c r="O478" s="39"/>
      <c r="P478" s="39"/>
      <c r="Q478" s="39"/>
      <c r="R478" s="39"/>
    </row>
    <row r="479" spans="1:18" s="2" customFormat="1" ht="14.4">
      <c r="A479" s="20">
        <f t="shared" si="32"/>
        <v>437</v>
      </c>
      <c r="B479" s="30" t="s">
        <v>218</v>
      </c>
      <c r="C479" s="30" t="s">
        <v>219</v>
      </c>
      <c r="D479" s="31" t="s">
        <v>48</v>
      </c>
      <c r="E479" s="20" t="s">
        <v>220</v>
      </c>
      <c r="F479" s="18">
        <v>1</v>
      </c>
      <c r="G479" s="19"/>
      <c r="H479" s="32">
        <v>1</v>
      </c>
      <c r="I479" s="25">
        <f>SUM(I296:I478)*0.05</f>
        <v>1807513.6889541037</v>
      </c>
      <c r="J479" s="40"/>
      <c r="K479" s="39"/>
      <c r="L479" s="39"/>
      <c r="M479" s="39"/>
      <c r="N479" s="23"/>
      <c r="O479" s="39"/>
      <c r="P479" s="39"/>
      <c r="Q479" s="39"/>
      <c r="R479" s="39"/>
    </row>
    <row r="480" spans="1:18" ht="14.4">
      <c r="A480" s="20"/>
      <c r="B480" s="13" t="s">
        <v>717</v>
      </c>
      <c r="C480" s="14" t="s">
        <v>718</v>
      </c>
      <c r="D480" s="54"/>
      <c r="E480" s="54"/>
      <c r="F480" s="18"/>
      <c r="G480" s="19"/>
      <c r="H480" s="55"/>
      <c r="I480" s="25"/>
      <c r="M480" s="22"/>
      <c r="N480" s="23"/>
      <c r="O480" s="22"/>
      <c r="P480" s="22"/>
      <c r="Q480" s="22"/>
      <c r="R480" s="22"/>
    </row>
    <row r="481" spans="1:18" s="2" customFormat="1" ht="26.4">
      <c r="A481" s="20">
        <f>A479+1</f>
        <v>438</v>
      </c>
      <c r="B481" s="17" t="s">
        <v>719</v>
      </c>
      <c r="C481" s="17" t="s">
        <v>720</v>
      </c>
      <c r="D481" s="20" t="s">
        <v>8</v>
      </c>
      <c r="E481" s="20" t="s">
        <v>9</v>
      </c>
      <c r="F481" s="18">
        <v>1</v>
      </c>
      <c r="G481" s="19">
        <f>1.633198857*20.19</f>
        <v>32.974284922830002</v>
      </c>
      <c r="H481" s="56">
        <v>5699.29</v>
      </c>
      <c r="I481" s="25">
        <f t="shared" si="33"/>
        <v>187930.01231783579</v>
      </c>
      <c r="J481" s="67" t="s">
        <v>721</v>
      </c>
      <c r="K481" s="68">
        <v>4640.62</v>
      </c>
      <c r="L481" s="68"/>
      <c r="P481" s="39"/>
      <c r="Q481" s="39"/>
      <c r="R481" s="39"/>
    </row>
    <row r="482" spans="1:18" s="2" customFormat="1" ht="14.4">
      <c r="A482" s="20">
        <f t="shared" ref="A482:A510" si="34">A481+1</f>
        <v>439</v>
      </c>
      <c r="B482" s="17" t="s">
        <v>50</v>
      </c>
      <c r="C482" s="17" t="s">
        <v>51</v>
      </c>
      <c r="D482" s="9" t="s">
        <v>52</v>
      </c>
      <c r="E482" s="20" t="s">
        <v>53</v>
      </c>
      <c r="F482" s="18">
        <v>1</v>
      </c>
      <c r="G482" s="19">
        <f>4151*1.15</f>
        <v>4773.6499999999996</v>
      </c>
      <c r="H482" s="56">
        <v>1113.0139999999999</v>
      </c>
      <c r="I482" s="25">
        <f t="shared" si="33"/>
        <v>5313139.2810999993</v>
      </c>
      <c r="J482" s="67" t="s">
        <v>722</v>
      </c>
      <c r="K482" s="68">
        <v>68.48</v>
      </c>
      <c r="L482" s="68"/>
      <c r="P482" s="39"/>
      <c r="Q482" s="39"/>
      <c r="R482" s="39"/>
    </row>
    <row r="483" spans="1:18" s="2" customFormat="1" ht="26.4">
      <c r="A483" s="20">
        <f t="shared" si="34"/>
        <v>440</v>
      </c>
      <c r="B483" s="17" t="s">
        <v>723</v>
      </c>
      <c r="C483" s="17" t="s">
        <v>724</v>
      </c>
      <c r="D483" s="20" t="s">
        <v>8</v>
      </c>
      <c r="E483" s="20" t="s">
        <v>9</v>
      </c>
      <c r="F483" s="18">
        <v>1</v>
      </c>
      <c r="G483" s="19">
        <f>1.633198857*137.65*1.15</f>
        <v>258.53129606595746</v>
      </c>
      <c r="H483" s="56">
        <v>5699.29</v>
      </c>
      <c r="I483" s="25">
        <f t="shared" si="33"/>
        <v>1473444.8303557506</v>
      </c>
      <c r="J483" s="67" t="s">
        <v>725</v>
      </c>
      <c r="K483" s="68">
        <v>176.04</v>
      </c>
      <c r="L483" s="68"/>
      <c r="P483" s="39"/>
      <c r="Q483" s="39"/>
      <c r="R483" s="39"/>
    </row>
    <row r="484" spans="1:18" s="2" customFormat="1" ht="14.4">
      <c r="A484" s="20">
        <f t="shared" si="34"/>
        <v>441</v>
      </c>
      <c r="B484" s="17" t="s">
        <v>726</v>
      </c>
      <c r="C484" s="17" t="s">
        <v>727</v>
      </c>
      <c r="D484" s="9" t="s">
        <v>25</v>
      </c>
      <c r="E484" s="20" t="s">
        <v>26</v>
      </c>
      <c r="F484" s="18">
        <v>1</v>
      </c>
      <c r="G484" s="19">
        <f>15.46</f>
        <v>15.46</v>
      </c>
      <c r="H484" s="56">
        <v>4763.69992</v>
      </c>
      <c r="I484" s="25">
        <f t="shared" si="33"/>
        <v>73646.800763200008</v>
      </c>
      <c r="J484" s="67" t="s">
        <v>728</v>
      </c>
      <c r="K484" s="68">
        <v>814.15</v>
      </c>
      <c r="L484" s="68"/>
      <c r="P484" s="39"/>
      <c r="Q484" s="39"/>
      <c r="R484" s="39"/>
    </row>
    <row r="485" spans="1:18" s="2" customFormat="1" ht="14.4">
      <c r="A485" s="20">
        <f t="shared" si="34"/>
        <v>442</v>
      </c>
      <c r="B485" s="17" t="s">
        <v>729</v>
      </c>
      <c r="C485" s="17" t="s">
        <v>730</v>
      </c>
      <c r="D485" s="20" t="s">
        <v>8</v>
      </c>
      <c r="E485" s="20" t="s">
        <v>9</v>
      </c>
      <c r="F485" s="18">
        <v>1</v>
      </c>
      <c r="G485" s="19">
        <f>49.26</f>
        <v>49.26</v>
      </c>
      <c r="H485" s="56">
        <v>721.789579</v>
      </c>
      <c r="I485" s="25">
        <f t="shared" si="33"/>
        <v>35555.354661539997</v>
      </c>
      <c r="J485" s="51"/>
      <c r="K485" s="69">
        <f>K481+K482+K483+K484</f>
        <v>5699.2899999999991</v>
      </c>
      <c r="L485" s="69"/>
      <c r="P485" s="39"/>
      <c r="Q485" s="39"/>
      <c r="R485" s="39"/>
    </row>
    <row r="486" spans="1:18" s="2" customFormat="1" ht="14.4">
      <c r="A486" s="20">
        <f t="shared" si="34"/>
        <v>443</v>
      </c>
      <c r="B486" s="17" t="s">
        <v>731</v>
      </c>
      <c r="C486" s="17" t="s">
        <v>732</v>
      </c>
      <c r="D486" s="9" t="s">
        <v>44</v>
      </c>
      <c r="E486" s="20" t="s">
        <v>45</v>
      </c>
      <c r="F486" s="18">
        <v>1</v>
      </c>
      <c r="G486" s="19">
        <f>14.26</f>
        <v>14.26</v>
      </c>
      <c r="H486" s="56">
        <v>113471.7773</v>
      </c>
      <c r="I486" s="25">
        <f t="shared" si="33"/>
        <v>1618107.5442979999</v>
      </c>
      <c r="J486" s="51" t="s">
        <v>733</v>
      </c>
      <c r="K486" s="69">
        <f>K485-K482</f>
        <v>5630.8099999999995</v>
      </c>
      <c r="L486" s="69"/>
      <c r="P486" s="39"/>
      <c r="Q486" s="39"/>
      <c r="R486" s="39"/>
    </row>
    <row r="487" spans="1:18" s="2" customFormat="1" ht="14.4">
      <c r="A487" s="20">
        <f t="shared" si="34"/>
        <v>444</v>
      </c>
      <c r="B487" s="17" t="s">
        <v>734</v>
      </c>
      <c r="C487" s="17" t="s">
        <v>735</v>
      </c>
      <c r="D487" s="9" t="s">
        <v>56</v>
      </c>
      <c r="E487" s="20" t="s">
        <v>57</v>
      </c>
      <c r="F487" s="18">
        <v>1</v>
      </c>
      <c r="G487" s="19">
        <f>1.633198857*86.31</f>
        <v>140.96139334767</v>
      </c>
      <c r="H487" s="56">
        <v>3.9206406</v>
      </c>
      <c r="I487" s="25">
        <f t="shared" si="33"/>
        <v>552.65896179144488</v>
      </c>
      <c r="J487" s="51"/>
      <c r="K487" s="69">
        <f>K485-K484-K483</f>
        <v>4709.0999999999995</v>
      </c>
      <c r="L487" s="69"/>
      <c r="P487" s="39"/>
      <c r="Q487" s="39"/>
      <c r="R487" s="39"/>
    </row>
    <row r="488" spans="1:18" s="2" customFormat="1" ht="14.4">
      <c r="A488" s="20">
        <f t="shared" si="34"/>
        <v>445</v>
      </c>
      <c r="B488" s="17" t="s">
        <v>736</v>
      </c>
      <c r="C488" s="17" t="s">
        <v>737</v>
      </c>
      <c r="D488" s="20" t="s">
        <v>8</v>
      </c>
      <c r="E488" s="20" t="s">
        <v>9</v>
      </c>
      <c r="F488" s="18">
        <v>1</v>
      </c>
      <c r="G488" s="19">
        <f>162.81</f>
        <v>162.81</v>
      </c>
      <c r="H488" s="56">
        <v>1015.71</v>
      </c>
      <c r="I488" s="25">
        <f t="shared" si="33"/>
        <v>165367.7451</v>
      </c>
      <c r="J488" s="51"/>
      <c r="P488" s="39"/>
      <c r="Q488" s="39"/>
      <c r="R488" s="39"/>
    </row>
    <row r="489" spans="1:18" s="2" customFormat="1" ht="14.4">
      <c r="A489" s="20">
        <f t="shared" si="34"/>
        <v>446</v>
      </c>
      <c r="B489" s="17" t="s">
        <v>738</v>
      </c>
      <c r="C489" s="17" t="s">
        <v>739</v>
      </c>
      <c r="D489" s="20" t="s">
        <v>8</v>
      </c>
      <c r="E489" s="20" t="s">
        <v>9</v>
      </c>
      <c r="F489" s="18">
        <v>1</v>
      </c>
      <c r="G489" s="19">
        <f>1.633198857*30.32</f>
        <v>49.518589344239999</v>
      </c>
      <c r="H489" s="56">
        <v>5630.81</v>
      </c>
      <c r="I489" s="25">
        <f t="shared" si="33"/>
        <v>278829.76806544006</v>
      </c>
      <c r="J489" s="51"/>
      <c r="P489" s="39"/>
      <c r="Q489" s="39"/>
      <c r="R489" s="39"/>
    </row>
    <row r="490" spans="1:18" s="2" customFormat="1" ht="14.4">
      <c r="A490" s="20">
        <f t="shared" si="34"/>
        <v>447</v>
      </c>
      <c r="B490" s="17" t="s">
        <v>740</v>
      </c>
      <c r="C490" s="17" t="s">
        <v>741</v>
      </c>
      <c r="D490" s="9" t="s">
        <v>44</v>
      </c>
      <c r="E490" s="20" t="s">
        <v>45</v>
      </c>
      <c r="F490" s="18">
        <v>1</v>
      </c>
      <c r="G490" s="19">
        <f>17.31</f>
        <v>17.309999999999999</v>
      </c>
      <c r="H490" s="56">
        <v>1819.7439999999999</v>
      </c>
      <c r="I490" s="25">
        <f t="shared" si="33"/>
        <v>31499.768639999995</v>
      </c>
      <c r="J490" s="51"/>
      <c r="P490" s="39"/>
      <c r="Q490" s="39"/>
      <c r="R490" s="39"/>
    </row>
    <row r="491" spans="1:18" s="2" customFormat="1" ht="14.4">
      <c r="A491" s="20">
        <f t="shared" si="34"/>
        <v>448</v>
      </c>
      <c r="B491" s="17" t="s">
        <v>742</v>
      </c>
      <c r="C491" s="17" t="s">
        <v>743</v>
      </c>
      <c r="D491" s="20" t="s">
        <v>8</v>
      </c>
      <c r="E491" s="20" t="s">
        <v>9</v>
      </c>
      <c r="F491" s="18">
        <v>1</v>
      </c>
      <c r="G491" s="19">
        <f>29.02</f>
        <v>29.02</v>
      </c>
      <c r="H491" s="56">
        <v>5630.81</v>
      </c>
      <c r="I491" s="25">
        <f t="shared" si="33"/>
        <v>163406.10620000001</v>
      </c>
      <c r="J491" s="51"/>
      <c r="P491" s="39"/>
      <c r="Q491" s="39"/>
      <c r="R491" s="39"/>
    </row>
    <row r="492" spans="1:18" s="2" customFormat="1" ht="26.4">
      <c r="A492" s="20">
        <f t="shared" si="34"/>
        <v>449</v>
      </c>
      <c r="B492" s="17" t="s">
        <v>744</v>
      </c>
      <c r="C492" s="17" t="s">
        <v>745</v>
      </c>
      <c r="D492" s="20" t="s">
        <v>8</v>
      </c>
      <c r="E492" s="20" t="s">
        <v>9</v>
      </c>
      <c r="F492" s="18">
        <v>1</v>
      </c>
      <c r="G492" s="19">
        <f>1.633198857*108.14</f>
        <v>176.61412439598001</v>
      </c>
      <c r="H492" s="56">
        <v>4709.8100000000004</v>
      </c>
      <c r="I492" s="25">
        <f t="shared" si="33"/>
        <v>831818.96922143071</v>
      </c>
      <c r="J492" s="51"/>
      <c r="P492" s="39"/>
      <c r="Q492" s="39"/>
      <c r="R492" s="39"/>
    </row>
    <row r="493" spans="1:18" s="2" customFormat="1" ht="14.4">
      <c r="A493" s="20">
        <f t="shared" si="34"/>
        <v>450</v>
      </c>
      <c r="B493" s="17" t="s">
        <v>746</v>
      </c>
      <c r="C493" s="17" t="s">
        <v>747</v>
      </c>
      <c r="D493" s="9" t="s">
        <v>44</v>
      </c>
      <c r="E493" s="20" t="s">
        <v>45</v>
      </c>
      <c r="F493" s="18">
        <v>1</v>
      </c>
      <c r="G493" s="19">
        <f>17.75</f>
        <v>17.75</v>
      </c>
      <c r="H493" s="56">
        <v>8353.4760000000006</v>
      </c>
      <c r="I493" s="25">
        <f t="shared" si="33"/>
        <v>148274.19900000002</v>
      </c>
      <c r="J493" s="51"/>
      <c r="P493" s="39"/>
      <c r="Q493" s="39"/>
      <c r="R493" s="39"/>
    </row>
    <row r="494" spans="1:18" s="2" customFormat="1" ht="14.4">
      <c r="A494" s="20">
        <f t="shared" si="34"/>
        <v>451</v>
      </c>
      <c r="B494" s="17" t="s">
        <v>748</v>
      </c>
      <c r="C494" s="17" t="s">
        <v>749</v>
      </c>
      <c r="D494" s="20" t="s">
        <v>8</v>
      </c>
      <c r="E494" s="20" t="s">
        <v>9</v>
      </c>
      <c r="F494" s="18">
        <v>1</v>
      </c>
      <c r="G494" s="19">
        <f>1.633198857*28.44</f>
        <v>46.448175493080001</v>
      </c>
      <c r="H494" s="56">
        <v>4709.8100000000004</v>
      </c>
      <c r="I494" s="25">
        <f t="shared" si="33"/>
        <v>218762.08141906315</v>
      </c>
      <c r="J494" s="51"/>
      <c r="P494" s="39"/>
      <c r="Q494" s="39"/>
      <c r="R494" s="39"/>
    </row>
    <row r="495" spans="1:18" ht="14.4">
      <c r="A495" s="20">
        <f t="shared" si="34"/>
        <v>452</v>
      </c>
      <c r="B495" s="17" t="s">
        <v>750</v>
      </c>
      <c r="C495" s="17" t="s">
        <v>751</v>
      </c>
      <c r="D495" s="9" t="s">
        <v>44</v>
      </c>
      <c r="E495" s="20" t="s">
        <v>45</v>
      </c>
      <c r="F495" s="18">
        <v>1</v>
      </c>
      <c r="G495" s="19">
        <f>17.75</f>
        <v>17.75</v>
      </c>
      <c r="H495" s="56">
        <v>8353.4760000000006</v>
      </c>
      <c r="I495" s="25">
        <f t="shared" si="33"/>
        <v>148274.19900000002</v>
      </c>
      <c r="O495" s="22"/>
      <c r="P495" s="22"/>
      <c r="Q495" s="22"/>
      <c r="R495" s="22"/>
    </row>
    <row r="496" spans="1:18" ht="52.8">
      <c r="A496" s="20">
        <f t="shared" si="34"/>
        <v>453</v>
      </c>
      <c r="B496" s="17" t="s">
        <v>752</v>
      </c>
      <c r="C496" s="17" t="s">
        <v>753</v>
      </c>
      <c r="D496" s="20" t="s">
        <v>8</v>
      </c>
      <c r="E496" s="20" t="s">
        <v>9</v>
      </c>
      <c r="F496" s="18">
        <v>1</v>
      </c>
      <c r="G496" s="19">
        <f>1.633198857*49.41</f>
        <v>80.696355524369991</v>
      </c>
      <c r="H496" s="56">
        <v>4709.8100000000004</v>
      </c>
      <c r="I496" s="25">
        <f t="shared" si="33"/>
        <v>380064.50221223308</v>
      </c>
      <c r="O496" s="22"/>
      <c r="P496" s="22"/>
      <c r="Q496" s="22"/>
      <c r="R496" s="22"/>
    </row>
    <row r="497" spans="1:18" ht="14.4">
      <c r="A497" s="20">
        <f t="shared" si="34"/>
        <v>454</v>
      </c>
      <c r="B497" s="17" t="s">
        <v>754</v>
      </c>
      <c r="C497" s="17" t="s">
        <v>755</v>
      </c>
      <c r="D497" s="9" t="s">
        <v>44</v>
      </c>
      <c r="E497" s="20" t="s">
        <v>45</v>
      </c>
      <c r="F497" s="18">
        <v>1</v>
      </c>
      <c r="G497" s="19">
        <f>184.21</f>
        <v>184.21</v>
      </c>
      <c r="H497" s="56">
        <v>2923.7166000000002</v>
      </c>
      <c r="I497" s="25">
        <f t="shared" si="33"/>
        <v>538577.83488600003</v>
      </c>
      <c r="O497" s="22"/>
      <c r="P497" s="22"/>
      <c r="Q497" s="22"/>
      <c r="R497" s="22"/>
    </row>
    <row r="498" spans="1:18" ht="52.8">
      <c r="A498" s="20">
        <f t="shared" si="34"/>
        <v>455</v>
      </c>
      <c r="B498" s="17" t="s">
        <v>756</v>
      </c>
      <c r="C498" s="17" t="s">
        <v>757</v>
      </c>
      <c r="D498" s="9" t="s">
        <v>8</v>
      </c>
      <c r="E498" s="20" t="s">
        <v>9</v>
      </c>
      <c r="F498" s="18">
        <v>1</v>
      </c>
      <c r="G498" s="19">
        <f>1.633198857*300.15</f>
        <v>490.20463692854997</v>
      </c>
      <c r="H498" s="56">
        <v>814.15</v>
      </c>
      <c r="I498" s="25">
        <f t="shared" si="33"/>
        <v>399100.10515537893</v>
      </c>
      <c r="O498" s="22"/>
      <c r="P498" s="22"/>
      <c r="Q498" s="22"/>
      <c r="R498" s="22"/>
    </row>
    <row r="499" spans="1:18" ht="14.4">
      <c r="A499" s="20">
        <f t="shared" si="34"/>
        <v>456</v>
      </c>
      <c r="B499" s="17" t="s">
        <v>758</v>
      </c>
      <c r="C499" s="17" t="s">
        <v>759</v>
      </c>
      <c r="D499" s="20" t="s">
        <v>8</v>
      </c>
      <c r="E499" s="20" t="s">
        <v>9</v>
      </c>
      <c r="F499" s="18">
        <v>1</v>
      </c>
      <c r="G499" s="19">
        <f>633.43</f>
        <v>633.42999999999995</v>
      </c>
      <c r="H499" s="56">
        <f>H498*1.05</f>
        <v>854.85749999999996</v>
      </c>
      <c r="I499" s="25">
        <f t="shared" si="33"/>
        <v>541492.38622499991</v>
      </c>
      <c r="O499" s="22"/>
      <c r="P499" s="22"/>
      <c r="Q499" s="22"/>
      <c r="R499" s="22"/>
    </row>
    <row r="500" spans="1:18" ht="14.4">
      <c r="A500" s="20">
        <f t="shared" si="34"/>
        <v>457</v>
      </c>
      <c r="B500" s="17" t="s">
        <v>50</v>
      </c>
      <c r="C500" s="17" t="s">
        <v>51</v>
      </c>
      <c r="D500" s="9" t="s">
        <v>52</v>
      </c>
      <c r="E500" s="20" t="s">
        <v>53</v>
      </c>
      <c r="F500" s="18">
        <v>1</v>
      </c>
      <c r="G500" s="19">
        <f>41.51</f>
        <v>41.51</v>
      </c>
      <c r="H500" s="56">
        <v>184.85</v>
      </c>
      <c r="I500" s="25">
        <f t="shared" si="33"/>
        <v>7673.1234999999997</v>
      </c>
      <c r="O500" s="22"/>
      <c r="P500" s="22"/>
      <c r="Q500" s="22"/>
      <c r="R500" s="22"/>
    </row>
    <row r="501" spans="1:18" ht="14.4">
      <c r="A501" s="20">
        <f t="shared" si="34"/>
        <v>458</v>
      </c>
      <c r="B501" s="17" t="s">
        <v>760</v>
      </c>
      <c r="C501" s="17" t="s">
        <v>761</v>
      </c>
      <c r="D501" s="20" t="s">
        <v>5</v>
      </c>
      <c r="E501" s="20" t="s">
        <v>6</v>
      </c>
      <c r="F501" s="18">
        <v>1</v>
      </c>
      <c r="G501" s="19">
        <f>0.24</f>
        <v>0.24</v>
      </c>
      <c r="H501" s="56">
        <v>3918.82</v>
      </c>
      <c r="I501" s="25">
        <f t="shared" si="33"/>
        <v>940.51679999999999</v>
      </c>
      <c r="O501" s="22"/>
      <c r="P501" s="22"/>
      <c r="Q501" s="22"/>
      <c r="R501" s="22"/>
    </row>
    <row r="502" spans="1:18" ht="26.4">
      <c r="A502" s="20">
        <f t="shared" si="34"/>
        <v>459</v>
      </c>
      <c r="B502" s="17" t="s">
        <v>762</v>
      </c>
      <c r="C502" s="17" t="s">
        <v>712</v>
      </c>
      <c r="D502" s="9" t="s">
        <v>44</v>
      </c>
      <c r="E502" s="20" t="s">
        <v>45</v>
      </c>
      <c r="F502" s="18">
        <v>1</v>
      </c>
      <c r="G502" s="19">
        <f>11.06</f>
        <v>11.06</v>
      </c>
      <c r="H502" s="56">
        <v>6007.625</v>
      </c>
      <c r="I502" s="25">
        <f t="shared" si="33"/>
        <v>66444.332500000004</v>
      </c>
      <c r="O502" s="22"/>
      <c r="P502" s="22"/>
      <c r="Q502" s="22"/>
      <c r="R502" s="22"/>
    </row>
    <row r="503" spans="1:18" ht="14.4">
      <c r="A503" s="20">
        <f t="shared" si="34"/>
        <v>460</v>
      </c>
      <c r="B503" s="17" t="s">
        <v>763</v>
      </c>
      <c r="C503" s="17" t="s">
        <v>764</v>
      </c>
      <c r="D503" s="9" t="s">
        <v>44</v>
      </c>
      <c r="E503" s="20" t="s">
        <v>45</v>
      </c>
      <c r="F503" s="18">
        <v>1</v>
      </c>
      <c r="G503" s="19">
        <f>131.78</f>
        <v>131.78</v>
      </c>
      <c r="H503" s="56">
        <v>375.24549999999999</v>
      </c>
      <c r="I503" s="25">
        <f t="shared" si="33"/>
        <v>49449.851990000003</v>
      </c>
      <c r="O503" s="22"/>
      <c r="P503" s="22"/>
      <c r="Q503" s="22"/>
      <c r="R503" s="22"/>
    </row>
    <row r="504" spans="1:18" ht="14.4">
      <c r="A504" s="20">
        <f t="shared" si="34"/>
        <v>461</v>
      </c>
      <c r="B504" s="17" t="s">
        <v>765</v>
      </c>
      <c r="C504" s="17" t="s">
        <v>766</v>
      </c>
      <c r="D504" s="9" t="s">
        <v>25</v>
      </c>
      <c r="E504" s="20" t="s">
        <v>26</v>
      </c>
      <c r="F504" s="18">
        <v>1</v>
      </c>
      <c r="G504" s="19">
        <f>84.41</f>
        <v>84.41</v>
      </c>
      <c r="H504" s="56">
        <v>462.125</v>
      </c>
      <c r="I504" s="25">
        <f t="shared" si="33"/>
        <v>39007.971249999995</v>
      </c>
      <c r="O504" s="22"/>
      <c r="P504" s="22"/>
      <c r="Q504" s="22"/>
      <c r="R504" s="22"/>
    </row>
    <row r="505" spans="1:18" ht="26.4">
      <c r="A505" s="20">
        <f t="shared" si="34"/>
        <v>462</v>
      </c>
      <c r="B505" s="17" t="s">
        <v>767</v>
      </c>
      <c r="C505" s="17" t="s">
        <v>768</v>
      </c>
      <c r="D505" s="20" t="s">
        <v>769</v>
      </c>
      <c r="E505" s="20" t="s">
        <v>770</v>
      </c>
      <c r="F505" s="18">
        <v>1</v>
      </c>
      <c r="G505" s="19">
        <f>1.633198857*27.19</f>
        <v>44.406676921830005</v>
      </c>
      <c r="H505" s="56">
        <v>2.8</v>
      </c>
      <c r="I505" s="25">
        <f t="shared" si="33"/>
        <v>124.33869538112401</v>
      </c>
      <c r="O505" s="22"/>
      <c r="P505" s="22"/>
      <c r="Q505" s="22"/>
      <c r="R505" s="22"/>
    </row>
    <row r="506" spans="1:18" ht="26.4">
      <c r="A506" s="20">
        <f t="shared" si="34"/>
        <v>463</v>
      </c>
      <c r="B506" s="17" t="s">
        <v>771</v>
      </c>
      <c r="C506" s="17" t="s">
        <v>772</v>
      </c>
      <c r="D506" s="57" t="s">
        <v>25</v>
      </c>
      <c r="E506" s="42" t="s">
        <v>26</v>
      </c>
      <c r="F506" s="18">
        <v>1</v>
      </c>
      <c r="G506" s="19">
        <f>20.85</f>
        <v>20.85</v>
      </c>
      <c r="H506" s="58">
        <v>294</v>
      </c>
      <c r="I506" s="25">
        <f t="shared" si="33"/>
        <v>6129.9000000000005</v>
      </c>
      <c r="O506" s="22"/>
      <c r="P506" s="22"/>
      <c r="Q506" s="22"/>
      <c r="R506" s="22"/>
    </row>
    <row r="507" spans="1:18" ht="14.4">
      <c r="A507" s="20">
        <f t="shared" si="34"/>
        <v>464</v>
      </c>
      <c r="B507" s="30" t="s">
        <v>773</v>
      </c>
      <c r="C507" s="59" t="s">
        <v>774</v>
      </c>
      <c r="D507" s="20" t="s">
        <v>8</v>
      </c>
      <c r="E507" s="20" t="s">
        <v>9</v>
      </c>
      <c r="F507" s="18">
        <v>1</v>
      </c>
      <c r="G507" s="19">
        <v>510</v>
      </c>
      <c r="H507" s="60">
        <v>176.04</v>
      </c>
      <c r="I507" s="25">
        <f t="shared" si="33"/>
        <v>89780.4</v>
      </c>
      <c r="O507" s="22"/>
      <c r="P507" s="22"/>
      <c r="Q507" s="22"/>
      <c r="R507" s="22"/>
    </row>
    <row r="508" spans="1:18" ht="14.4">
      <c r="A508" s="20">
        <f t="shared" si="34"/>
        <v>465</v>
      </c>
      <c r="B508" s="30" t="s">
        <v>775</v>
      </c>
      <c r="C508" s="61" t="s">
        <v>776</v>
      </c>
      <c r="D508" s="20" t="s">
        <v>8</v>
      </c>
      <c r="E508" s="20" t="s">
        <v>9</v>
      </c>
      <c r="F508" s="18">
        <v>1</v>
      </c>
      <c r="G508" s="19">
        <v>900</v>
      </c>
      <c r="H508" s="60">
        <f>177.04*1.05</f>
        <v>185.892</v>
      </c>
      <c r="I508" s="25">
        <f t="shared" si="33"/>
        <v>167302.79999999999</v>
      </c>
      <c r="J508" s="24"/>
      <c r="K508" s="22"/>
      <c r="L508" s="22"/>
      <c r="M508" s="22"/>
      <c r="N508" s="23"/>
      <c r="O508" s="22"/>
      <c r="P508" s="22"/>
      <c r="Q508" s="22"/>
      <c r="R508" s="22"/>
    </row>
    <row r="509" spans="1:18" ht="26.4">
      <c r="A509" s="20">
        <f t="shared" si="34"/>
        <v>466</v>
      </c>
      <c r="B509" s="30" t="s">
        <v>777</v>
      </c>
      <c r="C509" s="61" t="s">
        <v>778</v>
      </c>
      <c r="D509" s="46" t="s">
        <v>48</v>
      </c>
      <c r="E509" s="46" t="s">
        <v>779</v>
      </c>
      <c r="F509" s="18">
        <v>1</v>
      </c>
      <c r="G509" s="19">
        <v>147.69</v>
      </c>
      <c r="H509" s="62">
        <v>1</v>
      </c>
      <c r="I509" s="25">
        <f t="shared" si="33"/>
        <v>147.69</v>
      </c>
      <c r="J509" s="24"/>
      <c r="K509" s="22"/>
      <c r="L509" s="22"/>
      <c r="M509" s="22"/>
      <c r="N509" s="23"/>
      <c r="O509" s="22"/>
      <c r="P509" s="22"/>
      <c r="Q509" s="22"/>
      <c r="R509" s="22"/>
    </row>
    <row r="510" spans="1:18" ht="14.4">
      <c r="A510" s="20">
        <f t="shared" si="34"/>
        <v>467</v>
      </c>
      <c r="B510" s="30" t="s">
        <v>218</v>
      </c>
      <c r="C510" s="30" t="s">
        <v>219</v>
      </c>
      <c r="D510" s="31" t="s">
        <v>48</v>
      </c>
      <c r="E510" s="20" t="s">
        <v>220</v>
      </c>
      <c r="F510" s="18">
        <v>1</v>
      </c>
      <c r="G510" s="19"/>
      <c r="H510" s="32">
        <v>1</v>
      </c>
      <c r="I510" s="25">
        <f>SUM(I481:I509)*0.05</f>
        <v>648742.25361590215</v>
      </c>
      <c r="J510" s="24"/>
      <c r="K510" s="22"/>
      <c r="L510" s="22"/>
      <c r="M510" s="22"/>
      <c r="N510" s="23"/>
      <c r="O510" s="22"/>
      <c r="P510" s="22"/>
      <c r="Q510" s="22"/>
      <c r="R510" s="22"/>
    </row>
    <row r="511" spans="1:18" ht="14.4">
      <c r="A511" s="20"/>
      <c r="B511" s="13" t="s">
        <v>780</v>
      </c>
      <c r="C511" s="63" t="s">
        <v>781</v>
      </c>
      <c r="D511" s="63"/>
      <c r="E511" s="63"/>
      <c r="F511" s="18"/>
      <c r="G511" s="19"/>
      <c r="H511" s="47"/>
      <c r="I511" s="25"/>
      <c r="J511" s="24"/>
      <c r="K511" s="22"/>
      <c r="L511" s="22"/>
      <c r="M511" s="22"/>
      <c r="N511" s="23"/>
      <c r="O511" s="22"/>
      <c r="P511" s="22"/>
      <c r="Q511" s="22"/>
      <c r="R511" s="22"/>
    </row>
    <row r="512" spans="1:18" s="2" customFormat="1" ht="14.4">
      <c r="A512" s="20">
        <f>A510+1</f>
        <v>468</v>
      </c>
      <c r="B512" s="17" t="s">
        <v>782</v>
      </c>
      <c r="C512" s="17" t="s">
        <v>783</v>
      </c>
      <c r="D512" s="20" t="s">
        <v>8</v>
      </c>
      <c r="E512" s="20" t="s">
        <v>9</v>
      </c>
      <c r="F512" s="18">
        <v>1</v>
      </c>
      <c r="G512" s="19">
        <f>1.633198857*174.77*1.15</f>
        <v>328.24928887357351</v>
      </c>
      <c r="H512" s="32">
        <v>3772.57</v>
      </c>
      <c r="I512" s="25">
        <f t="shared" si="33"/>
        <v>1238343.4197257773</v>
      </c>
      <c r="J512" s="24">
        <v>78.430000000000007</v>
      </c>
      <c r="K512" s="22">
        <v>2003.63</v>
      </c>
      <c r="L512" s="22"/>
      <c r="M512" s="22">
        <v>1690.51</v>
      </c>
      <c r="N512" s="70">
        <f>J512+K512+M512</f>
        <v>3772.5699999999997</v>
      </c>
      <c r="O512" s="39"/>
      <c r="P512" s="39"/>
      <c r="Q512" s="39"/>
      <c r="R512" s="39"/>
    </row>
    <row r="513" spans="1:18" s="2" customFormat="1" ht="39.6">
      <c r="A513" s="20">
        <f t="shared" ref="A513:A537" si="35">A512+1</f>
        <v>469</v>
      </c>
      <c r="B513" s="17" t="s">
        <v>784</v>
      </c>
      <c r="C513" s="17" t="s">
        <v>785</v>
      </c>
      <c r="D513" s="9" t="s">
        <v>25</v>
      </c>
      <c r="E513" s="20" t="s">
        <v>26</v>
      </c>
      <c r="F513" s="18">
        <v>1</v>
      </c>
      <c r="G513" s="19">
        <f>31.94</f>
        <v>31.94</v>
      </c>
      <c r="H513" s="32">
        <v>3837.5956999999999</v>
      </c>
      <c r="I513" s="25">
        <f t="shared" si="33"/>
        <v>122572.806658</v>
      </c>
      <c r="J513" s="40" t="s">
        <v>786</v>
      </c>
      <c r="K513" s="39">
        <f>59.62+18.81+48.17</f>
        <v>126.6</v>
      </c>
      <c r="L513" s="39"/>
      <c r="M513" s="39"/>
      <c r="N513" s="23"/>
      <c r="O513" s="39"/>
      <c r="P513" s="39"/>
      <c r="Q513" s="39"/>
      <c r="R513" s="39"/>
    </row>
    <row r="514" spans="1:18" s="2" customFormat="1" ht="39.6">
      <c r="A514" s="20">
        <f t="shared" si="35"/>
        <v>470</v>
      </c>
      <c r="B514" s="17" t="s">
        <v>787</v>
      </c>
      <c r="C514" s="17" t="s">
        <v>55</v>
      </c>
      <c r="D514" s="20" t="s">
        <v>5</v>
      </c>
      <c r="E514" s="20" t="s">
        <v>6</v>
      </c>
      <c r="F514" s="18">
        <v>1</v>
      </c>
      <c r="G514" s="19">
        <f>5.23</f>
        <v>5.23</v>
      </c>
      <c r="H514" s="32">
        <v>2816.5839999999998</v>
      </c>
      <c r="I514" s="25">
        <f t="shared" si="33"/>
        <v>14730.73432</v>
      </c>
      <c r="J514" s="40" t="s">
        <v>788</v>
      </c>
      <c r="K514" s="39">
        <f>772.02+3.93+642.73</f>
        <v>1418.6799999999998</v>
      </c>
      <c r="L514" s="39"/>
      <c r="M514" s="39"/>
      <c r="N514" s="23"/>
      <c r="O514" s="39"/>
      <c r="P514" s="39"/>
      <c r="Q514" s="39"/>
      <c r="R514" s="39"/>
    </row>
    <row r="515" spans="1:18" s="2" customFormat="1" ht="39.6">
      <c r="A515" s="20">
        <f t="shared" si="35"/>
        <v>471</v>
      </c>
      <c r="B515" s="17" t="s">
        <v>789</v>
      </c>
      <c r="C515" s="17" t="s">
        <v>790</v>
      </c>
      <c r="D515" s="20" t="s">
        <v>5</v>
      </c>
      <c r="E515" s="20" t="s">
        <v>6</v>
      </c>
      <c r="F515" s="18">
        <v>1</v>
      </c>
      <c r="G515" s="19">
        <f>13.72</f>
        <v>13.72</v>
      </c>
      <c r="H515" s="32">
        <v>2816.5839999999998</v>
      </c>
      <c r="I515" s="25">
        <f t="shared" si="33"/>
        <v>38643.532480000002</v>
      </c>
      <c r="J515" s="40" t="s">
        <v>791</v>
      </c>
      <c r="K515" s="39">
        <f>60.12+38.14+59.35+4.92</f>
        <v>162.52999999999997</v>
      </c>
      <c r="L515" s="39"/>
      <c r="M515" s="39"/>
      <c r="N515" s="23"/>
      <c r="O515" s="39"/>
      <c r="P515" s="39"/>
      <c r="Q515" s="39"/>
      <c r="R515" s="39"/>
    </row>
    <row r="516" spans="1:18" s="2" customFormat="1" ht="39.6">
      <c r="A516" s="20">
        <f t="shared" si="35"/>
        <v>472</v>
      </c>
      <c r="B516" s="17" t="s">
        <v>792</v>
      </c>
      <c r="C516" s="17" t="s">
        <v>793</v>
      </c>
      <c r="D516" s="20" t="s">
        <v>5</v>
      </c>
      <c r="E516" s="20" t="s">
        <v>6</v>
      </c>
      <c r="F516" s="18">
        <v>1</v>
      </c>
      <c r="G516" s="19">
        <f>172.64</f>
        <v>172.64</v>
      </c>
      <c r="H516" s="32">
        <v>1056.2190000000001</v>
      </c>
      <c r="I516" s="25">
        <f t="shared" si="33"/>
        <v>182345.64815999998</v>
      </c>
      <c r="J516" s="40" t="s">
        <v>794</v>
      </c>
      <c r="K516" s="39">
        <f>796.34+151.71+983.51</f>
        <v>1931.56</v>
      </c>
      <c r="L516" s="39"/>
      <c r="M516" s="39"/>
      <c r="N516" s="23"/>
      <c r="O516" s="39"/>
      <c r="P516" s="39"/>
      <c r="Q516" s="39"/>
      <c r="R516" s="39"/>
    </row>
    <row r="517" spans="1:18" s="2" customFormat="1" ht="26.4">
      <c r="A517" s="20">
        <f t="shared" si="35"/>
        <v>473</v>
      </c>
      <c r="B517" s="17" t="s">
        <v>795</v>
      </c>
      <c r="C517" s="17" t="s">
        <v>796</v>
      </c>
      <c r="D517" s="20" t="s">
        <v>5</v>
      </c>
      <c r="E517" s="20" t="s">
        <v>6</v>
      </c>
      <c r="F517" s="18">
        <v>1</v>
      </c>
      <c r="G517" s="19">
        <f>58.02</f>
        <v>58.02</v>
      </c>
      <c r="H517" s="32">
        <v>6407.7286000000004</v>
      </c>
      <c r="I517" s="25">
        <f t="shared" si="33"/>
        <v>371776.41337200004</v>
      </c>
      <c r="J517" s="40" t="s">
        <v>797</v>
      </c>
      <c r="K517" s="39">
        <v>133.19999999999999</v>
      </c>
      <c r="L517" s="39"/>
      <c r="M517" s="39"/>
      <c r="N517" s="23"/>
      <c r="O517" s="39"/>
      <c r="P517" s="39"/>
      <c r="Q517" s="39"/>
      <c r="R517" s="39"/>
    </row>
    <row r="518" spans="1:18" s="2" customFormat="1" ht="14.4">
      <c r="A518" s="20">
        <f t="shared" si="35"/>
        <v>474</v>
      </c>
      <c r="B518" s="17" t="s">
        <v>798</v>
      </c>
      <c r="C518" s="17" t="s">
        <v>799</v>
      </c>
      <c r="D518" s="9" t="s">
        <v>25</v>
      </c>
      <c r="E518" s="20" t="s">
        <v>26</v>
      </c>
      <c r="F518" s="18">
        <v>1</v>
      </c>
      <c r="G518" s="19">
        <f>35.1</f>
        <v>35.1</v>
      </c>
      <c r="H518" s="32">
        <v>3802.3883999999998</v>
      </c>
      <c r="I518" s="25">
        <f t="shared" si="33"/>
        <v>133463.83283999999</v>
      </c>
      <c r="J518" s="71" t="s">
        <v>800</v>
      </c>
      <c r="K518" s="39">
        <f>K514+K516</f>
        <v>3350.24</v>
      </c>
      <c r="L518" s="39"/>
      <c r="M518" s="39"/>
      <c r="N518" s="23"/>
      <c r="O518" s="39"/>
      <c r="P518" s="39"/>
      <c r="Q518" s="39"/>
      <c r="R518" s="39"/>
    </row>
    <row r="519" spans="1:18" s="2" customFormat="1" ht="14.4">
      <c r="A519" s="20">
        <f t="shared" si="35"/>
        <v>475</v>
      </c>
      <c r="B519" s="17" t="s">
        <v>801</v>
      </c>
      <c r="C519" s="17" t="s">
        <v>802</v>
      </c>
      <c r="D519" s="20" t="s">
        <v>5</v>
      </c>
      <c r="E519" s="20" t="s">
        <v>6</v>
      </c>
      <c r="F519" s="18">
        <v>1</v>
      </c>
      <c r="G519" s="19">
        <f>0.55</f>
        <v>0.55000000000000004</v>
      </c>
      <c r="H519" s="32">
        <v>10456.5681</v>
      </c>
      <c r="I519" s="25">
        <f t="shared" si="33"/>
        <v>5751.1124550000004</v>
      </c>
      <c r="J519" s="40"/>
      <c r="K519" s="39"/>
      <c r="L519" s="39"/>
      <c r="M519" s="39"/>
      <c r="N519" s="23"/>
      <c r="O519" s="39"/>
      <c r="P519" s="39"/>
      <c r="Q519" s="39"/>
      <c r="R519" s="39"/>
    </row>
    <row r="520" spans="1:18" s="2" customFormat="1" ht="26.4">
      <c r="A520" s="20">
        <f t="shared" si="35"/>
        <v>476</v>
      </c>
      <c r="B520" s="17" t="s">
        <v>803</v>
      </c>
      <c r="C520" s="17" t="s">
        <v>804</v>
      </c>
      <c r="D520" s="20" t="s">
        <v>8</v>
      </c>
      <c r="E520" s="20" t="s">
        <v>9</v>
      </c>
      <c r="F520" s="18">
        <v>1</v>
      </c>
      <c r="G520" s="19">
        <f>1.633198857*20.93</f>
        <v>34.182852077009997</v>
      </c>
      <c r="H520" s="32">
        <v>1418.68</v>
      </c>
      <c r="I520" s="25">
        <f t="shared" si="33"/>
        <v>48494.528584612548</v>
      </c>
      <c r="J520" s="40"/>
      <c r="K520" s="39"/>
      <c r="L520" s="39"/>
      <c r="M520" s="39"/>
      <c r="N520" s="23"/>
      <c r="O520" s="39"/>
      <c r="P520" s="39"/>
      <c r="Q520" s="39"/>
      <c r="R520" s="39"/>
    </row>
    <row r="521" spans="1:18" s="2" customFormat="1" ht="14.4">
      <c r="A521" s="20">
        <f t="shared" si="35"/>
        <v>477</v>
      </c>
      <c r="B521" s="17" t="s">
        <v>805</v>
      </c>
      <c r="C521" s="17" t="s">
        <v>806</v>
      </c>
      <c r="D521" s="20" t="s">
        <v>8</v>
      </c>
      <c r="E521" s="20" t="s">
        <v>9</v>
      </c>
      <c r="F521" s="18">
        <v>1</v>
      </c>
      <c r="G521" s="19">
        <f>473.46</f>
        <v>473.46</v>
      </c>
      <c r="H521" s="32">
        <f>H520*1.06</f>
        <v>1503.8008000000002</v>
      </c>
      <c r="I521" s="25">
        <f t="shared" si="33"/>
        <v>711989.5267680001</v>
      </c>
      <c r="J521" s="40"/>
      <c r="K521" s="39"/>
      <c r="L521" s="39"/>
      <c r="M521" s="39"/>
      <c r="N521" s="23"/>
      <c r="O521" s="39"/>
      <c r="P521" s="39"/>
      <c r="Q521" s="39"/>
      <c r="R521" s="39"/>
    </row>
    <row r="522" spans="1:18" s="2" customFormat="1" ht="14.4">
      <c r="A522" s="20">
        <f t="shared" si="35"/>
        <v>478</v>
      </c>
      <c r="B522" s="17" t="s">
        <v>807</v>
      </c>
      <c r="C522" s="17" t="s">
        <v>54</v>
      </c>
      <c r="D522" s="20" t="s">
        <v>8</v>
      </c>
      <c r="E522" s="20" t="s">
        <v>9</v>
      </c>
      <c r="F522" s="18">
        <v>1</v>
      </c>
      <c r="G522" s="19">
        <f>1.633198857*20.93</f>
        <v>34.182852077009997</v>
      </c>
      <c r="H522" s="32">
        <v>133.19999999999999</v>
      </c>
      <c r="I522" s="25">
        <f t="shared" si="33"/>
        <v>4553.1558966577313</v>
      </c>
      <c r="J522" s="40"/>
      <c r="K522" s="39"/>
      <c r="L522" s="39"/>
      <c r="M522" s="39"/>
      <c r="N522" s="23"/>
      <c r="O522" s="39"/>
      <c r="P522" s="39"/>
      <c r="Q522" s="39"/>
      <c r="R522" s="39"/>
    </row>
    <row r="523" spans="1:18" s="2" customFormat="1" ht="14.4">
      <c r="A523" s="20">
        <f t="shared" si="35"/>
        <v>479</v>
      </c>
      <c r="B523" s="17" t="s">
        <v>808</v>
      </c>
      <c r="C523" s="17" t="s">
        <v>809</v>
      </c>
      <c r="D523" s="20" t="s">
        <v>8</v>
      </c>
      <c r="E523" s="20" t="s">
        <v>9</v>
      </c>
      <c r="F523" s="18">
        <v>1</v>
      </c>
      <c r="G523" s="19">
        <f>269.46</f>
        <v>269.45999999999998</v>
      </c>
      <c r="H523" s="32">
        <f>H522*1.05</f>
        <v>139.85999999999999</v>
      </c>
      <c r="I523" s="25">
        <f t="shared" ref="I523:I586" si="36">G523*H523</f>
        <v>37686.675599999995</v>
      </c>
      <c r="J523" s="40"/>
      <c r="K523" s="39"/>
      <c r="L523" s="39"/>
      <c r="M523" s="39"/>
      <c r="N523" s="23"/>
      <c r="O523" s="39"/>
      <c r="P523" s="39"/>
      <c r="Q523" s="39"/>
      <c r="R523" s="39"/>
    </row>
    <row r="524" spans="1:18" s="2" customFormat="1" ht="26.4">
      <c r="A524" s="20">
        <f t="shared" si="35"/>
        <v>480</v>
      </c>
      <c r="B524" s="17" t="s">
        <v>810</v>
      </c>
      <c r="C524" s="17" t="s">
        <v>811</v>
      </c>
      <c r="D524" s="20" t="s">
        <v>8</v>
      </c>
      <c r="E524" s="20" t="s">
        <v>9</v>
      </c>
      <c r="F524" s="18">
        <v>1</v>
      </c>
      <c r="G524" s="19">
        <f>1.633198857*20.93</f>
        <v>34.182852077009997</v>
      </c>
      <c r="H524" s="32">
        <v>1931.56</v>
      </c>
      <c r="I524" s="25">
        <f t="shared" si="36"/>
        <v>66026.229757869427</v>
      </c>
      <c r="J524" s="40"/>
      <c r="K524" s="39"/>
      <c r="L524" s="39"/>
      <c r="M524" s="39"/>
      <c r="N524" s="23"/>
      <c r="O524" s="39"/>
      <c r="P524" s="39"/>
      <c r="Q524" s="39"/>
      <c r="R524" s="39"/>
    </row>
    <row r="525" spans="1:18" s="2" customFormat="1" ht="26.4">
      <c r="A525" s="20">
        <f t="shared" si="35"/>
        <v>481</v>
      </c>
      <c r="B525" s="17" t="s">
        <v>812</v>
      </c>
      <c r="C525" s="17" t="s">
        <v>813</v>
      </c>
      <c r="D525" s="20" t="s">
        <v>8</v>
      </c>
      <c r="E525" s="20" t="s">
        <v>9</v>
      </c>
      <c r="F525" s="18">
        <v>1</v>
      </c>
      <c r="G525" s="19">
        <f>677.46</f>
        <v>677.46</v>
      </c>
      <c r="H525" s="32">
        <v>2031.498</v>
      </c>
      <c r="I525" s="25">
        <f t="shared" si="36"/>
        <v>1376258.6350800002</v>
      </c>
      <c r="J525" s="40"/>
      <c r="K525" s="39"/>
      <c r="L525" s="39"/>
      <c r="M525" s="39"/>
      <c r="N525" s="23"/>
      <c r="O525" s="39"/>
      <c r="P525" s="39"/>
      <c r="Q525" s="39"/>
      <c r="R525" s="39"/>
    </row>
    <row r="526" spans="1:18" s="2" customFormat="1" ht="52.8">
      <c r="A526" s="20">
        <f t="shared" si="35"/>
        <v>482</v>
      </c>
      <c r="B526" s="17" t="s">
        <v>814</v>
      </c>
      <c r="C526" s="17" t="s">
        <v>815</v>
      </c>
      <c r="D526" s="20" t="s">
        <v>8</v>
      </c>
      <c r="E526" s="20" t="s">
        <v>9</v>
      </c>
      <c r="F526" s="18">
        <v>1</v>
      </c>
      <c r="G526" s="19">
        <f>1.633198857*897.92</f>
        <v>1466.4819176774399</v>
      </c>
      <c r="H526" s="32">
        <v>162.53</v>
      </c>
      <c r="I526" s="25">
        <f t="shared" si="36"/>
        <v>238347.3060801143</v>
      </c>
      <c r="J526" s="40"/>
      <c r="K526" s="39"/>
      <c r="L526" s="39"/>
      <c r="M526" s="39"/>
      <c r="N526" s="23"/>
      <c r="O526" s="39"/>
      <c r="P526" s="39"/>
      <c r="Q526" s="39"/>
      <c r="R526" s="39"/>
    </row>
    <row r="527" spans="1:18" s="2" customFormat="1" ht="14.4">
      <c r="A527" s="20">
        <f t="shared" si="35"/>
        <v>483</v>
      </c>
      <c r="B527" s="17" t="s">
        <v>816</v>
      </c>
      <c r="C527" s="17" t="s">
        <v>817</v>
      </c>
      <c r="D527" s="20" t="s">
        <v>5</v>
      </c>
      <c r="E527" s="20" t="s">
        <v>6</v>
      </c>
      <c r="F527" s="18">
        <v>1</v>
      </c>
      <c r="G527" s="19">
        <f>17.94</f>
        <v>17.940000000000001</v>
      </c>
      <c r="H527" s="32">
        <v>880</v>
      </c>
      <c r="I527" s="25">
        <f t="shared" si="36"/>
        <v>15787.2</v>
      </c>
      <c r="J527" s="40"/>
      <c r="K527" s="39"/>
      <c r="L527" s="39"/>
      <c r="M527" s="39"/>
      <c r="N527" s="23"/>
      <c r="O527" s="39"/>
      <c r="P527" s="39"/>
      <c r="Q527" s="39"/>
      <c r="R527" s="39"/>
    </row>
    <row r="528" spans="1:18" s="2" customFormat="1" ht="14.4">
      <c r="A528" s="20">
        <f t="shared" si="35"/>
        <v>484</v>
      </c>
      <c r="B528" s="17" t="s">
        <v>801</v>
      </c>
      <c r="C528" s="17" t="s">
        <v>802</v>
      </c>
      <c r="D528" s="20" t="s">
        <v>5</v>
      </c>
      <c r="E528" s="20" t="s">
        <v>6</v>
      </c>
      <c r="F528" s="18">
        <v>1</v>
      </c>
      <c r="G528" s="19">
        <f>0.55</f>
        <v>0.55000000000000004</v>
      </c>
      <c r="H528" s="32">
        <v>1760</v>
      </c>
      <c r="I528" s="25">
        <f t="shared" si="36"/>
        <v>968.00000000000011</v>
      </c>
      <c r="J528" s="40"/>
      <c r="K528" s="39"/>
      <c r="L528" s="39"/>
      <c r="M528" s="39"/>
      <c r="N528" s="23"/>
      <c r="O528" s="39"/>
      <c r="P528" s="39"/>
      <c r="Q528" s="39"/>
      <c r="R528" s="39"/>
    </row>
    <row r="529" spans="1:18" s="2" customFormat="1" ht="14.4">
      <c r="A529" s="20">
        <f t="shared" si="35"/>
        <v>485</v>
      </c>
      <c r="B529" s="17" t="s">
        <v>818</v>
      </c>
      <c r="C529" s="17" t="s">
        <v>819</v>
      </c>
      <c r="D529" s="20" t="s">
        <v>5</v>
      </c>
      <c r="E529" s="20" t="s">
        <v>6</v>
      </c>
      <c r="F529" s="18">
        <v>1</v>
      </c>
      <c r="G529" s="19">
        <f>0.36</f>
        <v>0.36</v>
      </c>
      <c r="H529" s="32">
        <v>3520</v>
      </c>
      <c r="I529" s="25">
        <f t="shared" si="36"/>
        <v>1267.2</v>
      </c>
      <c r="J529" s="40"/>
      <c r="K529" s="39"/>
      <c r="L529" s="39"/>
      <c r="M529" s="39"/>
      <c r="N529" s="23"/>
      <c r="O529" s="39"/>
      <c r="P529" s="39"/>
      <c r="Q529" s="39"/>
      <c r="R529" s="39"/>
    </row>
    <row r="530" spans="1:18" s="2" customFormat="1" ht="26.4">
      <c r="A530" s="20">
        <f t="shared" si="35"/>
        <v>486</v>
      </c>
      <c r="B530" s="17" t="s">
        <v>820</v>
      </c>
      <c r="C530" s="17" t="s">
        <v>821</v>
      </c>
      <c r="D530" s="20" t="s">
        <v>8</v>
      </c>
      <c r="E530" s="20" t="s">
        <v>9</v>
      </c>
      <c r="F530" s="18">
        <v>1</v>
      </c>
      <c r="G530" s="19">
        <f>1.633198857*127.18</f>
        <v>207.71023063326001</v>
      </c>
      <c r="H530" s="32">
        <v>162.53</v>
      </c>
      <c r="I530" s="25">
        <f t="shared" si="36"/>
        <v>33759.143784823747</v>
      </c>
      <c r="J530" s="40"/>
      <c r="K530" s="39"/>
      <c r="L530" s="39"/>
      <c r="M530" s="39"/>
      <c r="N530" s="23"/>
      <c r="O530" s="39"/>
      <c r="P530" s="39"/>
      <c r="Q530" s="39"/>
      <c r="R530" s="39"/>
    </row>
    <row r="531" spans="1:18" s="2" customFormat="1" ht="14.4">
      <c r="A531" s="20">
        <f t="shared" si="35"/>
        <v>487</v>
      </c>
      <c r="B531" s="17" t="s">
        <v>50</v>
      </c>
      <c r="C531" s="17" t="s">
        <v>51</v>
      </c>
      <c r="D531" s="9" t="s">
        <v>52</v>
      </c>
      <c r="E531" s="20" t="s">
        <v>53</v>
      </c>
      <c r="F531" s="18">
        <v>1</v>
      </c>
      <c r="G531" s="19">
        <f>41.51</f>
        <v>41.51</v>
      </c>
      <c r="H531" s="32">
        <v>22.87011</v>
      </c>
      <c r="I531" s="25">
        <f t="shared" si="36"/>
        <v>949.33826609999994</v>
      </c>
      <c r="J531" s="40"/>
      <c r="K531" s="39"/>
      <c r="L531" s="39"/>
      <c r="M531" s="39"/>
      <c r="N531" s="23"/>
      <c r="O531" s="39"/>
      <c r="P531" s="39"/>
      <c r="Q531" s="39"/>
      <c r="R531" s="39"/>
    </row>
    <row r="532" spans="1:18" s="2" customFormat="1" ht="14.4">
      <c r="A532" s="20">
        <f t="shared" si="35"/>
        <v>488</v>
      </c>
      <c r="B532" s="17" t="s">
        <v>746</v>
      </c>
      <c r="C532" s="17" t="s">
        <v>747</v>
      </c>
      <c r="D532" s="9" t="s">
        <v>44</v>
      </c>
      <c r="E532" s="20" t="s">
        <v>45</v>
      </c>
      <c r="F532" s="18">
        <v>1</v>
      </c>
      <c r="G532" s="19">
        <f>17.75</f>
        <v>17.75</v>
      </c>
      <c r="H532" s="32">
        <v>285.28199999999998</v>
      </c>
      <c r="I532" s="25">
        <f t="shared" si="36"/>
        <v>5063.7554999999993</v>
      </c>
      <c r="J532" s="40"/>
      <c r="K532" s="39"/>
      <c r="L532" s="39"/>
      <c r="M532" s="39"/>
      <c r="N532" s="23"/>
      <c r="O532" s="39"/>
      <c r="P532" s="39"/>
      <c r="Q532" s="39"/>
      <c r="R532" s="39"/>
    </row>
    <row r="533" spans="1:18" s="2" customFormat="1" ht="14.4">
      <c r="A533" s="20">
        <f t="shared" si="35"/>
        <v>489</v>
      </c>
      <c r="B533" s="17" t="s">
        <v>748</v>
      </c>
      <c r="C533" s="17" t="s">
        <v>749</v>
      </c>
      <c r="D533" s="20" t="s">
        <v>8</v>
      </c>
      <c r="E533" s="20" t="s">
        <v>9</v>
      </c>
      <c r="F533" s="18">
        <v>1</v>
      </c>
      <c r="G533" s="19">
        <f>1.633198857*28.44</f>
        <v>46.448175493080001</v>
      </c>
      <c r="H533" s="32">
        <v>162.53</v>
      </c>
      <c r="I533" s="25">
        <f t="shared" si="36"/>
        <v>7549.2219628902922</v>
      </c>
      <c r="J533" s="40"/>
      <c r="K533" s="39"/>
      <c r="L533" s="39"/>
      <c r="M533" s="39"/>
      <c r="N533" s="23"/>
      <c r="O533" s="39"/>
      <c r="P533" s="39"/>
      <c r="Q533" s="39"/>
      <c r="R533" s="39"/>
    </row>
    <row r="534" spans="1:18" s="2" customFormat="1" ht="14.4">
      <c r="A534" s="20">
        <f t="shared" si="35"/>
        <v>490</v>
      </c>
      <c r="B534" s="17" t="s">
        <v>746</v>
      </c>
      <c r="C534" s="17" t="s">
        <v>747</v>
      </c>
      <c r="D534" s="9" t="s">
        <v>44</v>
      </c>
      <c r="E534" s="20" t="s">
        <v>45</v>
      </c>
      <c r="F534" s="18">
        <v>1</v>
      </c>
      <c r="G534" s="19">
        <f>17.75</f>
        <v>17.75</v>
      </c>
      <c r="H534" s="32">
        <v>285.28199999999998</v>
      </c>
      <c r="I534" s="25">
        <f t="shared" si="36"/>
        <v>5063.7554999999993</v>
      </c>
      <c r="J534" s="40"/>
      <c r="K534" s="39"/>
      <c r="L534" s="39"/>
      <c r="M534" s="39"/>
      <c r="N534" s="23"/>
      <c r="O534" s="39"/>
      <c r="P534" s="39"/>
      <c r="Q534" s="39"/>
      <c r="R534" s="39"/>
    </row>
    <row r="535" spans="1:18" s="2" customFormat="1" ht="52.8">
      <c r="A535" s="20">
        <f t="shared" si="35"/>
        <v>491</v>
      </c>
      <c r="B535" s="17" t="s">
        <v>822</v>
      </c>
      <c r="C535" s="17" t="s">
        <v>823</v>
      </c>
      <c r="D535" s="20" t="s">
        <v>8</v>
      </c>
      <c r="E535" s="20" t="s">
        <v>9</v>
      </c>
      <c r="F535" s="18">
        <v>1</v>
      </c>
      <c r="G535" s="19">
        <f>1.633198857*55.57</f>
        <v>90.756860483490001</v>
      </c>
      <c r="H535" s="32">
        <f>162.53+126.6</f>
        <v>289.13</v>
      </c>
      <c r="I535" s="25">
        <f t="shared" si="36"/>
        <v>26240.531071591464</v>
      </c>
      <c r="J535" s="40"/>
      <c r="K535" s="39"/>
      <c r="L535" s="39"/>
      <c r="M535" s="39"/>
      <c r="N535" s="23"/>
      <c r="O535" s="39"/>
      <c r="P535" s="39"/>
      <c r="Q535" s="39"/>
      <c r="R535" s="39"/>
    </row>
    <row r="536" spans="1:18" s="2" customFormat="1" ht="14.4">
      <c r="A536" s="20">
        <f t="shared" si="35"/>
        <v>492</v>
      </c>
      <c r="B536" s="17" t="s">
        <v>824</v>
      </c>
      <c r="C536" s="17" t="s">
        <v>825</v>
      </c>
      <c r="D536" s="9" t="s">
        <v>44</v>
      </c>
      <c r="E536" s="20" t="s">
        <v>45</v>
      </c>
      <c r="F536" s="18">
        <v>1</v>
      </c>
      <c r="G536" s="19">
        <f>184.21</f>
        <v>184.21</v>
      </c>
      <c r="H536" s="32">
        <v>193.71700000000001</v>
      </c>
      <c r="I536" s="25">
        <f t="shared" si="36"/>
        <v>35684.608570000004</v>
      </c>
      <c r="J536" s="40">
        <f>109.358/162</f>
        <v>0.67504938271604942</v>
      </c>
      <c r="K536" s="2">
        <f>289.13*0.67</f>
        <v>193.71710000000002</v>
      </c>
      <c r="P536" s="39"/>
      <c r="Q536" s="39"/>
      <c r="R536" s="39"/>
    </row>
    <row r="537" spans="1:18" s="2" customFormat="1" ht="14.4">
      <c r="A537" s="20">
        <f t="shared" si="35"/>
        <v>493</v>
      </c>
      <c r="B537" s="30" t="s">
        <v>218</v>
      </c>
      <c r="C537" s="30" t="s">
        <v>219</v>
      </c>
      <c r="D537" s="31" t="s">
        <v>48</v>
      </c>
      <c r="E537" s="20" t="s">
        <v>220</v>
      </c>
      <c r="F537" s="18">
        <v>1</v>
      </c>
      <c r="G537" s="19"/>
      <c r="H537" s="32">
        <v>1</v>
      </c>
      <c r="I537" s="25">
        <f>SUM(I512:I536)*0.05</f>
        <v>236165.81562167194</v>
      </c>
      <c r="J537" s="40"/>
      <c r="P537" s="39"/>
      <c r="Q537" s="39"/>
      <c r="R537" s="39"/>
    </row>
    <row r="538" spans="1:18" ht="39.6">
      <c r="A538" s="9" t="s">
        <v>61</v>
      </c>
      <c r="B538" s="13" t="s">
        <v>826</v>
      </c>
      <c r="C538" s="14" t="s">
        <v>827</v>
      </c>
      <c r="D538" s="14"/>
      <c r="E538" s="14"/>
      <c r="F538" s="18"/>
      <c r="G538" s="19"/>
      <c r="H538" s="15"/>
      <c r="I538" s="25"/>
      <c r="J538" s="24"/>
      <c r="K538" s="22"/>
      <c r="L538" s="22"/>
      <c r="M538" s="22"/>
      <c r="N538" s="23"/>
      <c r="O538" s="22"/>
      <c r="P538" s="22"/>
      <c r="Q538" s="22"/>
      <c r="R538" s="22"/>
    </row>
    <row r="539" spans="1:18" ht="14.4">
      <c r="A539" s="9" t="s">
        <v>61</v>
      </c>
      <c r="B539" s="13" t="s">
        <v>828</v>
      </c>
      <c r="C539" s="14" t="s">
        <v>829</v>
      </c>
      <c r="D539" s="14"/>
      <c r="E539" s="14"/>
      <c r="F539" s="18"/>
      <c r="G539" s="19"/>
      <c r="H539" s="15"/>
      <c r="I539" s="25"/>
      <c r="J539" s="24"/>
      <c r="K539" s="22"/>
      <c r="L539" s="22"/>
      <c r="M539" s="22"/>
      <c r="N539" s="23"/>
      <c r="O539" s="22"/>
      <c r="P539" s="22"/>
      <c r="Q539" s="22"/>
      <c r="R539" s="22"/>
    </row>
    <row r="540" spans="1:18" ht="14.4">
      <c r="A540" s="9" t="s">
        <v>61</v>
      </c>
      <c r="B540" s="20" t="s">
        <v>830</v>
      </c>
      <c r="C540" s="9" t="s">
        <v>831</v>
      </c>
      <c r="D540" s="9"/>
      <c r="E540" s="9"/>
      <c r="F540" s="18"/>
      <c r="G540" s="19"/>
      <c r="H540" s="18"/>
      <c r="I540" s="25"/>
      <c r="J540" s="24"/>
      <c r="K540" s="22"/>
      <c r="L540" s="22"/>
      <c r="M540" s="22"/>
      <c r="N540" s="23"/>
      <c r="O540" s="22"/>
      <c r="P540" s="22"/>
      <c r="Q540" s="22"/>
      <c r="R540" s="22"/>
    </row>
    <row r="541" spans="1:18" s="2" customFormat="1" ht="39.6">
      <c r="A541" s="20">
        <f>A537+1</f>
        <v>494</v>
      </c>
      <c r="B541" s="17" t="s">
        <v>832</v>
      </c>
      <c r="C541" s="17" t="s">
        <v>833</v>
      </c>
      <c r="D541" s="20" t="s">
        <v>834</v>
      </c>
      <c r="E541" s="20" t="s">
        <v>835</v>
      </c>
      <c r="F541" s="18">
        <v>1</v>
      </c>
      <c r="G541" s="19">
        <f>1.633198857*9561.14</f>
        <v>15615.24291961698</v>
      </c>
      <c r="H541" s="32">
        <v>1</v>
      </c>
      <c r="I541" s="25">
        <f t="shared" si="36"/>
        <v>15615.24291961698</v>
      </c>
      <c r="J541" s="40"/>
      <c r="K541" s="39"/>
      <c r="L541" s="39"/>
      <c r="M541" s="39"/>
      <c r="N541" s="23"/>
      <c r="O541" s="39"/>
      <c r="P541" s="39"/>
      <c r="Q541" s="39"/>
      <c r="R541" s="39"/>
    </row>
    <row r="542" spans="1:18" s="2" customFormat="1" ht="14.4">
      <c r="A542" s="20">
        <f t="shared" ref="A542:A566" si="37">A541+1</f>
        <v>495</v>
      </c>
      <c r="B542" s="17" t="s">
        <v>836</v>
      </c>
      <c r="C542" s="17" t="s">
        <v>837</v>
      </c>
      <c r="D542" s="20"/>
      <c r="E542" s="20"/>
      <c r="F542" s="18"/>
      <c r="G542" s="19"/>
      <c r="H542" s="32"/>
      <c r="I542" s="25"/>
      <c r="J542" s="40"/>
      <c r="K542" s="39"/>
      <c r="L542" s="39"/>
      <c r="M542" s="39"/>
      <c r="N542" s="23"/>
      <c r="O542" s="39"/>
      <c r="P542" s="39"/>
      <c r="Q542" s="39"/>
      <c r="R542" s="39"/>
    </row>
    <row r="543" spans="1:18" s="2" customFormat="1" ht="14.4">
      <c r="A543" s="20">
        <f t="shared" si="37"/>
        <v>496</v>
      </c>
      <c r="B543" s="17" t="s">
        <v>838</v>
      </c>
      <c r="C543" s="17" t="s">
        <v>839</v>
      </c>
      <c r="D543" s="20" t="s">
        <v>48</v>
      </c>
      <c r="E543" s="20" t="s">
        <v>49</v>
      </c>
      <c r="F543" s="18">
        <v>1</v>
      </c>
      <c r="G543" s="19">
        <f>1.633198857*898.32</f>
        <v>1467.1351972202401</v>
      </c>
      <c r="H543" s="32">
        <v>1</v>
      </c>
      <c r="I543" s="25">
        <f t="shared" si="36"/>
        <v>1467.1351972202401</v>
      </c>
      <c r="J543" s="40"/>
      <c r="K543" s="39"/>
      <c r="L543" s="39"/>
      <c r="M543" s="39"/>
      <c r="N543" s="23"/>
      <c r="O543" s="39"/>
      <c r="P543" s="39"/>
      <c r="Q543" s="39"/>
      <c r="R543" s="39"/>
    </row>
    <row r="544" spans="1:18" s="2" customFormat="1" ht="14.4">
      <c r="A544" s="20">
        <f t="shared" si="37"/>
        <v>497</v>
      </c>
      <c r="B544" s="17" t="s">
        <v>840</v>
      </c>
      <c r="C544" s="17" t="s">
        <v>841</v>
      </c>
      <c r="D544" s="20" t="s">
        <v>5</v>
      </c>
      <c r="E544" s="20" t="s">
        <v>6</v>
      </c>
      <c r="F544" s="18">
        <v>1</v>
      </c>
      <c r="G544" s="19">
        <f>1.633198857*126.06</f>
        <v>205.88104791341999</v>
      </c>
      <c r="H544" s="32">
        <v>4</v>
      </c>
      <c r="I544" s="25">
        <f t="shared" si="36"/>
        <v>823.52419165367996</v>
      </c>
      <c r="J544" s="40"/>
      <c r="K544" s="39"/>
      <c r="L544" s="39"/>
      <c r="M544" s="39"/>
      <c r="N544" s="23"/>
      <c r="O544" s="39"/>
      <c r="P544" s="39"/>
      <c r="Q544" s="39"/>
      <c r="R544" s="39"/>
    </row>
    <row r="545" spans="1:18" s="2" customFormat="1" ht="14.4">
      <c r="A545" s="20">
        <f t="shared" si="37"/>
        <v>498</v>
      </c>
      <c r="B545" s="17" t="s">
        <v>842</v>
      </c>
      <c r="C545" s="17" t="s">
        <v>843</v>
      </c>
      <c r="D545" s="20" t="s">
        <v>5</v>
      </c>
      <c r="E545" s="20" t="s">
        <v>6</v>
      </c>
      <c r="F545" s="18">
        <v>1</v>
      </c>
      <c r="G545" s="19">
        <f>1.633198857*126.06</f>
        <v>205.88104791341999</v>
      </c>
      <c r="H545" s="32">
        <v>1</v>
      </c>
      <c r="I545" s="25">
        <f t="shared" si="36"/>
        <v>205.88104791341999</v>
      </c>
      <c r="J545" s="40"/>
      <c r="K545" s="39"/>
      <c r="L545" s="39"/>
      <c r="M545" s="39"/>
      <c r="N545" s="23"/>
      <c r="O545" s="39"/>
      <c r="P545" s="39"/>
      <c r="Q545" s="39"/>
      <c r="R545" s="39"/>
    </row>
    <row r="546" spans="1:18" s="2" customFormat="1" ht="14.4">
      <c r="A546" s="20">
        <f t="shared" si="37"/>
        <v>499</v>
      </c>
      <c r="B546" s="17" t="s">
        <v>844</v>
      </c>
      <c r="C546" s="17" t="s">
        <v>845</v>
      </c>
      <c r="D546" s="20" t="s">
        <v>5</v>
      </c>
      <c r="E546" s="20" t="s">
        <v>6</v>
      </c>
      <c r="F546" s="18">
        <v>1</v>
      </c>
      <c r="G546" s="19">
        <f>1.633198857*1084.71</f>
        <v>1771.5471321764701</v>
      </c>
      <c r="H546" s="32">
        <v>1</v>
      </c>
      <c r="I546" s="25">
        <f t="shared" si="36"/>
        <v>1771.5471321764701</v>
      </c>
      <c r="J546" s="40"/>
      <c r="K546" s="39"/>
      <c r="L546" s="39"/>
      <c r="M546" s="39"/>
      <c r="N546" s="23"/>
      <c r="O546" s="39"/>
      <c r="P546" s="39"/>
      <c r="Q546" s="39"/>
      <c r="R546" s="39"/>
    </row>
    <row r="547" spans="1:18" s="2" customFormat="1" ht="14.4">
      <c r="A547" s="20">
        <f t="shared" si="37"/>
        <v>500</v>
      </c>
      <c r="B547" s="17" t="s">
        <v>846</v>
      </c>
      <c r="C547" s="17" t="s">
        <v>847</v>
      </c>
      <c r="D547" s="20" t="s">
        <v>5</v>
      </c>
      <c r="E547" s="20" t="s">
        <v>6</v>
      </c>
      <c r="F547" s="18">
        <v>1</v>
      </c>
      <c r="G547" s="19">
        <f>1.633198857*282.99</f>
        <v>462.17894454243003</v>
      </c>
      <c r="H547" s="32">
        <v>30</v>
      </c>
      <c r="I547" s="25">
        <f t="shared" si="36"/>
        <v>13865.368336272901</v>
      </c>
      <c r="J547" s="40"/>
      <c r="K547" s="39"/>
      <c r="L547" s="39"/>
      <c r="M547" s="39"/>
      <c r="N547" s="23"/>
      <c r="O547" s="39"/>
      <c r="P547" s="39"/>
      <c r="Q547" s="39"/>
      <c r="R547" s="39"/>
    </row>
    <row r="548" spans="1:18" s="2" customFormat="1" ht="26.4">
      <c r="A548" s="20">
        <f t="shared" si="37"/>
        <v>501</v>
      </c>
      <c r="B548" s="17" t="s">
        <v>848</v>
      </c>
      <c r="C548" s="17" t="s">
        <v>849</v>
      </c>
      <c r="D548" s="20" t="s">
        <v>5</v>
      </c>
      <c r="E548" s="20" t="s">
        <v>6</v>
      </c>
      <c r="F548" s="18">
        <v>1</v>
      </c>
      <c r="G548" s="19">
        <f>483.2</f>
        <v>483.2</v>
      </c>
      <c r="H548" s="32">
        <v>28</v>
      </c>
      <c r="I548" s="25">
        <f t="shared" si="36"/>
        <v>13529.6</v>
      </c>
      <c r="J548" s="40"/>
      <c r="K548" s="39"/>
      <c r="L548" s="39"/>
      <c r="M548" s="39"/>
      <c r="N548" s="23"/>
      <c r="O548" s="39"/>
      <c r="P548" s="39"/>
      <c r="Q548" s="39"/>
      <c r="R548" s="39"/>
    </row>
    <row r="549" spans="1:18" s="2" customFormat="1" ht="26.4">
      <c r="A549" s="20">
        <f t="shared" si="37"/>
        <v>502</v>
      </c>
      <c r="B549" s="17" t="s">
        <v>850</v>
      </c>
      <c r="C549" s="17" t="s">
        <v>851</v>
      </c>
      <c r="D549" s="20" t="s">
        <v>5</v>
      </c>
      <c r="E549" s="20" t="s">
        <v>6</v>
      </c>
      <c r="F549" s="18">
        <v>1</v>
      </c>
      <c r="G549" s="19">
        <f>520</f>
        <v>520</v>
      </c>
      <c r="H549" s="32">
        <v>2</v>
      </c>
      <c r="I549" s="25">
        <f t="shared" si="36"/>
        <v>1040</v>
      </c>
      <c r="J549" s="40"/>
      <c r="K549" s="39"/>
      <c r="L549" s="39"/>
      <c r="M549" s="39"/>
      <c r="N549" s="23"/>
      <c r="O549" s="39"/>
      <c r="P549" s="39"/>
      <c r="Q549" s="39"/>
      <c r="R549" s="39"/>
    </row>
    <row r="550" spans="1:18" s="2" customFormat="1" ht="14.4">
      <c r="A550" s="20">
        <f t="shared" si="37"/>
        <v>503</v>
      </c>
      <c r="B550" s="17" t="s">
        <v>852</v>
      </c>
      <c r="C550" s="17" t="s">
        <v>853</v>
      </c>
      <c r="D550" s="20" t="s">
        <v>5</v>
      </c>
      <c r="E550" s="20" t="s">
        <v>6</v>
      </c>
      <c r="F550" s="18">
        <v>1</v>
      </c>
      <c r="G550" s="19">
        <f>250</f>
        <v>250</v>
      </c>
      <c r="H550" s="32">
        <v>28</v>
      </c>
      <c r="I550" s="25">
        <f t="shared" si="36"/>
        <v>7000</v>
      </c>
      <c r="J550" s="40"/>
      <c r="K550" s="39"/>
      <c r="L550" s="39"/>
      <c r="M550" s="39"/>
      <c r="N550" s="23"/>
      <c r="O550" s="39"/>
      <c r="P550" s="39"/>
      <c r="Q550" s="39"/>
      <c r="R550" s="39"/>
    </row>
    <row r="551" spans="1:18" s="2" customFormat="1" ht="14.4">
      <c r="A551" s="20">
        <f t="shared" si="37"/>
        <v>504</v>
      </c>
      <c r="B551" s="17" t="s">
        <v>854</v>
      </c>
      <c r="C551" s="17" t="s">
        <v>855</v>
      </c>
      <c r="D551" s="20" t="s">
        <v>5</v>
      </c>
      <c r="E551" s="20" t="s">
        <v>6</v>
      </c>
      <c r="F551" s="18">
        <v>1</v>
      </c>
      <c r="G551" s="19">
        <v>220</v>
      </c>
      <c r="H551" s="32">
        <v>2</v>
      </c>
      <c r="I551" s="25">
        <f t="shared" si="36"/>
        <v>440</v>
      </c>
      <c r="J551" s="40"/>
      <c r="K551" s="39"/>
      <c r="L551" s="39"/>
      <c r="M551" s="39"/>
      <c r="N551" s="23"/>
      <c r="O551" s="39"/>
      <c r="P551" s="39"/>
      <c r="Q551" s="39"/>
      <c r="R551" s="39"/>
    </row>
    <row r="552" spans="1:18" s="2" customFormat="1" ht="26.4">
      <c r="A552" s="20">
        <f t="shared" si="37"/>
        <v>505</v>
      </c>
      <c r="B552" s="17" t="s">
        <v>856</v>
      </c>
      <c r="C552" s="17" t="s">
        <v>857</v>
      </c>
      <c r="D552" s="20" t="s">
        <v>858</v>
      </c>
      <c r="E552" s="20" t="s">
        <v>64</v>
      </c>
      <c r="F552" s="18">
        <v>1</v>
      </c>
      <c r="G552" s="19">
        <f>1.633198857*905.17</f>
        <v>1478.3226093906899</v>
      </c>
      <c r="H552" s="32">
        <v>2</v>
      </c>
      <c r="I552" s="25">
        <f t="shared" si="36"/>
        <v>2956.6452187813798</v>
      </c>
      <c r="J552" s="40"/>
      <c r="K552" s="39"/>
      <c r="L552" s="39"/>
      <c r="M552" s="39"/>
      <c r="N552" s="23"/>
      <c r="O552" s="39"/>
      <c r="P552" s="39"/>
      <c r="Q552" s="39"/>
      <c r="R552" s="39"/>
    </row>
    <row r="553" spans="1:18" s="2" customFormat="1" ht="26.4">
      <c r="A553" s="20">
        <f t="shared" si="37"/>
        <v>506</v>
      </c>
      <c r="B553" s="17" t="s">
        <v>859</v>
      </c>
      <c r="C553" s="17" t="s">
        <v>860</v>
      </c>
      <c r="D553" s="20" t="s">
        <v>5</v>
      </c>
      <c r="E553" s="20" t="s">
        <v>6</v>
      </c>
      <c r="F553" s="18">
        <v>1</v>
      </c>
      <c r="G553" s="19">
        <f>10892.63</f>
        <v>10892.63</v>
      </c>
      <c r="H553" s="32">
        <v>2</v>
      </c>
      <c r="I553" s="25">
        <f t="shared" si="36"/>
        <v>21785.26</v>
      </c>
      <c r="J553" s="40"/>
      <c r="K553" s="39"/>
      <c r="L553" s="39"/>
      <c r="M553" s="39"/>
      <c r="N553" s="23"/>
      <c r="O553" s="39"/>
      <c r="P553" s="39"/>
      <c r="Q553" s="39"/>
      <c r="R553" s="39"/>
    </row>
    <row r="554" spans="1:18" s="2" customFormat="1" ht="39.6">
      <c r="A554" s="20">
        <f t="shared" si="37"/>
        <v>507</v>
      </c>
      <c r="B554" s="17" t="s">
        <v>861</v>
      </c>
      <c r="C554" s="17" t="s">
        <v>862</v>
      </c>
      <c r="D554" s="20" t="s">
        <v>8</v>
      </c>
      <c r="E554" s="20" t="s">
        <v>9</v>
      </c>
      <c r="F554" s="18">
        <v>1</v>
      </c>
      <c r="G554" s="19">
        <f>1.633198857*1072.33</f>
        <v>1751.32813032681</v>
      </c>
      <c r="H554" s="32">
        <v>63.99</v>
      </c>
      <c r="I554" s="25">
        <f t="shared" si="36"/>
        <v>112067.48705961257</v>
      </c>
      <c r="J554" s="40"/>
      <c r="K554" s="39"/>
      <c r="L554" s="39"/>
      <c r="M554" s="39"/>
      <c r="N554" s="23"/>
      <c r="O554" s="39"/>
      <c r="P554" s="39"/>
      <c r="Q554" s="39"/>
      <c r="R554" s="39"/>
    </row>
    <row r="555" spans="1:18" s="2" customFormat="1" ht="39.6">
      <c r="A555" s="20">
        <f t="shared" si="37"/>
        <v>508</v>
      </c>
      <c r="B555" s="17" t="s">
        <v>863</v>
      </c>
      <c r="C555" s="17" t="s">
        <v>864</v>
      </c>
      <c r="D555" s="20" t="s">
        <v>8</v>
      </c>
      <c r="E555" s="20" t="s">
        <v>9</v>
      </c>
      <c r="F555" s="18">
        <v>1</v>
      </c>
      <c r="G555" s="19">
        <f>1.633198857*1014.12</f>
        <v>1656.2596248608399</v>
      </c>
      <c r="H555" s="32">
        <v>32</v>
      </c>
      <c r="I555" s="25">
        <f t="shared" si="36"/>
        <v>53000.307995546878</v>
      </c>
      <c r="J555" s="40"/>
      <c r="K555" s="39"/>
      <c r="L555" s="39"/>
      <c r="M555" s="39"/>
      <c r="N555" s="23"/>
      <c r="O555" s="39"/>
      <c r="P555" s="39"/>
      <c r="Q555" s="39"/>
      <c r="R555" s="39"/>
    </row>
    <row r="556" spans="1:18" s="2" customFormat="1" ht="39.6">
      <c r="A556" s="20">
        <f t="shared" si="37"/>
        <v>509</v>
      </c>
      <c r="B556" s="17" t="s">
        <v>865</v>
      </c>
      <c r="C556" s="17" t="s">
        <v>866</v>
      </c>
      <c r="D556" s="20" t="s">
        <v>8</v>
      </c>
      <c r="E556" s="20" t="s">
        <v>9</v>
      </c>
      <c r="F556" s="18">
        <v>1</v>
      </c>
      <c r="G556" s="19">
        <f>1.633198857*1014.11</f>
        <v>1656.2432928722701</v>
      </c>
      <c r="H556" s="32">
        <v>90.1</v>
      </c>
      <c r="I556" s="25">
        <f t="shared" si="36"/>
        <v>149227.52068779152</v>
      </c>
      <c r="J556" s="40"/>
      <c r="K556" s="39"/>
      <c r="L556" s="39"/>
      <c r="M556" s="39"/>
      <c r="N556" s="23"/>
      <c r="O556" s="39"/>
      <c r="P556" s="39"/>
      <c r="Q556" s="39"/>
      <c r="R556" s="39"/>
    </row>
    <row r="557" spans="1:18" s="2" customFormat="1" ht="39.6">
      <c r="A557" s="20">
        <f t="shared" si="37"/>
        <v>510</v>
      </c>
      <c r="B557" s="17" t="s">
        <v>867</v>
      </c>
      <c r="C557" s="17" t="s">
        <v>868</v>
      </c>
      <c r="D557" s="20" t="s">
        <v>8</v>
      </c>
      <c r="E557" s="20" t="s">
        <v>9</v>
      </c>
      <c r="F557" s="18">
        <v>1</v>
      </c>
      <c r="G557" s="19">
        <f>1.633198857*948.7</f>
        <v>1549.4157556359</v>
      </c>
      <c r="H557" s="32">
        <v>64.900000000000006</v>
      </c>
      <c r="I557" s="25">
        <f t="shared" si="36"/>
        <v>100557.08254076992</v>
      </c>
      <c r="J557" s="40"/>
      <c r="K557" s="39"/>
      <c r="L557" s="39"/>
      <c r="M557" s="39"/>
      <c r="N557" s="23"/>
      <c r="O557" s="39"/>
      <c r="P557" s="39"/>
      <c r="Q557" s="39"/>
      <c r="R557" s="39"/>
    </row>
    <row r="558" spans="1:18" s="2" customFormat="1" ht="14.4">
      <c r="A558" s="20">
        <f t="shared" si="37"/>
        <v>511</v>
      </c>
      <c r="B558" s="17" t="s">
        <v>869</v>
      </c>
      <c r="C558" s="17" t="s">
        <v>870</v>
      </c>
      <c r="D558" s="20" t="s">
        <v>5</v>
      </c>
      <c r="E558" s="20" t="s">
        <v>6</v>
      </c>
      <c r="F558" s="18">
        <v>1</v>
      </c>
      <c r="G558" s="19">
        <f>287.03</f>
        <v>287.02999999999997</v>
      </c>
      <c r="H558" s="32">
        <v>28</v>
      </c>
      <c r="I558" s="25">
        <f t="shared" si="36"/>
        <v>8036.8399999999992</v>
      </c>
      <c r="J558" s="40"/>
      <c r="K558" s="39"/>
      <c r="L558" s="39"/>
      <c r="M558" s="39"/>
      <c r="N558" s="23"/>
      <c r="O558" s="39"/>
      <c r="P558" s="39"/>
      <c r="Q558" s="39"/>
      <c r="R558" s="39"/>
    </row>
    <row r="559" spans="1:18" s="2" customFormat="1" ht="14.4">
      <c r="A559" s="20">
        <f t="shared" si="37"/>
        <v>512</v>
      </c>
      <c r="B559" s="17" t="s">
        <v>871</v>
      </c>
      <c r="C559" s="17" t="s">
        <v>872</v>
      </c>
      <c r="D559" s="20" t="s">
        <v>5</v>
      </c>
      <c r="E559" s="20" t="s">
        <v>6</v>
      </c>
      <c r="F559" s="18">
        <v>1</v>
      </c>
      <c r="G559" s="19">
        <f>253.6</f>
        <v>253.6</v>
      </c>
      <c r="H559" s="32">
        <v>2</v>
      </c>
      <c r="I559" s="25">
        <f t="shared" si="36"/>
        <v>507.2</v>
      </c>
      <c r="J559" s="40"/>
      <c r="K559" s="39"/>
      <c r="L559" s="39"/>
      <c r="M559" s="39"/>
      <c r="N559" s="23"/>
      <c r="O559" s="39"/>
      <c r="P559" s="39"/>
      <c r="Q559" s="39"/>
      <c r="R559" s="39"/>
    </row>
    <row r="560" spans="1:18" s="2" customFormat="1" ht="14.4">
      <c r="A560" s="20">
        <f t="shared" si="37"/>
        <v>513</v>
      </c>
      <c r="B560" s="17" t="s">
        <v>873</v>
      </c>
      <c r="C560" s="17" t="s">
        <v>874</v>
      </c>
      <c r="D560" s="20" t="s">
        <v>8</v>
      </c>
      <c r="E560" s="20" t="s">
        <v>9</v>
      </c>
      <c r="F560" s="18">
        <v>1</v>
      </c>
      <c r="G560" s="19">
        <v>483.2</v>
      </c>
      <c r="H560" s="32">
        <v>2</v>
      </c>
      <c r="I560" s="25">
        <f t="shared" si="36"/>
        <v>966.4</v>
      </c>
      <c r="J560" s="40"/>
      <c r="K560" s="39"/>
      <c r="L560" s="39"/>
      <c r="M560" s="39"/>
      <c r="N560" s="23"/>
      <c r="O560" s="39"/>
      <c r="P560" s="39"/>
      <c r="Q560" s="39"/>
      <c r="R560" s="39"/>
    </row>
    <row r="561" spans="1:18" s="2" customFormat="1" ht="26.4">
      <c r="A561" s="20">
        <f t="shared" si="37"/>
        <v>514</v>
      </c>
      <c r="B561" s="17" t="s">
        <v>875</v>
      </c>
      <c r="C561" s="17" t="s">
        <v>876</v>
      </c>
      <c r="D561" s="20" t="s">
        <v>8</v>
      </c>
      <c r="E561" s="20" t="s">
        <v>9</v>
      </c>
      <c r="F561" s="18">
        <v>1</v>
      </c>
      <c r="G561" s="19">
        <f>1.633198857*1188.53</f>
        <v>1941.10583751021</v>
      </c>
      <c r="H561" s="32">
        <v>0.31</v>
      </c>
      <c r="I561" s="25">
        <f t="shared" si="36"/>
        <v>601.74280962816511</v>
      </c>
      <c r="J561" s="40"/>
      <c r="K561" s="39"/>
      <c r="L561" s="39"/>
      <c r="M561" s="39"/>
      <c r="N561" s="23"/>
      <c r="O561" s="39"/>
      <c r="P561" s="39"/>
      <c r="Q561" s="39"/>
      <c r="R561" s="39"/>
    </row>
    <row r="562" spans="1:18" s="2" customFormat="1" ht="26.4">
      <c r="A562" s="20">
        <f t="shared" si="37"/>
        <v>515</v>
      </c>
      <c r="B562" s="17" t="s">
        <v>877</v>
      </c>
      <c r="C562" s="17" t="s">
        <v>878</v>
      </c>
      <c r="D562" s="20" t="s">
        <v>8</v>
      </c>
      <c r="E562" s="20" t="s">
        <v>9</v>
      </c>
      <c r="F562" s="18">
        <v>1</v>
      </c>
      <c r="G562" s="19">
        <f>1.633198857*1188.53</f>
        <v>1941.10583751021</v>
      </c>
      <c r="H562" s="32">
        <v>5.5</v>
      </c>
      <c r="I562" s="25">
        <f t="shared" si="36"/>
        <v>10676.082106306156</v>
      </c>
      <c r="J562" s="40"/>
      <c r="K562" s="39"/>
      <c r="L562" s="39"/>
      <c r="M562" s="39"/>
      <c r="N562" s="23"/>
      <c r="O562" s="39"/>
      <c r="P562" s="39"/>
      <c r="Q562" s="39"/>
      <c r="R562" s="39"/>
    </row>
    <row r="563" spans="1:18" s="2" customFormat="1" ht="26.4">
      <c r="A563" s="20">
        <f t="shared" si="37"/>
        <v>516</v>
      </c>
      <c r="B563" s="17" t="s">
        <v>879</v>
      </c>
      <c r="C563" s="17" t="s">
        <v>880</v>
      </c>
      <c r="D563" s="9" t="s">
        <v>44</v>
      </c>
      <c r="E563" s="20" t="s">
        <v>45</v>
      </c>
      <c r="F563" s="18">
        <v>1</v>
      </c>
      <c r="G563" s="19">
        <f>1.633198857*34.47</f>
        <v>56.29636460079</v>
      </c>
      <c r="H563" s="32">
        <v>25</v>
      </c>
      <c r="I563" s="25">
        <f t="shared" si="36"/>
        <v>1407.4091150197501</v>
      </c>
      <c r="J563" s="40"/>
      <c r="K563" s="39"/>
      <c r="L563" s="39"/>
      <c r="M563" s="39"/>
      <c r="N563" s="23"/>
      <c r="O563" s="39"/>
      <c r="P563" s="39"/>
      <c r="Q563" s="39"/>
      <c r="R563" s="39"/>
    </row>
    <row r="564" spans="1:18" s="2" customFormat="1" ht="26.4">
      <c r="A564" s="20">
        <f t="shared" si="37"/>
        <v>517</v>
      </c>
      <c r="B564" s="17" t="s">
        <v>881</v>
      </c>
      <c r="C564" s="17" t="s">
        <v>882</v>
      </c>
      <c r="D564" s="20" t="s">
        <v>8</v>
      </c>
      <c r="E564" s="20" t="s">
        <v>9</v>
      </c>
      <c r="F564" s="18">
        <v>1</v>
      </c>
      <c r="G564" s="19">
        <f>1.633198857*118.8</f>
        <v>194.02402421159999</v>
      </c>
      <c r="H564" s="32">
        <v>4.5</v>
      </c>
      <c r="I564" s="25">
        <f t="shared" si="36"/>
        <v>873.10810895219993</v>
      </c>
      <c r="J564" s="40"/>
      <c r="K564" s="39"/>
      <c r="L564" s="39"/>
      <c r="M564" s="39"/>
      <c r="N564" s="23"/>
      <c r="O564" s="39"/>
      <c r="P564" s="39"/>
      <c r="Q564" s="39"/>
      <c r="R564" s="39"/>
    </row>
    <row r="565" spans="1:18" s="2" customFormat="1" ht="26.4">
      <c r="A565" s="20">
        <f t="shared" si="37"/>
        <v>518</v>
      </c>
      <c r="B565" s="17" t="s">
        <v>883</v>
      </c>
      <c r="C565" s="17" t="s">
        <v>884</v>
      </c>
      <c r="D565" s="20" t="s">
        <v>8</v>
      </c>
      <c r="E565" s="20" t="s">
        <v>9</v>
      </c>
      <c r="F565" s="18">
        <v>1</v>
      </c>
      <c r="G565" s="19">
        <v>120.6</v>
      </c>
      <c r="H565" s="32">
        <v>0.8</v>
      </c>
      <c r="I565" s="25">
        <f t="shared" si="36"/>
        <v>96.48</v>
      </c>
      <c r="J565" s="40"/>
      <c r="K565" s="39"/>
      <c r="L565" s="39"/>
      <c r="M565" s="39"/>
      <c r="N565" s="23"/>
      <c r="O565" s="39"/>
      <c r="P565" s="39"/>
      <c r="Q565" s="39"/>
      <c r="R565" s="39"/>
    </row>
    <row r="566" spans="1:18" s="2" customFormat="1" ht="14.4">
      <c r="A566" s="20">
        <f t="shared" si="37"/>
        <v>519</v>
      </c>
      <c r="B566" s="17" t="s">
        <v>218</v>
      </c>
      <c r="C566" s="17" t="s">
        <v>219</v>
      </c>
      <c r="D566" s="20" t="s">
        <v>48</v>
      </c>
      <c r="E566" s="20" t="s">
        <v>49</v>
      </c>
      <c r="F566" s="18">
        <v>1</v>
      </c>
      <c r="G566" s="19"/>
      <c r="H566" s="32">
        <v>1</v>
      </c>
      <c r="I566" s="25">
        <f>SUM(I541:I565)*0.05</f>
        <v>25925.893223363117</v>
      </c>
      <c r="J566" s="40"/>
      <c r="K566" s="39"/>
      <c r="L566" s="39"/>
      <c r="M566" s="39"/>
      <c r="N566" s="23"/>
      <c r="O566" s="39"/>
      <c r="P566" s="39"/>
      <c r="Q566" s="39"/>
      <c r="R566" s="39"/>
    </row>
    <row r="567" spans="1:18" s="2" customFormat="1" ht="14.4">
      <c r="A567" s="20"/>
      <c r="B567" s="20" t="s">
        <v>885</v>
      </c>
      <c r="C567" s="20" t="s">
        <v>886</v>
      </c>
      <c r="D567" s="20"/>
      <c r="E567" s="20"/>
      <c r="F567" s="18"/>
      <c r="G567" s="19"/>
      <c r="H567" s="32"/>
      <c r="I567" s="25"/>
      <c r="J567" s="40"/>
      <c r="K567" s="39"/>
      <c r="L567" s="39"/>
      <c r="M567" s="39"/>
      <c r="N567" s="23"/>
      <c r="O567" s="39"/>
      <c r="P567" s="39"/>
      <c r="Q567" s="39"/>
      <c r="R567" s="39"/>
    </row>
    <row r="568" spans="1:18" s="2" customFormat="1" ht="39.6">
      <c r="A568" s="20">
        <f>A566+1</f>
        <v>520</v>
      </c>
      <c r="B568" s="17" t="s">
        <v>832</v>
      </c>
      <c r="C568" s="17" t="s">
        <v>833</v>
      </c>
      <c r="D568" s="20" t="s">
        <v>834</v>
      </c>
      <c r="E568" s="20" t="s">
        <v>835</v>
      </c>
      <c r="F568" s="18">
        <v>1</v>
      </c>
      <c r="G568" s="19">
        <f>1.633198857*9561.14</f>
        <v>15615.24291961698</v>
      </c>
      <c r="H568" s="32">
        <v>1</v>
      </c>
      <c r="I568" s="25">
        <f t="shared" si="36"/>
        <v>15615.24291961698</v>
      </c>
      <c r="J568" s="40"/>
      <c r="K568" s="39"/>
      <c r="L568" s="39"/>
      <c r="M568" s="39"/>
      <c r="N568" s="23"/>
      <c r="O568" s="39"/>
      <c r="P568" s="39"/>
      <c r="Q568" s="39"/>
      <c r="R568" s="39"/>
    </row>
    <row r="569" spans="1:18" s="2" customFormat="1" ht="14.4">
      <c r="A569" s="20">
        <f t="shared" ref="A569:A582" si="38">A568+1</f>
        <v>521</v>
      </c>
      <c r="B569" s="17" t="s">
        <v>836</v>
      </c>
      <c r="C569" s="17" t="s">
        <v>837</v>
      </c>
      <c r="D569" s="20"/>
      <c r="E569" s="20"/>
      <c r="F569" s="18"/>
      <c r="G569" s="19"/>
      <c r="H569" s="32"/>
      <c r="I569" s="25"/>
      <c r="J569" s="40"/>
      <c r="K569" s="39"/>
      <c r="L569" s="39"/>
      <c r="M569" s="39"/>
      <c r="N569" s="23"/>
      <c r="O569" s="39"/>
      <c r="P569" s="39"/>
      <c r="Q569" s="39"/>
      <c r="R569" s="39"/>
    </row>
    <row r="570" spans="1:18" s="2" customFormat="1" ht="14.4">
      <c r="A570" s="20">
        <f t="shared" si="38"/>
        <v>522</v>
      </c>
      <c r="B570" s="17" t="s">
        <v>838</v>
      </c>
      <c r="C570" s="17" t="s">
        <v>839</v>
      </c>
      <c r="D570" s="20" t="s">
        <v>48</v>
      </c>
      <c r="E570" s="20" t="s">
        <v>49</v>
      </c>
      <c r="F570" s="18">
        <v>1</v>
      </c>
      <c r="G570" s="19">
        <f>1.633198857*898.32</f>
        <v>1467.1351972202401</v>
      </c>
      <c r="H570" s="32">
        <v>2</v>
      </c>
      <c r="I570" s="25">
        <f t="shared" si="36"/>
        <v>2934.2703944404802</v>
      </c>
      <c r="J570" s="40"/>
      <c r="K570" s="39"/>
      <c r="L570" s="39"/>
      <c r="M570" s="39"/>
      <c r="N570" s="23"/>
      <c r="O570" s="39"/>
      <c r="P570" s="39"/>
      <c r="Q570" s="39"/>
      <c r="R570" s="39"/>
    </row>
    <row r="571" spans="1:18" s="2" customFormat="1" ht="14.4">
      <c r="A571" s="20">
        <f t="shared" si="38"/>
        <v>523</v>
      </c>
      <c r="B571" s="17" t="s">
        <v>840</v>
      </c>
      <c r="C571" s="17" t="s">
        <v>841</v>
      </c>
      <c r="D571" s="20" t="s">
        <v>5</v>
      </c>
      <c r="E571" s="20" t="s">
        <v>6</v>
      </c>
      <c r="F571" s="18">
        <v>1</v>
      </c>
      <c r="G571" s="19">
        <f>1.633198857*126.06</f>
        <v>205.88104791341999</v>
      </c>
      <c r="H571" s="32">
        <v>8</v>
      </c>
      <c r="I571" s="25">
        <f t="shared" si="36"/>
        <v>1647.0483833073599</v>
      </c>
      <c r="J571" s="40"/>
      <c r="K571" s="39"/>
      <c r="L571" s="39"/>
      <c r="M571" s="39"/>
      <c r="N571" s="23"/>
      <c r="O571" s="39"/>
      <c r="P571" s="39"/>
      <c r="Q571" s="39"/>
      <c r="R571" s="39"/>
    </row>
    <row r="572" spans="1:18" s="2" customFormat="1" ht="14.4">
      <c r="A572" s="20">
        <f t="shared" si="38"/>
        <v>524</v>
      </c>
      <c r="B572" s="17" t="s">
        <v>842</v>
      </c>
      <c r="C572" s="17" t="s">
        <v>843</v>
      </c>
      <c r="D572" s="20" t="s">
        <v>5</v>
      </c>
      <c r="E572" s="20" t="s">
        <v>6</v>
      </c>
      <c r="F572" s="18">
        <v>1</v>
      </c>
      <c r="G572" s="19">
        <f>1.633198857*126.06</f>
        <v>205.88104791341999</v>
      </c>
      <c r="H572" s="32">
        <v>1</v>
      </c>
      <c r="I572" s="25">
        <f t="shared" si="36"/>
        <v>205.88104791341999</v>
      </c>
      <c r="J572" s="40"/>
      <c r="K572" s="39"/>
      <c r="L572" s="39"/>
      <c r="M572" s="39"/>
      <c r="N572" s="23"/>
      <c r="O572" s="39"/>
      <c r="P572" s="39"/>
      <c r="Q572" s="39"/>
      <c r="R572" s="39"/>
    </row>
    <row r="573" spans="1:18" s="2" customFormat="1" ht="14.4">
      <c r="A573" s="20">
        <f t="shared" si="38"/>
        <v>525</v>
      </c>
      <c r="B573" s="17" t="s">
        <v>844</v>
      </c>
      <c r="C573" s="17" t="s">
        <v>845</v>
      </c>
      <c r="D573" s="20" t="s">
        <v>5</v>
      </c>
      <c r="E573" s="20" t="s">
        <v>6</v>
      </c>
      <c r="F573" s="18">
        <v>1</v>
      </c>
      <c r="G573" s="19">
        <f>1.633198857*1084.71</f>
        <v>1771.5471321764701</v>
      </c>
      <c r="H573" s="32">
        <v>1</v>
      </c>
      <c r="I573" s="25">
        <f t="shared" si="36"/>
        <v>1771.5471321764701</v>
      </c>
      <c r="J573" s="40"/>
      <c r="K573" s="39"/>
      <c r="L573" s="39"/>
      <c r="M573" s="39"/>
      <c r="N573" s="23"/>
      <c r="O573" s="39"/>
      <c r="P573" s="39"/>
      <c r="Q573" s="39"/>
      <c r="R573" s="39"/>
    </row>
    <row r="574" spans="1:18" s="2" customFormat="1" ht="26.4">
      <c r="A574" s="20">
        <f t="shared" si="38"/>
        <v>526</v>
      </c>
      <c r="B574" s="17" t="s">
        <v>850</v>
      </c>
      <c r="C574" s="17" t="s">
        <v>887</v>
      </c>
      <c r="D574" s="20" t="s">
        <v>5</v>
      </c>
      <c r="E574" s="20" t="s">
        <v>6</v>
      </c>
      <c r="F574" s="18">
        <v>1</v>
      </c>
      <c r="G574" s="19">
        <f>1.633198857*227.58</f>
        <v>371.68339587606005</v>
      </c>
      <c r="H574" s="32">
        <v>2</v>
      </c>
      <c r="I574" s="25">
        <f t="shared" si="36"/>
        <v>743.36679175212009</v>
      </c>
      <c r="J574" s="40"/>
      <c r="K574" s="39"/>
      <c r="L574" s="39"/>
      <c r="M574" s="39"/>
      <c r="N574" s="23"/>
      <c r="O574" s="39"/>
      <c r="P574" s="39"/>
      <c r="Q574" s="39"/>
      <c r="R574" s="39"/>
    </row>
    <row r="575" spans="1:18" s="2" customFormat="1" ht="14.4">
      <c r="A575" s="20">
        <f t="shared" si="38"/>
        <v>527</v>
      </c>
      <c r="B575" s="17" t="s">
        <v>854</v>
      </c>
      <c r="C575" s="17" t="s">
        <v>855</v>
      </c>
      <c r="D575" s="20" t="s">
        <v>5</v>
      </c>
      <c r="E575" s="20" t="s">
        <v>6</v>
      </c>
      <c r="F575" s="18">
        <v>1</v>
      </c>
      <c r="G575" s="19">
        <f>1.633198857*227.58</f>
        <v>371.68339587606005</v>
      </c>
      <c r="H575" s="32">
        <v>2</v>
      </c>
      <c r="I575" s="25">
        <f t="shared" si="36"/>
        <v>743.36679175212009</v>
      </c>
      <c r="J575" s="40"/>
      <c r="K575" s="39"/>
      <c r="L575" s="39"/>
      <c r="M575" s="39"/>
      <c r="N575" s="23"/>
      <c r="O575" s="39"/>
      <c r="P575" s="39"/>
      <c r="Q575" s="39"/>
      <c r="R575" s="39"/>
    </row>
    <row r="576" spans="1:18" s="2" customFormat="1" ht="14.4">
      <c r="A576" s="20">
        <f t="shared" si="38"/>
        <v>528</v>
      </c>
      <c r="B576" s="17" t="s">
        <v>888</v>
      </c>
      <c r="C576" s="17" t="s">
        <v>889</v>
      </c>
      <c r="D576" s="20" t="s">
        <v>890</v>
      </c>
      <c r="E576" s="20" t="s">
        <v>65</v>
      </c>
      <c r="F576" s="18">
        <v>1</v>
      </c>
      <c r="G576" s="19">
        <f>1.633198857*282.99</f>
        <v>462.17894454243003</v>
      </c>
      <c r="H576" s="32">
        <v>1</v>
      </c>
      <c r="I576" s="25">
        <f t="shared" si="36"/>
        <v>462.17894454243003</v>
      </c>
      <c r="J576" s="40"/>
      <c r="K576" s="39"/>
      <c r="L576" s="39"/>
      <c r="M576" s="39"/>
      <c r="N576" s="23"/>
      <c r="O576" s="39"/>
      <c r="P576" s="39"/>
      <c r="Q576" s="39"/>
      <c r="R576" s="39"/>
    </row>
    <row r="577" spans="1:18" s="2" customFormat="1" ht="14.4">
      <c r="A577" s="20">
        <f t="shared" si="38"/>
        <v>529</v>
      </c>
      <c r="B577" s="17" t="s">
        <v>871</v>
      </c>
      <c r="C577" s="17" t="s">
        <v>872</v>
      </c>
      <c r="D577" s="20" t="s">
        <v>5</v>
      </c>
      <c r="E577" s="20" t="s">
        <v>6</v>
      </c>
      <c r="F577" s="18">
        <v>1</v>
      </c>
      <c r="G577" s="19">
        <f>253.6</f>
        <v>253.6</v>
      </c>
      <c r="H577" s="32">
        <v>2</v>
      </c>
      <c r="I577" s="25">
        <f t="shared" si="36"/>
        <v>507.2</v>
      </c>
      <c r="J577" s="40"/>
      <c r="K577" s="39"/>
      <c r="L577" s="39"/>
      <c r="M577" s="39"/>
      <c r="N577" s="23"/>
      <c r="O577" s="39"/>
      <c r="P577" s="39"/>
      <c r="Q577" s="39"/>
      <c r="R577" s="39"/>
    </row>
    <row r="578" spans="1:18" s="2" customFormat="1" ht="26.4">
      <c r="A578" s="20">
        <f t="shared" si="38"/>
        <v>530</v>
      </c>
      <c r="B578" s="17" t="s">
        <v>875</v>
      </c>
      <c r="C578" s="17" t="s">
        <v>891</v>
      </c>
      <c r="D578" s="20" t="s">
        <v>8</v>
      </c>
      <c r="E578" s="20" t="s">
        <v>9</v>
      </c>
      <c r="F578" s="18">
        <v>1</v>
      </c>
      <c r="G578" s="19">
        <f>1.633198857*1188.53</f>
        <v>1941.10583751021</v>
      </c>
      <c r="H578" s="32">
        <v>0.31</v>
      </c>
      <c r="I578" s="25">
        <f t="shared" si="36"/>
        <v>601.74280962816511</v>
      </c>
      <c r="J578" s="40"/>
      <c r="K578" s="39"/>
      <c r="L578" s="39"/>
      <c r="M578" s="39"/>
      <c r="N578" s="23"/>
      <c r="O578" s="39"/>
      <c r="P578" s="39"/>
      <c r="Q578" s="39"/>
      <c r="R578" s="39"/>
    </row>
    <row r="579" spans="1:18" s="2" customFormat="1" ht="39.6">
      <c r="A579" s="20">
        <f t="shared" si="38"/>
        <v>531</v>
      </c>
      <c r="B579" s="17" t="s">
        <v>861</v>
      </c>
      <c r="C579" s="17" t="s">
        <v>862</v>
      </c>
      <c r="D579" s="20" t="s">
        <v>8</v>
      </c>
      <c r="E579" s="20" t="s">
        <v>9</v>
      </c>
      <c r="F579" s="18">
        <v>1</v>
      </c>
      <c r="G579" s="19">
        <f>1.633198857*1072.33</f>
        <v>1751.32813032681</v>
      </c>
      <c r="H579" s="32">
        <v>4.82</v>
      </c>
      <c r="I579" s="25">
        <f t="shared" si="36"/>
        <v>8441.4015881752239</v>
      </c>
      <c r="J579" s="40"/>
      <c r="K579" s="39"/>
      <c r="L579" s="39"/>
      <c r="M579" s="39"/>
      <c r="N579" s="23"/>
      <c r="O579" s="39"/>
      <c r="P579" s="39"/>
      <c r="Q579" s="39"/>
      <c r="R579" s="39"/>
    </row>
    <row r="580" spans="1:18" s="2" customFormat="1" ht="39.6">
      <c r="A580" s="20">
        <f t="shared" si="38"/>
        <v>532</v>
      </c>
      <c r="B580" s="17" t="s">
        <v>892</v>
      </c>
      <c r="C580" s="17" t="s">
        <v>893</v>
      </c>
      <c r="D580" s="20" t="s">
        <v>8</v>
      </c>
      <c r="E580" s="20" t="s">
        <v>9</v>
      </c>
      <c r="F580" s="18">
        <v>1</v>
      </c>
      <c r="G580" s="19">
        <f>1.633198857*18.88</f>
        <v>30.834794420159998</v>
      </c>
      <c r="H580" s="32">
        <v>0.04</v>
      </c>
      <c r="I580" s="25">
        <f t="shared" si="36"/>
        <v>1.2333917768064</v>
      </c>
      <c r="J580" s="40"/>
      <c r="K580" s="39"/>
      <c r="L580" s="39"/>
      <c r="M580" s="39"/>
      <c r="N580" s="23"/>
      <c r="O580" s="39"/>
      <c r="P580" s="39"/>
      <c r="Q580" s="39"/>
      <c r="R580" s="39"/>
    </row>
    <row r="581" spans="1:18" s="2" customFormat="1" ht="26.4">
      <c r="A581" s="20">
        <f t="shared" si="38"/>
        <v>533</v>
      </c>
      <c r="B581" s="17" t="s">
        <v>894</v>
      </c>
      <c r="C581" s="17" t="s">
        <v>895</v>
      </c>
      <c r="D581" s="20" t="s">
        <v>8</v>
      </c>
      <c r="E581" s="20" t="s">
        <v>9</v>
      </c>
      <c r="F581" s="18">
        <v>1</v>
      </c>
      <c r="G581" s="19">
        <f>359.12</f>
        <v>359.12</v>
      </c>
      <c r="H581" s="32">
        <v>0.04</v>
      </c>
      <c r="I581" s="25">
        <f t="shared" si="36"/>
        <v>14.364800000000001</v>
      </c>
      <c r="J581" s="40"/>
      <c r="K581" s="39"/>
      <c r="L581" s="39"/>
      <c r="M581" s="39"/>
      <c r="N581" s="23"/>
      <c r="O581" s="39"/>
      <c r="P581" s="39"/>
      <c r="Q581" s="39"/>
      <c r="R581" s="39"/>
    </row>
    <row r="582" spans="1:18" s="2" customFormat="1" ht="14.4">
      <c r="A582" s="20">
        <f t="shared" si="38"/>
        <v>534</v>
      </c>
      <c r="B582" s="17" t="s">
        <v>218</v>
      </c>
      <c r="C582" s="17" t="s">
        <v>219</v>
      </c>
      <c r="D582" s="20" t="s">
        <v>48</v>
      </c>
      <c r="E582" s="20" t="s">
        <v>49</v>
      </c>
      <c r="F582" s="18">
        <v>1</v>
      </c>
      <c r="G582" s="19"/>
      <c r="H582" s="32">
        <v>1</v>
      </c>
      <c r="I582" s="25">
        <f>SUM(I568:I581)*0.05</f>
        <v>1684.4422497540791</v>
      </c>
      <c r="J582" s="40"/>
      <c r="K582" s="39"/>
      <c r="L582" s="39"/>
      <c r="M582" s="39"/>
      <c r="N582" s="23"/>
      <c r="O582" s="39"/>
      <c r="P582" s="39"/>
      <c r="Q582" s="39"/>
      <c r="R582" s="39"/>
    </row>
    <row r="583" spans="1:18" ht="14.4">
      <c r="A583" s="9" t="s">
        <v>61</v>
      </c>
      <c r="B583" s="20" t="s">
        <v>896</v>
      </c>
      <c r="C583" s="20" t="s">
        <v>897</v>
      </c>
      <c r="D583" s="9"/>
      <c r="E583" s="9"/>
      <c r="F583" s="18"/>
      <c r="G583" s="19"/>
      <c r="H583" s="18"/>
      <c r="I583" s="25"/>
      <c r="J583" s="24"/>
      <c r="K583" s="22"/>
      <c r="L583" s="22"/>
      <c r="M583" s="22"/>
      <c r="N583" s="23"/>
      <c r="O583" s="22"/>
      <c r="P583" s="22"/>
      <c r="Q583" s="22"/>
      <c r="R583" s="22"/>
    </row>
    <row r="584" spans="1:18" s="2" customFormat="1" ht="39.6">
      <c r="A584" s="20">
        <f>A582+1</f>
        <v>535</v>
      </c>
      <c r="B584" s="17" t="s">
        <v>832</v>
      </c>
      <c r="C584" s="17" t="s">
        <v>833</v>
      </c>
      <c r="D584" s="20" t="s">
        <v>834</v>
      </c>
      <c r="E584" s="20" t="s">
        <v>835</v>
      </c>
      <c r="F584" s="18">
        <v>1</v>
      </c>
      <c r="G584" s="19">
        <f>1.633198857*9561.14</f>
        <v>15615.24291961698</v>
      </c>
      <c r="H584" s="32">
        <v>1</v>
      </c>
      <c r="I584" s="25">
        <f t="shared" si="36"/>
        <v>15615.24291961698</v>
      </c>
      <c r="J584" s="40"/>
      <c r="K584" s="39"/>
      <c r="L584" s="39"/>
      <c r="M584" s="39"/>
      <c r="N584" s="23"/>
      <c r="O584" s="39"/>
      <c r="P584" s="39"/>
      <c r="Q584" s="39"/>
      <c r="R584" s="39"/>
    </row>
    <row r="585" spans="1:18" s="2" customFormat="1" ht="14.4">
      <c r="A585" s="20">
        <f t="shared" ref="A585:A606" si="39">A584+1</f>
        <v>536</v>
      </c>
      <c r="B585" s="17" t="s">
        <v>836</v>
      </c>
      <c r="C585" s="17" t="s">
        <v>837</v>
      </c>
      <c r="D585" s="20"/>
      <c r="E585" s="20"/>
      <c r="F585" s="18"/>
      <c r="G585" s="19"/>
      <c r="H585" s="32"/>
      <c r="I585" s="25"/>
      <c r="J585" s="40"/>
      <c r="K585" s="39"/>
      <c r="L585" s="39"/>
      <c r="M585" s="39"/>
      <c r="N585" s="23"/>
      <c r="O585" s="39"/>
      <c r="P585" s="39"/>
      <c r="Q585" s="39"/>
      <c r="R585" s="39"/>
    </row>
    <row r="586" spans="1:18" s="2" customFormat="1" ht="14.4">
      <c r="A586" s="20">
        <f t="shared" si="39"/>
        <v>537</v>
      </c>
      <c r="B586" s="17" t="s">
        <v>838</v>
      </c>
      <c r="C586" s="17" t="s">
        <v>839</v>
      </c>
      <c r="D586" s="20" t="s">
        <v>48</v>
      </c>
      <c r="E586" s="20" t="s">
        <v>49</v>
      </c>
      <c r="F586" s="18">
        <v>1</v>
      </c>
      <c r="G586" s="19">
        <f>1.633198857*898.32</f>
        <v>1467.1351972202401</v>
      </c>
      <c r="H586" s="32">
        <v>2</v>
      </c>
      <c r="I586" s="25">
        <f t="shared" si="36"/>
        <v>2934.2703944404802</v>
      </c>
      <c r="J586" s="40"/>
      <c r="K586" s="39"/>
      <c r="L586" s="39"/>
      <c r="M586" s="39"/>
      <c r="N586" s="23"/>
      <c r="O586" s="39"/>
      <c r="P586" s="39"/>
      <c r="Q586" s="39"/>
      <c r="R586" s="39"/>
    </row>
    <row r="587" spans="1:18" s="2" customFormat="1" ht="14.4">
      <c r="A587" s="20">
        <f t="shared" si="39"/>
        <v>538</v>
      </c>
      <c r="B587" s="17" t="s">
        <v>840</v>
      </c>
      <c r="C587" s="17" t="s">
        <v>841</v>
      </c>
      <c r="D587" s="20" t="s">
        <v>5</v>
      </c>
      <c r="E587" s="20" t="s">
        <v>6</v>
      </c>
      <c r="F587" s="18">
        <v>1</v>
      </c>
      <c r="G587" s="19">
        <f>1.633198857*126.06</f>
        <v>205.88104791341999</v>
      </c>
      <c r="H587" s="32">
        <v>8</v>
      </c>
      <c r="I587" s="25">
        <f t="shared" ref="I587:I650" si="40">G587*H587</f>
        <v>1647.0483833073599</v>
      </c>
      <c r="J587" s="40"/>
      <c r="K587" s="39"/>
      <c r="L587" s="39"/>
      <c r="M587" s="39"/>
      <c r="N587" s="23"/>
      <c r="O587" s="39"/>
      <c r="P587" s="39"/>
      <c r="Q587" s="39"/>
      <c r="R587" s="39"/>
    </row>
    <row r="588" spans="1:18" s="2" customFormat="1" ht="14.4">
      <c r="A588" s="20">
        <f t="shared" si="39"/>
        <v>539</v>
      </c>
      <c r="B588" s="17" t="s">
        <v>842</v>
      </c>
      <c r="C588" s="17" t="s">
        <v>843</v>
      </c>
      <c r="D588" s="20" t="s">
        <v>5</v>
      </c>
      <c r="E588" s="20" t="s">
        <v>6</v>
      </c>
      <c r="F588" s="18">
        <v>1</v>
      </c>
      <c r="G588" s="19">
        <f>1.633198857*126.06</f>
        <v>205.88104791341999</v>
      </c>
      <c r="H588" s="32">
        <v>1</v>
      </c>
      <c r="I588" s="25">
        <f t="shared" si="40"/>
        <v>205.88104791341999</v>
      </c>
      <c r="J588" s="40"/>
      <c r="K588" s="39"/>
      <c r="L588" s="39"/>
      <c r="M588" s="39"/>
      <c r="N588" s="23"/>
      <c r="O588" s="39"/>
      <c r="P588" s="39"/>
      <c r="Q588" s="39"/>
      <c r="R588" s="39"/>
    </row>
    <row r="589" spans="1:18" s="2" customFormat="1" ht="14.4">
      <c r="A589" s="20">
        <f t="shared" si="39"/>
        <v>540</v>
      </c>
      <c r="B589" s="17" t="s">
        <v>844</v>
      </c>
      <c r="C589" s="17" t="s">
        <v>845</v>
      </c>
      <c r="D589" s="20" t="s">
        <v>5</v>
      </c>
      <c r="E589" s="20" t="s">
        <v>6</v>
      </c>
      <c r="F589" s="18">
        <v>1</v>
      </c>
      <c r="G589" s="19">
        <f>1.633198857*1084.71</f>
        <v>1771.5471321764701</v>
      </c>
      <c r="H589" s="32">
        <v>1</v>
      </c>
      <c r="I589" s="25">
        <f t="shared" si="40"/>
        <v>1771.5471321764701</v>
      </c>
      <c r="J589" s="40"/>
      <c r="K589" s="39"/>
      <c r="L589" s="39"/>
      <c r="M589" s="39"/>
      <c r="N589" s="23"/>
      <c r="O589" s="39"/>
      <c r="P589" s="39"/>
      <c r="Q589" s="39"/>
      <c r="R589" s="39"/>
    </row>
    <row r="590" spans="1:18" s="2" customFormat="1" ht="26.4">
      <c r="A590" s="20">
        <f t="shared" si="39"/>
        <v>541</v>
      </c>
      <c r="B590" s="17" t="s">
        <v>898</v>
      </c>
      <c r="C590" s="17" t="s">
        <v>899</v>
      </c>
      <c r="D590" s="20" t="s">
        <v>5</v>
      </c>
      <c r="E590" s="20" t="s">
        <v>6</v>
      </c>
      <c r="F590" s="18">
        <v>1</v>
      </c>
      <c r="G590" s="19">
        <f>1.633198857*6452.75</f>
        <v>10538.62392450675</v>
      </c>
      <c r="H590" s="32">
        <v>1</v>
      </c>
      <c r="I590" s="25">
        <f t="shared" si="40"/>
        <v>10538.62392450675</v>
      </c>
      <c r="J590" s="40"/>
      <c r="K590" s="39"/>
      <c r="L590" s="39"/>
      <c r="M590" s="39"/>
      <c r="N590" s="23"/>
      <c r="O590" s="39"/>
      <c r="P590" s="39"/>
      <c r="Q590" s="39"/>
      <c r="R590" s="39"/>
    </row>
    <row r="591" spans="1:18" s="2" customFormat="1" ht="14.4">
      <c r="A591" s="20">
        <f t="shared" si="39"/>
        <v>542</v>
      </c>
      <c r="B591" s="17" t="s">
        <v>846</v>
      </c>
      <c r="C591" s="17" t="s">
        <v>847</v>
      </c>
      <c r="D591" s="20" t="s">
        <v>5</v>
      </c>
      <c r="E591" s="20" t="s">
        <v>6</v>
      </c>
      <c r="F591" s="18">
        <v>1</v>
      </c>
      <c r="G591" s="19">
        <f>1.633198857*227.58</f>
        <v>371.68339587606005</v>
      </c>
      <c r="H591" s="32">
        <v>16</v>
      </c>
      <c r="I591" s="25">
        <f t="shared" si="40"/>
        <v>5946.9343340169607</v>
      </c>
      <c r="J591" s="40"/>
      <c r="K591" s="39"/>
      <c r="L591" s="39"/>
      <c r="M591" s="39"/>
      <c r="N591" s="23"/>
      <c r="O591" s="39"/>
      <c r="P591" s="39"/>
      <c r="Q591" s="39"/>
      <c r="R591" s="39"/>
    </row>
    <row r="592" spans="1:18" s="2" customFormat="1" ht="14.4">
      <c r="A592" s="20">
        <f t="shared" si="39"/>
        <v>543</v>
      </c>
      <c r="B592" s="17" t="s">
        <v>900</v>
      </c>
      <c r="C592" s="17" t="s">
        <v>901</v>
      </c>
      <c r="D592" s="20" t="s">
        <v>5</v>
      </c>
      <c r="E592" s="20" t="s">
        <v>6</v>
      </c>
      <c r="F592" s="18">
        <v>1</v>
      </c>
      <c r="G592" s="19">
        <f>789.2</f>
        <v>789.2</v>
      </c>
      <c r="H592" s="32">
        <v>16</v>
      </c>
      <c r="I592" s="25">
        <f t="shared" si="40"/>
        <v>12627.2</v>
      </c>
      <c r="J592" s="40"/>
      <c r="K592" s="39"/>
      <c r="L592" s="39"/>
      <c r="M592" s="39"/>
      <c r="N592" s="23"/>
      <c r="O592" s="39"/>
      <c r="P592" s="39"/>
      <c r="Q592" s="39"/>
      <c r="R592" s="39"/>
    </row>
    <row r="593" spans="1:18" s="2" customFormat="1" ht="26.4">
      <c r="A593" s="20">
        <f t="shared" si="39"/>
        <v>544</v>
      </c>
      <c r="B593" s="17" t="s">
        <v>902</v>
      </c>
      <c r="C593" s="17" t="s">
        <v>903</v>
      </c>
      <c r="D593" s="20" t="s">
        <v>890</v>
      </c>
      <c r="E593" s="20" t="s">
        <v>65</v>
      </c>
      <c r="F593" s="18">
        <v>1</v>
      </c>
      <c r="G593" s="19">
        <f>1.633198857*227.58</f>
        <v>371.68339587606005</v>
      </c>
      <c r="H593" s="32">
        <v>16</v>
      </c>
      <c r="I593" s="25">
        <f t="shared" si="40"/>
        <v>5946.9343340169607</v>
      </c>
      <c r="J593" s="40"/>
      <c r="K593" s="39"/>
      <c r="L593" s="39"/>
      <c r="M593" s="39"/>
      <c r="N593" s="23"/>
      <c r="O593" s="39"/>
      <c r="P593" s="39"/>
      <c r="Q593" s="39"/>
      <c r="R593" s="39"/>
    </row>
    <row r="594" spans="1:18" s="2" customFormat="1" ht="26.4">
      <c r="A594" s="20">
        <f t="shared" si="39"/>
        <v>545</v>
      </c>
      <c r="B594" s="17" t="s">
        <v>904</v>
      </c>
      <c r="C594" s="17" t="s">
        <v>905</v>
      </c>
      <c r="D594" s="20" t="s">
        <v>5</v>
      </c>
      <c r="E594" s="20" t="s">
        <v>6</v>
      </c>
      <c r="F594" s="18">
        <v>1</v>
      </c>
      <c r="G594" s="19">
        <f>450.9</f>
        <v>450.9</v>
      </c>
      <c r="H594" s="32">
        <v>16</v>
      </c>
      <c r="I594" s="25">
        <f t="shared" si="40"/>
        <v>7214.4</v>
      </c>
      <c r="J594" s="40"/>
      <c r="K594" s="39"/>
      <c r="L594" s="39"/>
      <c r="M594" s="39"/>
      <c r="N594" s="23"/>
      <c r="O594" s="39"/>
      <c r="P594" s="39"/>
      <c r="Q594" s="39"/>
      <c r="R594" s="39"/>
    </row>
    <row r="595" spans="1:18" s="2" customFormat="1" ht="14.4">
      <c r="A595" s="20">
        <f t="shared" si="39"/>
        <v>546</v>
      </c>
      <c r="B595" s="17" t="s">
        <v>873</v>
      </c>
      <c r="C595" s="72" t="s">
        <v>874</v>
      </c>
      <c r="D595" s="20" t="s">
        <v>8</v>
      </c>
      <c r="E595" s="20" t="s">
        <v>9</v>
      </c>
      <c r="F595" s="18">
        <v>1</v>
      </c>
      <c r="G595" s="19">
        <v>483.2</v>
      </c>
      <c r="H595" s="32">
        <v>2</v>
      </c>
      <c r="I595" s="25">
        <f t="shared" si="40"/>
        <v>966.4</v>
      </c>
      <c r="J595" s="74"/>
      <c r="K595" s="75"/>
      <c r="L595" s="75"/>
      <c r="M595" s="75"/>
      <c r="N595" s="76"/>
      <c r="O595" s="75"/>
      <c r="P595" s="75"/>
      <c r="Q595" s="75"/>
      <c r="R595" s="75"/>
    </row>
    <row r="596" spans="1:18" s="2" customFormat="1" ht="27">
      <c r="A596" s="20">
        <f t="shared" si="39"/>
        <v>547</v>
      </c>
      <c r="B596" s="73" t="s">
        <v>856</v>
      </c>
      <c r="C596" s="73" t="s">
        <v>857</v>
      </c>
      <c r="D596" s="20" t="s">
        <v>858</v>
      </c>
      <c r="E596" s="20" t="s">
        <v>64</v>
      </c>
      <c r="F596" s="18">
        <v>1</v>
      </c>
      <c r="G596" s="19">
        <f>1.633198857*905.17</f>
        <v>1478.3226093906899</v>
      </c>
      <c r="H596" s="32">
        <v>2</v>
      </c>
      <c r="I596" s="25">
        <f t="shared" si="40"/>
        <v>2956.6452187813798</v>
      </c>
      <c r="J596" s="74"/>
      <c r="K596" s="75"/>
      <c r="L596" s="75"/>
      <c r="M596" s="75"/>
      <c r="N596" s="76"/>
      <c r="O596" s="75"/>
      <c r="P596" s="75"/>
      <c r="Q596" s="75"/>
      <c r="R596" s="75"/>
    </row>
    <row r="597" spans="1:18" s="2" customFormat="1" ht="27">
      <c r="A597" s="20">
        <f t="shared" si="39"/>
        <v>548</v>
      </c>
      <c r="B597" s="73" t="s">
        <v>906</v>
      </c>
      <c r="C597" s="73" t="s">
        <v>907</v>
      </c>
      <c r="D597" s="20" t="s">
        <v>5</v>
      </c>
      <c r="E597" s="20" t="s">
        <v>6</v>
      </c>
      <c r="F597" s="18">
        <v>1</v>
      </c>
      <c r="G597" s="19">
        <f>10892.63</f>
        <v>10892.63</v>
      </c>
      <c r="H597" s="32">
        <v>2</v>
      </c>
      <c r="I597" s="25">
        <f t="shared" si="40"/>
        <v>21785.26</v>
      </c>
      <c r="J597" s="74"/>
      <c r="K597" s="75"/>
      <c r="L597" s="75"/>
      <c r="M597" s="75"/>
      <c r="N597" s="76"/>
      <c r="O597" s="75"/>
      <c r="P597" s="75"/>
      <c r="Q597" s="75"/>
      <c r="R597" s="75"/>
    </row>
    <row r="598" spans="1:18" s="2" customFormat="1" ht="39.6">
      <c r="A598" s="20">
        <f t="shared" si="39"/>
        <v>549</v>
      </c>
      <c r="B598" s="17" t="s">
        <v>861</v>
      </c>
      <c r="C598" s="17" t="s">
        <v>908</v>
      </c>
      <c r="D598" s="20" t="s">
        <v>8</v>
      </c>
      <c r="E598" s="20" t="s">
        <v>9</v>
      </c>
      <c r="F598" s="18">
        <v>1</v>
      </c>
      <c r="G598" s="19">
        <f>1.633198857*1072.33</f>
        <v>1751.32813032681</v>
      </c>
      <c r="H598" s="32">
        <v>16</v>
      </c>
      <c r="I598" s="25">
        <f t="shared" si="40"/>
        <v>28021.25008522896</v>
      </c>
      <c r="J598" s="40"/>
      <c r="K598" s="39"/>
      <c r="L598" s="39"/>
      <c r="M598" s="39"/>
      <c r="N598" s="23"/>
      <c r="O598" s="39"/>
      <c r="P598" s="39"/>
      <c r="Q598" s="39"/>
      <c r="R598" s="39"/>
    </row>
    <row r="599" spans="1:18" s="2" customFormat="1" ht="39.6">
      <c r="A599" s="20">
        <f t="shared" si="39"/>
        <v>550</v>
      </c>
      <c r="B599" s="17" t="s">
        <v>861</v>
      </c>
      <c r="C599" s="17" t="s">
        <v>908</v>
      </c>
      <c r="D599" s="20" t="s">
        <v>8</v>
      </c>
      <c r="E599" s="20" t="s">
        <v>9</v>
      </c>
      <c r="F599" s="18">
        <v>1</v>
      </c>
      <c r="G599" s="19">
        <f>1.633198857*1072.33</f>
        <v>1751.32813032681</v>
      </c>
      <c r="H599" s="32">
        <v>87</v>
      </c>
      <c r="I599" s="25">
        <f t="shared" si="40"/>
        <v>152365.54733843246</v>
      </c>
      <c r="J599" s="40"/>
      <c r="K599" s="39"/>
      <c r="L599" s="39"/>
      <c r="M599" s="39"/>
      <c r="N599" s="23"/>
      <c r="O599" s="39"/>
      <c r="P599" s="39"/>
      <c r="Q599" s="39"/>
      <c r="R599" s="39"/>
    </row>
    <row r="600" spans="1:18" s="2" customFormat="1" ht="39.6">
      <c r="A600" s="20">
        <f t="shared" si="39"/>
        <v>551</v>
      </c>
      <c r="B600" s="17" t="s">
        <v>865</v>
      </c>
      <c r="C600" s="17" t="s">
        <v>866</v>
      </c>
      <c r="D600" s="20" t="s">
        <v>8</v>
      </c>
      <c r="E600" s="20" t="s">
        <v>9</v>
      </c>
      <c r="F600" s="18">
        <v>1</v>
      </c>
      <c r="G600" s="19">
        <f>1.633198857*1014.12</f>
        <v>1656.2596248608399</v>
      </c>
      <c r="H600" s="32">
        <v>87</v>
      </c>
      <c r="I600" s="25">
        <f t="shared" si="40"/>
        <v>144094.58736289307</v>
      </c>
      <c r="J600" s="40"/>
      <c r="K600" s="39"/>
      <c r="L600" s="39"/>
      <c r="M600" s="39"/>
      <c r="N600" s="23"/>
      <c r="O600" s="39"/>
      <c r="P600" s="39"/>
      <c r="Q600" s="39"/>
      <c r="R600" s="39"/>
    </row>
    <row r="601" spans="1:18" s="2" customFormat="1" ht="39.6">
      <c r="A601" s="20">
        <f t="shared" si="39"/>
        <v>552</v>
      </c>
      <c r="B601" s="17" t="s">
        <v>867</v>
      </c>
      <c r="C601" s="17" t="s">
        <v>868</v>
      </c>
      <c r="D601" s="20" t="s">
        <v>8</v>
      </c>
      <c r="E601" s="20" t="s">
        <v>9</v>
      </c>
      <c r="F601" s="18">
        <v>1</v>
      </c>
      <c r="G601" s="19">
        <f>1.633198857*948.7</f>
        <v>1549.4157556359</v>
      </c>
      <c r="H601" s="32">
        <v>74.8</v>
      </c>
      <c r="I601" s="25">
        <f t="shared" si="40"/>
        <v>115896.29852156532</v>
      </c>
      <c r="J601" s="40"/>
      <c r="K601" s="39"/>
      <c r="L601" s="39"/>
      <c r="M601" s="39"/>
      <c r="N601" s="23"/>
      <c r="O601" s="39"/>
      <c r="P601" s="39"/>
      <c r="Q601" s="39"/>
      <c r="R601" s="39"/>
    </row>
    <row r="602" spans="1:18" s="2" customFormat="1" ht="14.4">
      <c r="A602" s="20">
        <f t="shared" si="39"/>
        <v>553</v>
      </c>
      <c r="B602" s="17" t="s">
        <v>909</v>
      </c>
      <c r="C602" s="17" t="s">
        <v>910</v>
      </c>
      <c r="D602" s="20" t="s">
        <v>5</v>
      </c>
      <c r="E602" s="20" t="s">
        <v>6</v>
      </c>
      <c r="F602" s="18">
        <v>1</v>
      </c>
      <c r="G602" s="19">
        <f>287.03</f>
        <v>287.02999999999997</v>
      </c>
      <c r="H602" s="32">
        <v>16</v>
      </c>
      <c r="I602" s="25">
        <f t="shared" si="40"/>
        <v>4592.4799999999996</v>
      </c>
      <c r="J602" s="40"/>
      <c r="K602" s="39"/>
      <c r="L602" s="39"/>
      <c r="M602" s="39"/>
      <c r="N602" s="23"/>
      <c r="O602" s="39"/>
      <c r="P602" s="39"/>
      <c r="Q602" s="39"/>
      <c r="R602" s="39"/>
    </row>
    <row r="603" spans="1:18" s="2" customFormat="1" ht="26.4">
      <c r="A603" s="20">
        <f t="shared" si="39"/>
        <v>554</v>
      </c>
      <c r="B603" s="17" t="s">
        <v>879</v>
      </c>
      <c r="C603" s="17" t="s">
        <v>880</v>
      </c>
      <c r="D603" s="9" t="s">
        <v>44</v>
      </c>
      <c r="E603" s="20" t="s">
        <v>45</v>
      </c>
      <c r="F603" s="18">
        <v>1</v>
      </c>
      <c r="G603" s="19">
        <f>34.47</f>
        <v>34.47</v>
      </c>
      <c r="H603" s="32">
        <v>25</v>
      </c>
      <c r="I603" s="25">
        <f t="shared" si="40"/>
        <v>861.75</v>
      </c>
      <c r="J603" s="40"/>
      <c r="K603" s="39"/>
      <c r="L603" s="39"/>
      <c r="M603" s="39"/>
      <c r="N603" s="23"/>
      <c r="O603" s="39"/>
      <c r="P603" s="39"/>
      <c r="Q603" s="39"/>
      <c r="R603" s="39"/>
    </row>
    <row r="604" spans="1:18" s="2" customFormat="1" ht="39.6">
      <c r="A604" s="20">
        <f t="shared" si="39"/>
        <v>555</v>
      </c>
      <c r="B604" s="17" t="s">
        <v>911</v>
      </c>
      <c r="C604" s="17" t="s">
        <v>912</v>
      </c>
      <c r="D604" s="20" t="s">
        <v>8</v>
      </c>
      <c r="E604" s="20" t="s">
        <v>9</v>
      </c>
      <c r="F604" s="18">
        <v>1</v>
      </c>
      <c r="G604" s="19">
        <f>1.633198857*118.8</f>
        <v>194.02402421159999</v>
      </c>
      <c r="H604" s="32">
        <v>0.45</v>
      </c>
      <c r="I604" s="25">
        <f t="shared" si="40"/>
        <v>87.310810895220001</v>
      </c>
      <c r="J604" s="40"/>
      <c r="K604" s="39"/>
      <c r="L604" s="39"/>
      <c r="M604" s="39"/>
      <c r="N604" s="23"/>
      <c r="O604" s="39"/>
      <c r="P604" s="39"/>
      <c r="Q604" s="39"/>
      <c r="R604" s="39"/>
    </row>
    <row r="605" spans="1:18" s="2" customFormat="1" ht="26.4">
      <c r="A605" s="20">
        <f t="shared" si="39"/>
        <v>556</v>
      </c>
      <c r="B605" s="17" t="s">
        <v>883</v>
      </c>
      <c r="C605" s="17" t="s">
        <v>884</v>
      </c>
      <c r="D605" s="20" t="s">
        <v>8</v>
      </c>
      <c r="E605" s="20" t="s">
        <v>9</v>
      </c>
      <c r="F605" s="18">
        <v>1</v>
      </c>
      <c r="G605" s="19">
        <f>359.12</f>
        <v>359.12</v>
      </c>
      <c r="H605" s="32">
        <v>2.5</v>
      </c>
      <c r="I605" s="25">
        <f t="shared" si="40"/>
        <v>897.8</v>
      </c>
      <c r="J605" s="40"/>
      <c r="K605" s="39"/>
      <c r="L605" s="39"/>
      <c r="M605" s="39"/>
      <c r="N605" s="23"/>
      <c r="O605" s="39"/>
      <c r="P605" s="39"/>
      <c r="Q605" s="39"/>
      <c r="R605" s="39"/>
    </row>
    <row r="606" spans="1:18" s="2" customFormat="1" ht="14.4">
      <c r="A606" s="20">
        <f t="shared" si="39"/>
        <v>557</v>
      </c>
      <c r="B606" s="17" t="s">
        <v>218</v>
      </c>
      <c r="C606" s="17" t="s">
        <v>219</v>
      </c>
      <c r="D606" s="20" t="s">
        <v>48</v>
      </c>
      <c r="E606" s="20" t="s">
        <v>49</v>
      </c>
      <c r="F606" s="18">
        <v>1</v>
      </c>
      <c r="G606" s="19"/>
      <c r="H606" s="32">
        <v>1</v>
      </c>
      <c r="I606" s="25">
        <f>SUM(I586:I605)*0.05</f>
        <v>26067.908444408742</v>
      </c>
      <c r="J606" s="40"/>
      <c r="K606" s="39"/>
      <c r="L606" s="39"/>
      <c r="M606" s="39"/>
      <c r="N606" s="23"/>
      <c r="O606" s="39"/>
      <c r="P606" s="39"/>
      <c r="Q606" s="39"/>
      <c r="R606" s="39"/>
    </row>
    <row r="607" spans="1:18" ht="14.4">
      <c r="A607" s="9" t="s">
        <v>61</v>
      </c>
      <c r="B607" s="20" t="s">
        <v>913</v>
      </c>
      <c r="C607" s="20" t="s">
        <v>914</v>
      </c>
      <c r="D607" s="9"/>
      <c r="E607" s="9"/>
      <c r="F607" s="18"/>
      <c r="G607" s="19"/>
      <c r="H607" s="18"/>
      <c r="I607" s="25"/>
      <c r="J607" s="24"/>
      <c r="K607" s="22"/>
      <c r="L607" s="22"/>
      <c r="M607" s="22"/>
      <c r="N607" s="23"/>
      <c r="O607" s="22"/>
      <c r="P607" s="22"/>
      <c r="Q607" s="22"/>
      <c r="R607" s="22"/>
    </row>
    <row r="608" spans="1:18" s="2" customFormat="1" ht="39.6">
      <c r="A608" s="20">
        <f>A606+1</f>
        <v>558</v>
      </c>
      <c r="B608" s="17" t="s">
        <v>832</v>
      </c>
      <c r="C608" s="17" t="s">
        <v>833</v>
      </c>
      <c r="D608" s="20" t="s">
        <v>834</v>
      </c>
      <c r="E608" s="20" t="s">
        <v>835</v>
      </c>
      <c r="F608" s="18">
        <v>1</v>
      </c>
      <c r="G608" s="19">
        <f>1.633198857*9561.14</f>
        <v>15615.24291961698</v>
      </c>
      <c r="H608" s="32">
        <v>1</v>
      </c>
      <c r="I608" s="25">
        <f t="shared" si="40"/>
        <v>15615.24291961698</v>
      </c>
      <c r="J608" s="40"/>
      <c r="K608" s="39"/>
      <c r="L608" s="39"/>
      <c r="M608" s="39"/>
      <c r="N608" s="23"/>
      <c r="O608" s="39"/>
      <c r="P608" s="39"/>
      <c r="Q608" s="39"/>
      <c r="R608" s="39"/>
    </row>
    <row r="609" spans="1:18" s="2" customFormat="1" ht="14.4">
      <c r="A609" s="9">
        <f t="shared" ref="A609:A631" si="41">A608+1</f>
        <v>559</v>
      </c>
      <c r="B609" s="17" t="s">
        <v>836</v>
      </c>
      <c r="C609" s="17" t="s">
        <v>837</v>
      </c>
      <c r="D609" s="20"/>
      <c r="E609" s="20"/>
      <c r="F609" s="18"/>
      <c r="G609" s="19"/>
      <c r="H609" s="32"/>
      <c r="I609" s="25"/>
      <c r="J609" s="40"/>
      <c r="K609" s="39"/>
      <c r="L609" s="39"/>
      <c r="M609" s="39"/>
      <c r="N609" s="23"/>
      <c r="O609" s="39"/>
      <c r="P609" s="39"/>
      <c r="Q609" s="39"/>
      <c r="R609" s="39"/>
    </row>
    <row r="610" spans="1:18" s="2" customFormat="1" ht="14.4">
      <c r="A610" s="9">
        <f t="shared" si="41"/>
        <v>560</v>
      </c>
      <c r="B610" s="17" t="s">
        <v>838</v>
      </c>
      <c r="C610" s="17" t="s">
        <v>839</v>
      </c>
      <c r="D610" s="20" t="s">
        <v>48</v>
      </c>
      <c r="E610" s="20" t="s">
        <v>49</v>
      </c>
      <c r="F610" s="18">
        <v>1</v>
      </c>
      <c r="G610" s="19">
        <f>1.633198857*898.32</f>
        <v>1467.1351972202401</v>
      </c>
      <c r="H610" s="32">
        <v>1</v>
      </c>
      <c r="I610" s="25">
        <f t="shared" si="40"/>
        <v>1467.1351972202401</v>
      </c>
      <c r="J610" s="40"/>
      <c r="K610" s="39"/>
      <c r="L610" s="39"/>
      <c r="M610" s="39"/>
      <c r="N610" s="23"/>
      <c r="O610" s="39"/>
      <c r="P610" s="39"/>
      <c r="Q610" s="39"/>
      <c r="R610" s="39"/>
    </row>
    <row r="611" spans="1:18" s="2" customFormat="1" ht="14.4">
      <c r="A611" s="9">
        <f t="shared" si="41"/>
        <v>561</v>
      </c>
      <c r="B611" s="17" t="s">
        <v>840</v>
      </c>
      <c r="C611" s="17" t="s">
        <v>841</v>
      </c>
      <c r="D611" s="20" t="s">
        <v>5</v>
      </c>
      <c r="E611" s="20" t="s">
        <v>6</v>
      </c>
      <c r="F611" s="18">
        <v>1</v>
      </c>
      <c r="G611" s="19">
        <f>1.633198857*126.06</f>
        <v>205.88104791341999</v>
      </c>
      <c r="H611" s="32">
        <v>4</v>
      </c>
      <c r="I611" s="25">
        <f t="shared" si="40"/>
        <v>823.52419165367996</v>
      </c>
      <c r="J611" s="40"/>
      <c r="K611" s="39"/>
      <c r="L611" s="39"/>
      <c r="M611" s="39"/>
      <c r="N611" s="23"/>
      <c r="O611" s="39"/>
      <c r="P611" s="39"/>
      <c r="Q611" s="39"/>
      <c r="R611" s="39"/>
    </row>
    <row r="612" spans="1:18" s="2" customFormat="1" ht="14.4">
      <c r="A612" s="9">
        <f t="shared" si="41"/>
        <v>562</v>
      </c>
      <c r="B612" s="17" t="s">
        <v>842</v>
      </c>
      <c r="C612" s="17" t="s">
        <v>843</v>
      </c>
      <c r="D612" s="20" t="s">
        <v>5</v>
      </c>
      <c r="E612" s="20" t="s">
        <v>6</v>
      </c>
      <c r="F612" s="18">
        <v>1</v>
      </c>
      <c r="G612" s="19">
        <f>1.633198857*126.06</f>
        <v>205.88104791341999</v>
      </c>
      <c r="H612" s="32">
        <v>1</v>
      </c>
      <c r="I612" s="25">
        <f t="shared" si="40"/>
        <v>205.88104791341999</v>
      </c>
      <c r="J612" s="40"/>
      <c r="K612" s="39"/>
      <c r="L612" s="39"/>
      <c r="M612" s="39"/>
      <c r="N612" s="23"/>
      <c r="O612" s="39"/>
      <c r="P612" s="39"/>
      <c r="Q612" s="39"/>
      <c r="R612" s="39"/>
    </row>
    <row r="613" spans="1:18" s="2" customFormat="1" ht="14.4">
      <c r="A613" s="9">
        <f t="shared" si="41"/>
        <v>563</v>
      </c>
      <c r="B613" s="17" t="s">
        <v>844</v>
      </c>
      <c r="C613" s="17" t="s">
        <v>845</v>
      </c>
      <c r="D613" s="20" t="s">
        <v>5</v>
      </c>
      <c r="E613" s="20" t="s">
        <v>6</v>
      </c>
      <c r="F613" s="18">
        <v>1</v>
      </c>
      <c r="G613" s="19">
        <f>1.633198857*1084.71</f>
        <v>1771.5471321764701</v>
      </c>
      <c r="H613" s="32">
        <v>1</v>
      </c>
      <c r="I613" s="25">
        <f t="shared" si="40"/>
        <v>1771.5471321764701</v>
      </c>
      <c r="J613" s="40"/>
      <c r="K613" s="39"/>
      <c r="L613" s="39"/>
      <c r="M613" s="39"/>
      <c r="N613" s="23"/>
      <c r="O613" s="39"/>
      <c r="P613" s="39"/>
      <c r="Q613" s="39"/>
      <c r="R613" s="39"/>
    </row>
    <row r="614" spans="1:18" s="2" customFormat="1" ht="14.4">
      <c r="A614" s="9">
        <f t="shared" si="41"/>
        <v>564</v>
      </c>
      <c r="B614" s="17" t="s">
        <v>915</v>
      </c>
      <c r="C614" s="17" t="s">
        <v>916</v>
      </c>
      <c r="D614" s="20" t="s">
        <v>5</v>
      </c>
      <c r="E614" s="20" t="s">
        <v>6</v>
      </c>
      <c r="F614" s="18">
        <v>1</v>
      </c>
      <c r="G614" s="19">
        <f>1.633198857*227.58</f>
        <v>371.68339587606005</v>
      </c>
      <c r="H614" s="32">
        <v>5</v>
      </c>
      <c r="I614" s="25">
        <f t="shared" si="40"/>
        <v>1858.4169793803003</v>
      </c>
      <c r="J614" s="40"/>
      <c r="K614" s="39"/>
      <c r="L614" s="39"/>
      <c r="M614" s="39"/>
      <c r="N614" s="23"/>
      <c r="O614" s="39"/>
      <c r="P614" s="39"/>
      <c r="Q614" s="39"/>
      <c r="R614" s="39"/>
    </row>
    <row r="615" spans="1:18" s="2" customFormat="1" ht="14.4">
      <c r="A615" s="9">
        <f t="shared" si="41"/>
        <v>565</v>
      </c>
      <c r="B615" s="17" t="s">
        <v>917</v>
      </c>
      <c r="C615" s="17" t="s">
        <v>918</v>
      </c>
      <c r="D615" s="20" t="s">
        <v>5</v>
      </c>
      <c r="E615" s="20" t="s">
        <v>6</v>
      </c>
      <c r="F615" s="18">
        <v>1</v>
      </c>
      <c r="G615" s="19">
        <f>789.2</f>
        <v>789.2</v>
      </c>
      <c r="H615" s="32">
        <v>5</v>
      </c>
      <c r="I615" s="25">
        <f t="shared" si="40"/>
        <v>3946</v>
      </c>
      <c r="J615" s="40"/>
      <c r="K615" s="39"/>
      <c r="L615" s="39"/>
      <c r="M615" s="39"/>
      <c r="N615" s="23"/>
      <c r="O615" s="39"/>
      <c r="P615" s="39"/>
      <c r="Q615" s="39"/>
      <c r="R615" s="39"/>
    </row>
    <row r="616" spans="1:18" s="2" customFormat="1" ht="14.4">
      <c r="A616" s="9">
        <f t="shared" si="41"/>
        <v>566</v>
      </c>
      <c r="B616" s="17" t="s">
        <v>846</v>
      </c>
      <c r="C616" s="17" t="s">
        <v>847</v>
      </c>
      <c r="D616" s="20" t="s">
        <v>5</v>
      </c>
      <c r="E616" s="20" t="s">
        <v>6</v>
      </c>
      <c r="F616" s="18">
        <v>1</v>
      </c>
      <c r="G616" s="19">
        <f>1.633198857*227.58</f>
        <v>371.68339587606005</v>
      </c>
      <c r="H616" s="32">
        <v>2</v>
      </c>
      <c r="I616" s="25">
        <f t="shared" si="40"/>
        <v>743.36679175212009</v>
      </c>
      <c r="J616" s="40"/>
      <c r="K616" s="39"/>
      <c r="L616" s="39"/>
      <c r="M616" s="39"/>
      <c r="N616" s="23"/>
      <c r="O616" s="39"/>
      <c r="P616" s="39"/>
      <c r="Q616" s="39"/>
      <c r="R616" s="39"/>
    </row>
    <row r="617" spans="1:18" s="2" customFormat="1" ht="14.4">
      <c r="A617" s="9">
        <f t="shared" si="41"/>
        <v>567</v>
      </c>
      <c r="B617" s="17" t="s">
        <v>919</v>
      </c>
      <c r="C617" s="17" t="s">
        <v>920</v>
      </c>
      <c r="D617" s="20" t="s">
        <v>5</v>
      </c>
      <c r="E617" s="20" t="s">
        <v>6</v>
      </c>
      <c r="F617" s="18">
        <v>1</v>
      </c>
      <c r="G617" s="19">
        <f>789.2</f>
        <v>789.2</v>
      </c>
      <c r="H617" s="32">
        <v>2</v>
      </c>
      <c r="I617" s="25">
        <f t="shared" si="40"/>
        <v>1578.4</v>
      </c>
      <c r="J617" s="40"/>
      <c r="K617" s="39"/>
      <c r="L617" s="39"/>
      <c r="M617" s="39"/>
      <c r="N617" s="23"/>
      <c r="O617" s="39"/>
      <c r="P617" s="39"/>
      <c r="Q617" s="39"/>
      <c r="R617" s="39"/>
    </row>
    <row r="618" spans="1:18" s="2" customFormat="1" ht="26.4">
      <c r="A618" s="9">
        <f t="shared" si="41"/>
        <v>568</v>
      </c>
      <c r="B618" s="17" t="s">
        <v>902</v>
      </c>
      <c r="C618" s="17" t="s">
        <v>903</v>
      </c>
      <c r="D618" s="20" t="s">
        <v>890</v>
      </c>
      <c r="E618" s="20" t="s">
        <v>65</v>
      </c>
      <c r="F618" s="18">
        <v>1</v>
      </c>
      <c r="G618" s="19">
        <f>1.633198857*227.58</f>
        <v>371.68339587606005</v>
      </c>
      <c r="H618" s="32">
        <v>2</v>
      </c>
      <c r="I618" s="25">
        <f t="shared" si="40"/>
        <v>743.36679175212009</v>
      </c>
      <c r="J618" s="40"/>
      <c r="K618" s="39"/>
      <c r="L618" s="39"/>
      <c r="M618" s="39"/>
      <c r="N618" s="23"/>
      <c r="O618" s="39"/>
      <c r="P618" s="39"/>
      <c r="Q618" s="39"/>
      <c r="R618" s="39"/>
    </row>
    <row r="619" spans="1:18" s="2" customFormat="1" ht="26.4">
      <c r="A619" s="9">
        <f t="shared" si="41"/>
        <v>569</v>
      </c>
      <c r="B619" s="17" t="s">
        <v>921</v>
      </c>
      <c r="C619" s="17" t="s">
        <v>922</v>
      </c>
      <c r="D619" s="20" t="s">
        <v>5</v>
      </c>
      <c r="E619" s="20" t="s">
        <v>6</v>
      </c>
      <c r="F619" s="18">
        <v>1</v>
      </c>
      <c r="G619" s="19">
        <f>450.9</f>
        <v>450.9</v>
      </c>
      <c r="H619" s="32">
        <v>2</v>
      </c>
      <c r="I619" s="25">
        <f t="shared" si="40"/>
        <v>901.8</v>
      </c>
      <c r="J619" s="40"/>
      <c r="K619" s="39"/>
      <c r="L619" s="39"/>
      <c r="M619" s="39"/>
      <c r="N619" s="23"/>
      <c r="O619" s="39"/>
      <c r="P619" s="39"/>
      <c r="Q619" s="39"/>
      <c r="R619" s="39"/>
    </row>
    <row r="620" spans="1:18" s="2" customFormat="1" ht="14.4">
      <c r="A620" s="9">
        <f t="shared" si="41"/>
        <v>570</v>
      </c>
      <c r="B620" s="17" t="s">
        <v>923</v>
      </c>
      <c r="C620" s="17" t="s">
        <v>924</v>
      </c>
      <c r="D620" s="20" t="s">
        <v>5</v>
      </c>
      <c r="E620" s="20" t="s">
        <v>6</v>
      </c>
      <c r="F620" s="18">
        <v>1</v>
      </c>
      <c r="G620" s="19">
        <f>483.2</f>
        <v>483.2</v>
      </c>
      <c r="H620" s="32">
        <v>3</v>
      </c>
      <c r="I620" s="25">
        <f t="shared" si="40"/>
        <v>1449.6</v>
      </c>
      <c r="J620" s="40"/>
      <c r="K620" s="39"/>
      <c r="L620" s="39"/>
      <c r="M620" s="39"/>
      <c r="N620" s="23"/>
      <c r="O620" s="39"/>
      <c r="P620" s="39"/>
      <c r="Q620" s="39"/>
      <c r="R620" s="39"/>
    </row>
    <row r="621" spans="1:18" s="2" customFormat="1" ht="27">
      <c r="A621" s="9">
        <f t="shared" si="41"/>
        <v>571</v>
      </c>
      <c r="B621" s="72" t="s">
        <v>856</v>
      </c>
      <c r="C621" s="72" t="s">
        <v>857</v>
      </c>
      <c r="D621" s="20" t="s">
        <v>858</v>
      </c>
      <c r="E621" s="20" t="s">
        <v>64</v>
      </c>
      <c r="F621" s="18">
        <v>1</v>
      </c>
      <c r="G621" s="19">
        <f>1.633198857*905.17</f>
        <v>1478.3226093906899</v>
      </c>
      <c r="H621" s="32">
        <v>2</v>
      </c>
      <c r="I621" s="25">
        <f t="shared" si="40"/>
        <v>2956.6452187813798</v>
      </c>
      <c r="J621" s="74"/>
      <c r="K621" s="75"/>
      <c r="L621" s="75"/>
      <c r="M621" s="75"/>
      <c r="N621" s="76"/>
      <c r="O621" s="75"/>
      <c r="P621" s="75"/>
      <c r="Q621" s="75"/>
      <c r="R621" s="75"/>
    </row>
    <row r="622" spans="1:18" s="2" customFormat="1" ht="27">
      <c r="A622" s="9">
        <f t="shared" si="41"/>
        <v>572</v>
      </c>
      <c r="B622" s="73" t="s">
        <v>925</v>
      </c>
      <c r="C622" s="73" t="s">
        <v>926</v>
      </c>
      <c r="D622" s="20" t="s">
        <v>5</v>
      </c>
      <c r="E622" s="20" t="s">
        <v>6</v>
      </c>
      <c r="F622" s="18">
        <v>1</v>
      </c>
      <c r="G622" s="19">
        <f>10892.63</f>
        <v>10892.63</v>
      </c>
      <c r="H622" s="32">
        <v>2</v>
      </c>
      <c r="I622" s="25">
        <f t="shared" si="40"/>
        <v>21785.26</v>
      </c>
      <c r="J622" s="74"/>
      <c r="K622" s="75"/>
      <c r="L622" s="75"/>
      <c r="M622" s="75"/>
      <c r="N622" s="76"/>
      <c r="O622" s="75"/>
      <c r="P622" s="75"/>
      <c r="Q622" s="75"/>
      <c r="R622" s="75"/>
    </row>
    <row r="623" spans="1:18" s="2" customFormat="1" ht="39.6">
      <c r="A623" s="9">
        <f t="shared" si="41"/>
        <v>573</v>
      </c>
      <c r="B623" s="17" t="s">
        <v>861</v>
      </c>
      <c r="C623" s="17" t="s">
        <v>908</v>
      </c>
      <c r="D623" s="9" t="s">
        <v>8</v>
      </c>
      <c r="E623" s="20" t="s">
        <v>9</v>
      </c>
      <c r="F623" s="18">
        <v>1</v>
      </c>
      <c r="G623" s="19">
        <f>1.633198857*1072.33</f>
        <v>1751.32813032681</v>
      </c>
      <c r="H623" s="32">
        <v>14.92</v>
      </c>
      <c r="I623" s="25">
        <f t="shared" si="40"/>
        <v>26129.815704476005</v>
      </c>
      <c r="J623" s="40"/>
      <c r="K623" s="39"/>
      <c r="L623" s="39"/>
      <c r="M623" s="39"/>
      <c r="N623" s="23"/>
      <c r="O623" s="39"/>
      <c r="P623" s="39"/>
      <c r="Q623" s="39"/>
      <c r="R623" s="39"/>
    </row>
    <row r="624" spans="1:18" s="2" customFormat="1" ht="39.6">
      <c r="A624" s="9">
        <f t="shared" si="41"/>
        <v>574</v>
      </c>
      <c r="B624" s="17" t="s">
        <v>865</v>
      </c>
      <c r="C624" s="17" t="s">
        <v>866</v>
      </c>
      <c r="D624" s="9" t="s">
        <v>8</v>
      </c>
      <c r="E624" s="20" t="s">
        <v>9</v>
      </c>
      <c r="F624" s="18">
        <v>1</v>
      </c>
      <c r="G624" s="19">
        <f>1.633198857*1014.12</f>
        <v>1656.2596248608399</v>
      </c>
      <c r="H624" s="32">
        <v>13.65</v>
      </c>
      <c r="I624" s="25">
        <f t="shared" si="40"/>
        <v>22607.943879350467</v>
      </c>
      <c r="J624" s="40"/>
      <c r="K624" s="39"/>
      <c r="L624" s="39"/>
      <c r="M624" s="39"/>
      <c r="N624" s="23"/>
      <c r="O624" s="39"/>
      <c r="P624" s="39"/>
      <c r="Q624" s="39"/>
      <c r="R624" s="39"/>
    </row>
    <row r="625" spans="1:18" s="2" customFormat="1" ht="39.6">
      <c r="A625" s="9">
        <f t="shared" si="41"/>
        <v>575</v>
      </c>
      <c r="B625" s="17" t="s">
        <v>867</v>
      </c>
      <c r="C625" s="17" t="s">
        <v>868</v>
      </c>
      <c r="D625" s="9" t="s">
        <v>8</v>
      </c>
      <c r="E625" s="20" t="s">
        <v>9</v>
      </c>
      <c r="F625" s="18">
        <v>1</v>
      </c>
      <c r="G625" s="19">
        <f>1.633198857*948.7</f>
        <v>1549.4157556359</v>
      </c>
      <c r="H625" s="32">
        <v>49.4</v>
      </c>
      <c r="I625" s="25">
        <f t="shared" si="40"/>
        <v>76541.138328413464</v>
      </c>
      <c r="J625" s="40"/>
      <c r="K625" s="39"/>
      <c r="L625" s="39"/>
      <c r="M625" s="39"/>
      <c r="N625" s="23"/>
      <c r="O625" s="39"/>
      <c r="P625" s="39"/>
      <c r="Q625" s="39"/>
      <c r="R625" s="39"/>
    </row>
    <row r="626" spans="1:18" s="2" customFormat="1" ht="14.4">
      <c r="A626" s="9">
        <f t="shared" si="41"/>
        <v>576</v>
      </c>
      <c r="B626" s="17" t="s">
        <v>871</v>
      </c>
      <c r="C626" s="17" t="s">
        <v>872</v>
      </c>
      <c r="D626" s="20" t="s">
        <v>5</v>
      </c>
      <c r="E626" s="20" t="s">
        <v>6</v>
      </c>
      <c r="F626" s="18">
        <v>1</v>
      </c>
      <c r="G626" s="19">
        <f>287.03</f>
        <v>287.02999999999997</v>
      </c>
      <c r="H626" s="32">
        <v>2</v>
      </c>
      <c r="I626" s="25">
        <f t="shared" si="40"/>
        <v>574.05999999999995</v>
      </c>
      <c r="J626" s="40"/>
      <c r="K626" s="39"/>
      <c r="L626" s="39"/>
      <c r="M626" s="39"/>
      <c r="N626" s="23"/>
      <c r="O626" s="39"/>
      <c r="P626" s="39"/>
      <c r="Q626" s="39"/>
      <c r="R626" s="39"/>
    </row>
    <row r="627" spans="1:18" s="2" customFormat="1" ht="14.4">
      <c r="A627" s="9">
        <f t="shared" si="41"/>
        <v>577</v>
      </c>
      <c r="B627" s="17" t="s">
        <v>927</v>
      </c>
      <c r="C627" s="17" t="s">
        <v>928</v>
      </c>
      <c r="D627" s="20" t="s">
        <v>5</v>
      </c>
      <c r="E627" s="20" t="s">
        <v>6</v>
      </c>
      <c r="F627" s="18">
        <v>1</v>
      </c>
      <c r="G627" s="19">
        <f>358.4</f>
        <v>358.4</v>
      </c>
      <c r="H627" s="32">
        <v>5</v>
      </c>
      <c r="I627" s="25">
        <f t="shared" si="40"/>
        <v>1792</v>
      </c>
      <c r="J627" s="40"/>
      <c r="K627" s="39"/>
      <c r="L627" s="39"/>
      <c r="M627" s="39"/>
      <c r="N627" s="23"/>
      <c r="O627" s="39"/>
      <c r="P627" s="39"/>
      <c r="Q627" s="39"/>
      <c r="R627" s="39"/>
    </row>
    <row r="628" spans="1:18" s="2" customFormat="1" ht="26.4">
      <c r="A628" s="9">
        <f t="shared" si="41"/>
        <v>578</v>
      </c>
      <c r="B628" s="17" t="s">
        <v>879</v>
      </c>
      <c r="C628" s="17" t="s">
        <v>880</v>
      </c>
      <c r="D628" s="9" t="s">
        <v>44</v>
      </c>
      <c r="E628" s="20" t="s">
        <v>45</v>
      </c>
      <c r="F628" s="18">
        <v>1</v>
      </c>
      <c r="G628" s="19">
        <f>34.47</f>
        <v>34.47</v>
      </c>
      <c r="H628" s="32">
        <v>116</v>
      </c>
      <c r="I628" s="25">
        <f t="shared" si="40"/>
        <v>3998.52</v>
      </c>
      <c r="J628" s="40"/>
      <c r="K628" s="39"/>
      <c r="L628" s="39"/>
      <c r="M628" s="39"/>
      <c r="N628" s="23"/>
      <c r="O628" s="39"/>
      <c r="P628" s="39"/>
      <c r="Q628" s="39"/>
      <c r="R628" s="39"/>
    </row>
    <row r="629" spans="1:18" s="2" customFormat="1" ht="14.4">
      <c r="A629" s="9">
        <f t="shared" si="41"/>
        <v>579</v>
      </c>
      <c r="B629" s="17" t="s">
        <v>929</v>
      </c>
      <c r="C629" s="17" t="s">
        <v>874</v>
      </c>
      <c r="D629" s="9" t="s">
        <v>8</v>
      </c>
      <c r="E629" s="20" t="s">
        <v>9</v>
      </c>
      <c r="F629" s="18">
        <v>1</v>
      </c>
      <c r="G629" s="19">
        <v>483.2</v>
      </c>
      <c r="H629" s="32">
        <v>3.5</v>
      </c>
      <c r="I629" s="25">
        <f t="shared" si="40"/>
        <v>1691.2</v>
      </c>
      <c r="J629" s="40"/>
      <c r="K629" s="39"/>
      <c r="L629" s="39"/>
      <c r="M629" s="39"/>
      <c r="N629" s="23"/>
      <c r="O629" s="39"/>
      <c r="P629" s="39"/>
      <c r="Q629" s="39"/>
      <c r="R629" s="39"/>
    </row>
    <row r="630" spans="1:18" s="2" customFormat="1" ht="26.4">
      <c r="A630" s="9">
        <f t="shared" si="41"/>
        <v>580</v>
      </c>
      <c r="B630" s="17" t="s">
        <v>883</v>
      </c>
      <c r="C630" s="17" t="s">
        <v>884</v>
      </c>
      <c r="D630" s="20" t="s">
        <v>8</v>
      </c>
      <c r="E630" s="20" t="s">
        <v>9</v>
      </c>
      <c r="F630" s="18">
        <v>1</v>
      </c>
      <c r="G630" s="19">
        <f>359.12</f>
        <v>359.12</v>
      </c>
      <c r="H630" s="32">
        <v>2.1</v>
      </c>
      <c r="I630" s="25">
        <f t="shared" si="40"/>
        <v>754.15200000000004</v>
      </c>
      <c r="J630" s="40"/>
      <c r="K630" s="39"/>
      <c r="L630" s="39"/>
      <c r="M630" s="39"/>
      <c r="N630" s="23"/>
      <c r="O630" s="39"/>
      <c r="P630" s="39"/>
      <c r="Q630" s="39"/>
      <c r="R630" s="39"/>
    </row>
    <row r="631" spans="1:18" s="2" customFormat="1" ht="14.4">
      <c r="A631" s="20">
        <f t="shared" si="41"/>
        <v>581</v>
      </c>
      <c r="B631" s="17" t="s">
        <v>218</v>
      </c>
      <c r="C631" s="17" t="s">
        <v>219</v>
      </c>
      <c r="D631" s="20" t="s">
        <v>48</v>
      </c>
      <c r="E631" s="20" t="s">
        <v>49</v>
      </c>
      <c r="F631" s="18">
        <v>1</v>
      </c>
      <c r="G631" s="19"/>
      <c r="H631" s="32">
        <v>1</v>
      </c>
      <c r="I631" s="25">
        <f>SUM(I608:I630)*0.05</f>
        <v>9496.7508091243326</v>
      </c>
      <c r="J631" s="40"/>
      <c r="K631" s="39"/>
      <c r="L631" s="39"/>
      <c r="M631" s="39"/>
      <c r="N631" s="23"/>
      <c r="O631" s="39"/>
      <c r="P631" s="39"/>
      <c r="Q631" s="39"/>
      <c r="R631" s="39"/>
    </row>
    <row r="632" spans="1:18" ht="14.4">
      <c r="A632" s="9" t="s">
        <v>61</v>
      </c>
      <c r="B632" s="20" t="s">
        <v>930</v>
      </c>
      <c r="C632" s="20" t="s">
        <v>931</v>
      </c>
      <c r="D632" s="9"/>
      <c r="E632" s="9"/>
      <c r="F632" s="18"/>
      <c r="G632" s="19"/>
      <c r="H632" s="18"/>
      <c r="I632" s="25"/>
      <c r="J632" s="24"/>
      <c r="K632" s="22"/>
      <c r="L632" s="22"/>
      <c r="M632" s="22"/>
      <c r="N632" s="23"/>
      <c r="O632" s="22"/>
      <c r="P632" s="22"/>
      <c r="Q632" s="22"/>
      <c r="R632" s="22"/>
    </row>
    <row r="633" spans="1:18" s="2" customFormat="1" ht="39.6">
      <c r="A633" s="20">
        <f>A631+1</f>
        <v>582</v>
      </c>
      <c r="B633" s="17" t="s">
        <v>832</v>
      </c>
      <c r="C633" s="17" t="s">
        <v>833</v>
      </c>
      <c r="D633" s="20" t="s">
        <v>834</v>
      </c>
      <c r="E633" s="20" t="s">
        <v>835</v>
      </c>
      <c r="F633" s="18">
        <v>1</v>
      </c>
      <c r="G633" s="19">
        <f>1.633198857*9561.14</f>
        <v>15615.24291961698</v>
      </c>
      <c r="H633" s="32">
        <v>1</v>
      </c>
      <c r="I633" s="25">
        <f t="shared" si="40"/>
        <v>15615.24291961698</v>
      </c>
      <c r="J633" s="40"/>
      <c r="K633" s="39"/>
      <c r="L633" s="39"/>
      <c r="M633" s="39"/>
      <c r="N633" s="23"/>
      <c r="O633" s="39"/>
      <c r="P633" s="39"/>
      <c r="Q633" s="39"/>
      <c r="R633" s="39"/>
    </row>
    <row r="634" spans="1:18" s="2" customFormat="1" ht="14.4">
      <c r="A634" s="9">
        <f t="shared" ref="A634:A657" si="42">A633+1</f>
        <v>583</v>
      </c>
      <c r="B634" s="17" t="s">
        <v>836</v>
      </c>
      <c r="C634" s="17" t="s">
        <v>837</v>
      </c>
      <c r="D634" s="20"/>
      <c r="E634" s="20"/>
      <c r="F634" s="18"/>
      <c r="G634" s="19"/>
      <c r="H634" s="32"/>
      <c r="I634" s="25"/>
      <c r="J634" s="40"/>
      <c r="K634" s="39"/>
      <c r="L634" s="39"/>
      <c r="M634" s="39"/>
      <c r="N634" s="23"/>
      <c r="O634" s="39"/>
      <c r="P634" s="39"/>
      <c r="Q634" s="39"/>
      <c r="R634" s="39"/>
    </row>
    <row r="635" spans="1:18" s="2" customFormat="1" ht="14.4">
      <c r="A635" s="9">
        <f t="shared" si="42"/>
        <v>584</v>
      </c>
      <c r="B635" s="17" t="s">
        <v>838</v>
      </c>
      <c r="C635" s="17" t="s">
        <v>839</v>
      </c>
      <c r="D635" s="20" t="s">
        <v>48</v>
      </c>
      <c r="E635" s="20" t="s">
        <v>49</v>
      </c>
      <c r="F635" s="18">
        <v>1</v>
      </c>
      <c r="G635" s="19">
        <f>1.633198857*898.32</f>
        <v>1467.1351972202401</v>
      </c>
      <c r="H635" s="32">
        <v>1</v>
      </c>
      <c r="I635" s="25">
        <f t="shared" si="40"/>
        <v>1467.1351972202401</v>
      </c>
      <c r="J635" s="40"/>
      <c r="K635" s="39"/>
      <c r="L635" s="39"/>
      <c r="M635" s="39"/>
      <c r="N635" s="23"/>
      <c r="O635" s="39"/>
      <c r="P635" s="39"/>
      <c r="Q635" s="39"/>
      <c r="R635" s="39"/>
    </row>
    <row r="636" spans="1:18" s="2" customFormat="1" ht="14.4">
      <c r="A636" s="9">
        <f t="shared" si="42"/>
        <v>585</v>
      </c>
      <c r="B636" s="17" t="s">
        <v>840</v>
      </c>
      <c r="C636" s="17" t="s">
        <v>841</v>
      </c>
      <c r="D636" s="20" t="s">
        <v>5</v>
      </c>
      <c r="E636" s="20" t="s">
        <v>6</v>
      </c>
      <c r="F636" s="18">
        <v>1</v>
      </c>
      <c r="G636" s="19">
        <f>1.633198857*126.06</f>
        <v>205.88104791341999</v>
      </c>
      <c r="H636" s="32">
        <v>4</v>
      </c>
      <c r="I636" s="25">
        <f t="shared" si="40"/>
        <v>823.52419165367996</v>
      </c>
      <c r="J636" s="40"/>
      <c r="K636" s="39"/>
      <c r="L636" s="39"/>
      <c r="M636" s="39"/>
      <c r="N636" s="23"/>
      <c r="O636" s="39"/>
      <c r="P636" s="39"/>
      <c r="Q636" s="39"/>
      <c r="R636" s="39"/>
    </row>
    <row r="637" spans="1:18" s="2" customFormat="1" ht="14.4">
      <c r="A637" s="9">
        <f t="shared" si="42"/>
        <v>586</v>
      </c>
      <c r="B637" s="17" t="s">
        <v>842</v>
      </c>
      <c r="C637" s="17" t="s">
        <v>843</v>
      </c>
      <c r="D637" s="20" t="s">
        <v>5</v>
      </c>
      <c r="E637" s="20" t="s">
        <v>6</v>
      </c>
      <c r="F637" s="18">
        <v>1</v>
      </c>
      <c r="G637" s="19">
        <f>1.633198857*126.06</f>
        <v>205.88104791341999</v>
      </c>
      <c r="H637" s="32">
        <v>1</v>
      </c>
      <c r="I637" s="25">
        <f t="shared" si="40"/>
        <v>205.88104791341999</v>
      </c>
      <c r="J637" s="40"/>
      <c r="K637" s="39"/>
      <c r="L637" s="39"/>
      <c r="M637" s="39"/>
      <c r="N637" s="23"/>
      <c r="O637" s="39"/>
      <c r="P637" s="39"/>
      <c r="Q637" s="39"/>
      <c r="R637" s="39"/>
    </row>
    <row r="638" spans="1:18" s="2" customFormat="1" ht="14.4">
      <c r="A638" s="9">
        <f t="shared" si="42"/>
        <v>587</v>
      </c>
      <c r="B638" s="17" t="s">
        <v>844</v>
      </c>
      <c r="C638" s="17" t="s">
        <v>845</v>
      </c>
      <c r="D638" s="20" t="s">
        <v>5</v>
      </c>
      <c r="E638" s="20" t="s">
        <v>6</v>
      </c>
      <c r="F638" s="18">
        <v>1</v>
      </c>
      <c r="G638" s="19">
        <f>1.633198857*1084.71</f>
        <v>1771.5471321764701</v>
      </c>
      <c r="H638" s="32">
        <v>1</v>
      </c>
      <c r="I638" s="25">
        <f t="shared" si="40"/>
        <v>1771.5471321764701</v>
      </c>
      <c r="J638" s="40"/>
      <c r="K638" s="39"/>
      <c r="L638" s="39"/>
      <c r="M638" s="39"/>
      <c r="N638" s="23"/>
      <c r="O638" s="39"/>
      <c r="P638" s="39"/>
      <c r="Q638" s="39"/>
      <c r="R638" s="39"/>
    </row>
    <row r="639" spans="1:18" s="2" customFormat="1" ht="14.4">
      <c r="A639" s="9">
        <f t="shared" si="42"/>
        <v>588</v>
      </c>
      <c r="B639" s="17" t="s">
        <v>846</v>
      </c>
      <c r="C639" s="17" t="s">
        <v>847</v>
      </c>
      <c r="D639" s="20" t="s">
        <v>5</v>
      </c>
      <c r="E639" s="20" t="s">
        <v>6</v>
      </c>
      <c r="F639" s="18">
        <v>1</v>
      </c>
      <c r="G639" s="19">
        <f>1.633198857*227.58</f>
        <v>371.68339587606005</v>
      </c>
      <c r="H639" s="32">
        <v>18</v>
      </c>
      <c r="I639" s="25">
        <f t="shared" si="40"/>
        <v>6690.3011257690805</v>
      </c>
      <c r="J639" s="40"/>
      <c r="K639" s="39"/>
      <c r="L639" s="39"/>
      <c r="M639" s="39"/>
      <c r="N639" s="23"/>
      <c r="O639" s="39"/>
      <c r="P639" s="39"/>
      <c r="Q639" s="39"/>
      <c r="R639" s="39"/>
    </row>
    <row r="640" spans="1:18" s="2" customFormat="1" ht="14.4">
      <c r="A640" s="9">
        <f t="shared" si="42"/>
        <v>589</v>
      </c>
      <c r="B640" s="17" t="s">
        <v>919</v>
      </c>
      <c r="C640" s="17" t="s">
        <v>920</v>
      </c>
      <c r="D640" s="20" t="s">
        <v>5</v>
      </c>
      <c r="E640" s="20" t="s">
        <v>6</v>
      </c>
      <c r="F640" s="18">
        <v>1</v>
      </c>
      <c r="G640" s="19">
        <f>789.2</f>
        <v>789.2</v>
      </c>
      <c r="H640" s="32">
        <v>18</v>
      </c>
      <c r="I640" s="25">
        <f t="shared" si="40"/>
        <v>14205.6</v>
      </c>
      <c r="J640" s="40"/>
      <c r="K640" s="39"/>
      <c r="L640" s="39"/>
      <c r="M640" s="39"/>
      <c r="N640" s="23"/>
      <c r="O640" s="39"/>
      <c r="P640" s="39"/>
      <c r="Q640" s="39"/>
      <c r="R640" s="39"/>
    </row>
    <row r="641" spans="1:18" s="2" customFormat="1" ht="26.4">
      <c r="A641" s="9">
        <f t="shared" si="42"/>
        <v>590</v>
      </c>
      <c r="B641" s="17" t="s">
        <v>902</v>
      </c>
      <c r="C641" s="17" t="s">
        <v>903</v>
      </c>
      <c r="D641" s="20" t="s">
        <v>890</v>
      </c>
      <c r="E641" s="20" t="s">
        <v>65</v>
      </c>
      <c r="F641" s="18">
        <v>1</v>
      </c>
      <c r="G641" s="19">
        <f>1.633198857*227.58</f>
        <v>371.68339587606005</v>
      </c>
      <c r="H641" s="32">
        <v>18</v>
      </c>
      <c r="I641" s="25">
        <f t="shared" si="40"/>
        <v>6690.3011257690805</v>
      </c>
      <c r="J641" s="40"/>
      <c r="K641" s="39"/>
      <c r="L641" s="39"/>
      <c r="M641" s="39"/>
      <c r="N641" s="23"/>
      <c r="O641" s="39"/>
      <c r="P641" s="39"/>
      <c r="Q641" s="39"/>
      <c r="R641" s="39"/>
    </row>
    <row r="642" spans="1:18" s="2" customFormat="1" ht="26.4">
      <c r="A642" s="9">
        <f t="shared" si="42"/>
        <v>591</v>
      </c>
      <c r="B642" s="17" t="s">
        <v>921</v>
      </c>
      <c r="C642" s="17" t="s">
        <v>922</v>
      </c>
      <c r="D642" s="20" t="s">
        <v>5</v>
      </c>
      <c r="E642" s="20" t="s">
        <v>6</v>
      </c>
      <c r="F642" s="18">
        <v>1</v>
      </c>
      <c r="G642" s="19">
        <f>789.2</f>
        <v>789.2</v>
      </c>
      <c r="H642" s="32">
        <v>18</v>
      </c>
      <c r="I642" s="25">
        <f t="shared" si="40"/>
        <v>14205.6</v>
      </c>
      <c r="J642" s="40"/>
      <c r="K642" s="39"/>
      <c r="L642" s="39"/>
      <c r="M642" s="39"/>
      <c r="N642" s="23"/>
      <c r="O642" s="39"/>
      <c r="P642" s="39"/>
      <c r="Q642" s="39"/>
      <c r="R642" s="39"/>
    </row>
    <row r="643" spans="1:18" s="2" customFormat="1" ht="14.4">
      <c r="A643" s="9">
        <f t="shared" si="42"/>
        <v>592</v>
      </c>
      <c r="B643" s="17" t="s">
        <v>846</v>
      </c>
      <c r="C643" s="17" t="s">
        <v>847</v>
      </c>
      <c r="D643" s="20" t="s">
        <v>5</v>
      </c>
      <c r="E643" s="20" t="s">
        <v>6</v>
      </c>
      <c r="F643" s="18">
        <v>1</v>
      </c>
      <c r="G643" s="19">
        <f>1.633198857*227.58</f>
        <v>371.68339587606005</v>
      </c>
      <c r="H643" s="32">
        <v>13</v>
      </c>
      <c r="I643" s="25">
        <f t="shared" si="40"/>
        <v>4831.8841463887802</v>
      </c>
      <c r="J643" s="40"/>
      <c r="K643" s="39"/>
      <c r="L643" s="39"/>
      <c r="M643" s="39"/>
      <c r="N643" s="23"/>
      <c r="O643" s="39"/>
      <c r="P643" s="39"/>
      <c r="Q643" s="39"/>
      <c r="R643" s="39"/>
    </row>
    <row r="644" spans="1:18" s="2" customFormat="1" ht="14.4">
      <c r="A644" s="9">
        <f t="shared" si="42"/>
        <v>593</v>
      </c>
      <c r="B644" s="17" t="s">
        <v>932</v>
      </c>
      <c r="C644" s="17" t="s">
        <v>933</v>
      </c>
      <c r="D644" s="20" t="s">
        <v>5</v>
      </c>
      <c r="E644" s="20" t="s">
        <v>6</v>
      </c>
      <c r="F644" s="18">
        <v>1</v>
      </c>
      <c r="G644" s="19">
        <f>789.2</f>
        <v>789.2</v>
      </c>
      <c r="H644" s="32">
        <v>13</v>
      </c>
      <c r="I644" s="25">
        <f t="shared" si="40"/>
        <v>10259.6</v>
      </c>
      <c r="J644" s="40"/>
      <c r="K644" s="39"/>
      <c r="L644" s="39"/>
      <c r="M644" s="39"/>
      <c r="N644" s="23"/>
      <c r="O644" s="39"/>
      <c r="P644" s="39"/>
      <c r="Q644" s="39"/>
      <c r="R644" s="39"/>
    </row>
    <row r="645" spans="1:18" s="2" customFormat="1" ht="26.4">
      <c r="A645" s="9">
        <f t="shared" si="42"/>
        <v>594</v>
      </c>
      <c r="B645" s="17" t="s">
        <v>902</v>
      </c>
      <c r="C645" s="17" t="s">
        <v>903</v>
      </c>
      <c r="D645" s="20" t="s">
        <v>890</v>
      </c>
      <c r="E645" s="20" t="s">
        <v>65</v>
      </c>
      <c r="F645" s="18">
        <v>1</v>
      </c>
      <c r="G645" s="19">
        <f>1.633198857*227.58</f>
        <v>371.68339587606005</v>
      </c>
      <c r="H645" s="32">
        <v>13</v>
      </c>
      <c r="I645" s="25">
        <f t="shared" si="40"/>
        <v>4831.8841463887802</v>
      </c>
      <c r="J645" s="40"/>
      <c r="K645" s="39"/>
      <c r="L645" s="39"/>
      <c r="M645" s="39"/>
      <c r="N645" s="23"/>
      <c r="O645" s="39"/>
      <c r="P645" s="39"/>
      <c r="Q645" s="39"/>
      <c r="R645" s="39"/>
    </row>
    <row r="646" spans="1:18" s="2" customFormat="1" ht="26.4">
      <c r="A646" s="9">
        <f t="shared" si="42"/>
        <v>595</v>
      </c>
      <c r="B646" s="17" t="s">
        <v>934</v>
      </c>
      <c r="C646" s="17" t="s">
        <v>935</v>
      </c>
      <c r="D646" s="20" t="s">
        <v>5</v>
      </c>
      <c r="E646" s="20" t="s">
        <v>6</v>
      </c>
      <c r="F646" s="18">
        <v>1</v>
      </c>
      <c r="G646" s="19">
        <f>789.2</f>
        <v>789.2</v>
      </c>
      <c r="H646" s="32">
        <v>13</v>
      </c>
      <c r="I646" s="25">
        <f t="shared" si="40"/>
        <v>10259.6</v>
      </c>
      <c r="J646" s="40"/>
      <c r="K646" s="39"/>
      <c r="L646" s="39"/>
      <c r="M646" s="39"/>
      <c r="N646" s="23"/>
      <c r="O646" s="39"/>
      <c r="P646" s="39"/>
      <c r="Q646" s="39"/>
      <c r="R646" s="39"/>
    </row>
    <row r="647" spans="1:18" s="2" customFormat="1" ht="14.4">
      <c r="A647" s="9">
        <f t="shared" si="42"/>
        <v>596</v>
      </c>
      <c r="B647" s="17" t="s">
        <v>936</v>
      </c>
      <c r="C647" s="17" t="s">
        <v>937</v>
      </c>
      <c r="D647" s="20" t="s">
        <v>5</v>
      </c>
      <c r="E647" s="20" t="s">
        <v>6</v>
      </c>
      <c r="F647" s="18">
        <v>1</v>
      </c>
      <c r="G647" s="19">
        <f>10892.63</f>
        <v>10892.63</v>
      </c>
      <c r="H647" s="32">
        <v>2</v>
      </c>
      <c r="I647" s="25">
        <f t="shared" si="40"/>
        <v>21785.26</v>
      </c>
      <c r="J647" s="40"/>
      <c r="K647" s="39"/>
      <c r="L647" s="39"/>
      <c r="M647" s="39"/>
      <c r="N647" s="23"/>
      <c r="O647" s="39"/>
      <c r="P647" s="39"/>
      <c r="Q647" s="39"/>
      <c r="R647" s="39"/>
    </row>
    <row r="648" spans="1:18" s="2" customFormat="1" ht="14.4">
      <c r="A648" s="9">
        <f t="shared" si="42"/>
        <v>597</v>
      </c>
      <c r="B648" s="17" t="s">
        <v>938</v>
      </c>
      <c r="C648" s="17" t="s">
        <v>939</v>
      </c>
      <c r="D648" s="20" t="s">
        <v>5</v>
      </c>
      <c r="E648" s="20" t="s">
        <v>6</v>
      </c>
      <c r="F648" s="18">
        <v>1</v>
      </c>
      <c r="G648" s="19">
        <f>1.633198857*1065.76</f>
        <v>1740.59801383632</v>
      </c>
      <c r="H648" s="32">
        <v>2</v>
      </c>
      <c r="I648" s="25">
        <f t="shared" si="40"/>
        <v>3481.19602767264</v>
      </c>
      <c r="J648" s="40"/>
      <c r="K648" s="39"/>
      <c r="L648" s="39"/>
      <c r="M648" s="39"/>
      <c r="N648" s="23"/>
      <c r="O648" s="39"/>
      <c r="P648" s="39"/>
      <c r="Q648" s="39"/>
      <c r="R648" s="39"/>
    </row>
    <row r="649" spans="1:18" s="2" customFormat="1" ht="27">
      <c r="A649" s="9">
        <f t="shared" si="42"/>
        <v>598</v>
      </c>
      <c r="B649" s="72" t="s">
        <v>856</v>
      </c>
      <c r="C649" s="72" t="s">
        <v>940</v>
      </c>
      <c r="D649" s="20" t="s">
        <v>858</v>
      </c>
      <c r="E649" s="20" t="s">
        <v>64</v>
      </c>
      <c r="F649" s="18">
        <v>1</v>
      </c>
      <c r="G649" s="19">
        <f>1.633198857*905.17</f>
        <v>1478.3226093906899</v>
      </c>
      <c r="H649" s="32">
        <v>4</v>
      </c>
      <c r="I649" s="25">
        <f t="shared" si="40"/>
        <v>5913.2904375627595</v>
      </c>
      <c r="J649" s="74"/>
      <c r="K649" s="75"/>
      <c r="L649" s="75"/>
      <c r="M649" s="75"/>
      <c r="N649" s="76"/>
      <c r="O649" s="75"/>
      <c r="P649" s="75"/>
      <c r="Q649" s="75"/>
      <c r="R649" s="75"/>
    </row>
    <row r="650" spans="1:18" s="2" customFormat="1" ht="27">
      <c r="A650" s="9">
        <f t="shared" si="42"/>
        <v>599</v>
      </c>
      <c r="B650" s="73" t="s">
        <v>941</v>
      </c>
      <c r="C650" s="73" t="s">
        <v>942</v>
      </c>
      <c r="D650" s="20" t="s">
        <v>5</v>
      </c>
      <c r="E650" s="20" t="s">
        <v>6</v>
      </c>
      <c r="F650" s="18">
        <v>1</v>
      </c>
      <c r="G650" s="19">
        <f>10892.63</f>
        <v>10892.63</v>
      </c>
      <c r="H650" s="32">
        <v>4</v>
      </c>
      <c r="I650" s="25">
        <f t="shared" si="40"/>
        <v>43570.52</v>
      </c>
      <c r="J650" s="74"/>
      <c r="K650" s="75"/>
      <c r="L650" s="75"/>
      <c r="M650" s="75"/>
      <c r="N650" s="76"/>
      <c r="O650" s="75"/>
      <c r="P650" s="75"/>
      <c r="Q650" s="75"/>
      <c r="R650" s="75"/>
    </row>
    <row r="651" spans="1:18" s="2" customFormat="1" ht="39.6">
      <c r="A651" s="9">
        <f t="shared" si="42"/>
        <v>600</v>
      </c>
      <c r="B651" s="17" t="s">
        <v>861</v>
      </c>
      <c r="C651" s="17" t="s">
        <v>908</v>
      </c>
      <c r="D651" s="9" t="s">
        <v>8</v>
      </c>
      <c r="E651" s="20" t="s">
        <v>9</v>
      </c>
      <c r="F651" s="18">
        <v>1</v>
      </c>
      <c r="G651" s="19">
        <f>1.633198857*1072.33</f>
        <v>1751.32813032681</v>
      </c>
      <c r="H651" s="32">
        <v>120.62</v>
      </c>
      <c r="I651" s="25">
        <f t="shared" ref="I651:I712" si="43">G651*H651</f>
        <v>211245.19908001984</v>
      </c>
      <c r="J651" s="40"/>
      <c r="K651" s="39"/>
      <c r="L651" s="39"/>
      <c r="M651" s="39"/>
      <c r="N651" s="23"/>
      <c r="O651" s="39"/>
      <c r="P651" s="39"/>
      <c r="Q651" s="39"/>
      <c r="R651" s="39"/>
    </row>
    <row r="652" spans="1:18" s="2" customFormat="1" ht="39.6">
      <c r="A652" s="9">
        <f t="shared" si="42"/>
        <v>601</v>
      </c>
      <c r="B652" s="17" t="s">
        <v>865</v>
      </c>
      <c r="C652" s="17" t="s">
        <v>866</v>
      </c>
      <c r="D652" s="9" t="s">
        <v>8</v>
      </c>
      <c r="E652" s="20" t="s">
        <v>9</v>
      </c>
      <c r="F652" s="18">
        <v>1</v>
      </c>
      <c r="G652" s="19">
        <f>1.633198857*1014.12</f>
        <v>1656.2596248608399</v>
      </c>
      <c r="H652" s="32">
        <v>61.7</v>
      </c>
      <c r="I652" s="25">
        <f t="shared" si="43"/>
        <v>102191.21885391383</v>
      </c>
      <c r="J652" s="40"/>
      <c r="K652" s="39"/>
      <c r="L652" s="39"/>
      <c r="M652" s="39"/>
      <c r="N652" s="23"/>
      <c r="O652" s="39"/>
      <c r="P652" s="39"/>
      <c r="Q652" s="39"/>
      <c r="R652" s="39"/>
    </row>
    <row r="653" spans="1:18" s="2" customFormat="1" ht="39.6">
      <c r="A653" s="9">
        <f t="shared" si="42"/>
        <v>602</v>
      </c>
      <c r="B653" s="17" t="s">
        <v>867</v>
      </c>
      <c r="C653" s="17" t="s">
        <v>868</v>
      </c>
      <c r="D653" s="9" t="s">
        <v>8</v>
      </c>
      <c r="E653" s="20" t="s">
        <v>9</v>
      </c>
      <c r="F653" s="18">
        <v>1</v>
      </c>
      <c r="G653" s="19">
        <f>1.633198857*948.7</f>
        <v>1549.4157556359</v>
      </c>
      <c r="H653" s="32">
        <v>10.199999999999999</v>
      </c>
      <c r="I653" s="25">
        <f t="shared" si="43"/>
        <v>15804.04070748618</v>
      </c>
      <c r="J653" s="40"/>
      <c r="K653" s="39"/>
      <c r="L653" s="39"/>
      <c r="M653" s="39"/>
      <c r="N653" s="23"/>
      <c r="O653" s="39"/>
      <c r="P653" s="39"/>
      <c r="Q653" s="39"/>
      <c r="R653" s="39"/>
    </row>
    <row r="654" spans="1:18" s="2" customFormat="1" ht="14.4">
      <c r="A654" s="9">
        <f t="shared" si="42"/>
        <v>603</v>
      </c>
      <c r="B654" s="17" t="s">
        <v>871</v>
      </c>
      <c r="C654" s="17" t="s">
        <v>872</v>
      </c>
      <c r="D654" s="20" t="s">
        <v>5</v>
      </c>
      <c r="E654" s="20" t="s">
        <v>6</v>
      </c>
      <c r="F654" s="18">
        <v>1</v>
      </c>
      <c r="G654" s="19">
        <f>253.6</f>
        <v>253.6</v>
      </c>
      <c r="H654" s="32">
        <v>20</v>
      </c>
      <c r="I654" s="25">
        <f t="shared" si="43"/>
        <v>5072</v>
      </c>
      <c r="J654" s="40"/>
      <c r="K654" s="39"/>
      <c r="L654" s="39"/>
      <c r="M654" s="39"/>
      <c r="N654" s="23"/>
      <c r="O654" s="39"/>
      <c r="P654" s="39"/>
      <c r="Q654" s="39"/>
      <c r="R654" s="39"/>
    </row>
    <row r="655" spans="1:18" s="2" customFormat="1" ht="14.4">
      <c r="A655" s="9">
        <f t="shared" si="42"/>
        <v>604</v>
      </c>
      <c r="B655" s="17" t="s">
        <v>869</v>
      </c>
      <c r="C655" s="17" t="s">
        <v>870</v>
      </c>
      <c r="D655" s="20" t="s">
        <v>5</v>
      </c>
      <c r="E655" s="20" t="s">
        <v>6</v>
      </c>
      <c r="F655" s="18">
        <v>1</v>
      </c>
      <c r="G655" s="19">
        <f>287.03</f>
        <v>287.02999999999997</v>
      </c>
      <c r="H655" s="32">
        <v>13</v>
      </c>
      <c r="I655" s="25">
        <f t="shared" si="43"/>
        <v>3731.3899999999994</v>
      </c>
      <c r="J655" s="40"/>
      <c r="K655" s="39"/>
      <c r="L655" s="39"/>
      <c r="M655" s="39"/>
      <c r="N655" s="23"/>
      <c r="O655" s="39"/>
      <c r="P655" s="39"/>
      <c r="Q655" s="39"/>
      <c r="R655" s="39"/>
    </row>
    <row r="656" spans="1:18" s="2" customFormat="1" ht="26.4">
      <c r="A656" s="9">
        <f t="shared" si="42"/>
        <v>605</v>
      </c>
      <c r="B656" s="17" t="s">
        <v>879</v>
      </c>
      <c r="C656" s="17" t="s">
        <v>880</v>
      </c>
      <c r="D656" s="9" t="s">
        <v>44</v>
      </c>
      <c r="E656" s="20" t="s">
        <v>45</v>
      </c>
      <c r="F656" s="18">
        <v>1</v>
      </c>
      <c r="G656" s="19">
        <f>34.47</f>
        <v>34.47</v>
      </c>
      <c r="H656" s="32">
        <v>60</v>
      </c>
      <c r="I656" s="25">
        <f t="shared" si="43"/>
        <v>2068.1999999999998</v>
      </c>
      <c r="J656" s="40"/>
      <c r="K656" s="39"/>
      <c r="L656" s="39"/>
      <c r="M656" s="39"/>
      <c r="N656" s="23"/>
      <c r="O656" s="39"/>
      <c r="P656" s="39"/>
      <c r="Q656" s="39"/>
      <c r="R656" s="39"/>
    </row>
    <row r="657" spans="1:18" s="2" customFormat="1" ht="14.4">
      <c r="A657" s="20">
        <f t="shared" si="42"/>
        <v>606</v>
      </c>
      <c r="B657" s="17" t="s">
        <v>218</v>
      </c>
      <c r="C657" s="17" t="s">
        <v>219</v>
      </c>
      <c r="D657" s="20" t="s">
        <v>48</v>
      </c>
      <c r="E657" s="20" t="s">
        <v>49</v>
      </c>
      <c r="F657" s="18">
        <v>1</v>
      </c>
      <c r="G657" s="19"/>
      <c r="H657" s="32">
        <v>1</v>
      </c>
      <c r="I657" s="25">
        <f>SUM(I633:I656)*0.05</f>
        <v>25336.020806977591</v>
      </c>
      <c r="J657" s="40"/>
      <c r="K657" s="39"/>
      <c r="L657" s="39"/>
      <c r="M657" s="39"/>
      <c r="N657" s="23"/>
      <c r="O657" s="39"/>
      <c r="P657" s="39"/>
      <c r="Q657" s="39"/>
      <c r="R657" s="39"/>
    </row>
    <row r="658" spans="1:18" ht="14.4">
      <c r="A658" s="9" t="s">
        <v>61</v>
      </c>
      <c r="B658" s="20" t="s">
        <v>943</v>
      </c>
      <c r="C658" s="20" t="s">
        <v>944</v>
      </c>
      <c r="D658" s="9"/>
      <c r="E658" s="9"/>
      <c r="F658" s="18"/>
      <c r="G658" s="19"/>
      <c r="H658" s="18"/>
      <c r="I658" s="25"/>
      <c r="J658" s="24"/>
      <c r="K658" s="22"/>
      <c r="L658" s="22"/>
      <c r="M658" s="22"/>
      <c r="N658" s="23"/>
      <c r="O658" s="22"/>
      <c r="P658" s="22"/>
      <c r="Q658" s="22"/>
      <c r="R658" s="22"/>
    </row>
    <row r="659" spans="1:18" s="2" customFormat="1" ht="39.6">
      <c r="A659" s="20">
        <f>A657+1</f>
        <v>607</v>
      </c>
      <c r="B659" s="17" t="s">
        <v>832</v>
      </c>
      <c r="C659" s="17" t="s">
        <v>833</v>
      </c>
      <c r="D659" s="20" t="s">
        <v>834</v>
      </c>
      <c r="E659" s="20" t="s">
        <v>835</v>
      </c>
      <c r="F659" s="18">
        <v>1</v>
      </c>
      <c r="G659" s="19">
        <f>1.633198857*9561.14</f>
        <v>15615.24291961698</v>
      </c>
      <c r="H659" s="32">
        <v>2</v>
      </c>
      <c r="I659" s="25">
        <f t="shared" si="43"/>
        <v>31230.485839233959</v>
      </c>
      <c r="J659" s="40"/>
      <c r="K659" s="39"/>
      <c r="L659" s="39"/>
      <c r="M659" s="39"/>
      <c r="N659" s="23"/>
      <c r="O659" s="39"/>
      <c r="P659" s="39"/>
      <c r="Q659" s="39"/>
      <c r="R659" s="39"/>
    </row>
    <row r="660" spans="1:18" s="2" customFormat="1" ht="14.4">
      <c r="A660" s="9">
        <f t="shared" ref="A660:A685" si="44">A659+1</f>
        <v>608</v>
      </c>
      <c r="B660" s="17" t="s">
        <v>836</v>
      </c>
      <c r="C660" s="17" t="s">
        <v>837</v>
      </c>
      <c r="D660" s="20"/>
      <c r="E660" s="20"/>
      <c r="F660" s="18"/>
      <c r="G660" s="19"/>
      <c r="H660" s="32"/>
      <c r="I660" s="25"/>
      <c r="J660" s="40"/>
      <c r="K660" s="39"/>
      <c r="L660" s="39"/>
      <c r="M660" s="39"/>
      <c r="N660" s="23"/>
      <c r="O660" s="39"/>
      <c r="P660" s="39"/>
      <c r="Q660" s="39"/>
      <c r="R660" s="39"/>
    </row>
    <row r="661" spans="1:18" s="2" customFormat="1" ht="14.4">
      <c r="A661" s="9">
        <f t="shared" si="44"/>
        <v>609</v>
      </c>
      <c r="B661" s="17" t="s">
        <v>838</v>
      </c>
      <c r="C661" s="17" t="s">
        <v>839</v>
      </c>
      <c r="D661" s="20" t="s">
        <v>48</v>
      </c>
      <c r="E661" s="20" t="s">
        <v>49</v>
      </c>
      <c r="F661" s="18">
        <v>1</v>
      </c>
      <c r="G661" s="19">
        <f>1.633198857*898.32</f>
        <v>1467.1351972202401</v>
      </c>
      <c r="H661" s="32">
        <v>2</v>
      </c>
      <c r="I661" s="25">
        <f t="shared" si="43"/>
        <v>2934.2703944404802</v>
      </c>
      <c r="J661" s="40"/>
      <c r="K661" s="39"/>
      <c r="L661" s="39"/>
      <c r="M661" s="39"/>
      <c r="N661" s="23"/>
      <c r="O661" s="39"/>
      <c r="P661" s="39"/>
      <c r="Q661" s="39"/>
      <c r="R661" s="39"/>
    </row>
    <row r="662" spans="1:18" s="2" customFormat="1" ht="14.4">
      <c r="A662" s="9">
        <f t="shared" si="44"/>
        <v>610</v>
      </c>
      <c r="B662" s="17" t="s">
        <v>840</v>
      </c>
      <c r="C662" s="17" t="s">
        <v>841</v>
      </c>
      <c r="D662" s="20" t="s">
        <v>5</v>
      </c>
      <c r="E662" s="20" t="s">
        <v>6</v>
      </c>
      <c r="F662" s="18">
        <v>1</v>
      </c>
      <c r="G662" s="19">
        <f>1.633198857*126.06</f>
        <v>205.88104791341999</v>
      </c>
      <c r="H662" s="32">
        <v>8</v>
      </c>
      <c r="I662" s="25">
        <f t="shared" si="43"/>
        <v>1647.0483833073599</v>
      </c>
      <c r="J662" s="40"/>
      <c r="K662" s="39"/>
      <c r="L662" s="39"/>
      <c r="M662" s="39"/>
      <c r="N662" s="23"/>
      <c r="O662" s="39"/>
      <c r="P662" s="39"/>
      <c r="Q662" s="39"/>
      <c r="R662" s="39"/>
    </row>
    <row r="663" spans="1:18" s="2" customFormat="1" ht="14.4">
      <c r="A663" s="9">
        <f t="shared" si="44"/>
        <v>611</v>
      </c>
      <c r="B663" s="17" t="s">
        <v>842</v>
      </c>
      <c r="C663" s="17" t="s">
        <v>843</v>
      </c>
      <c r="D663" s="20" t="s">
        <v>5</v>
      </c>
      <c r="E663" s="20" t="s">
        <v>6</v>
      </c>
      <c r="F663" s="18">
        <v>1</v>
      </c>
      <c r="G663" s="19">
        <f>1.633198857*126.06</f>
        <v>205.88104791341999</v>
      </c>
      <c r="H663" s="32">
        <v>2</v>
      </c>
      <c r="I663" s="25">
        <f t="shared" si="43"/>
        <v>411.76209582683998</v>
      </c>
      <c r="J663" s="40"/>
      <c r="K663" s="39"/>
      <c r="L663" s="39"/>
      <c r="M663" s="39"/>
      <c r="N663" s="23"/>
      <c r="O663" s="39"/>
      <c r="P663" s="39"/>
      <c r="Q663" s="39"/>
      <c r="R663" s="39"/>
    </row>
    <row r="664" spans="1:18" s="2" customFormat="1" ht="14.4">
      <c r="A664" s="9">
        <f t="shared" si="44"/>
        <v>612</v>
      </c>
      <c r="B664" s="17" t="s">
        <v>844</v>
      </c>
      <c r="C664" s="17" t="s">
        <v>845</v>
      </c>
      <c r="D664" s="20" t="s">
        <v>5</v>
      </c>
      <c r="E664" s="20" t="s">
        <v>6</v>
      </c>
      <c r="F664" s="18">
        <v>1</v>
      </c>
      <c r="G664" s="19">
        <f>1.633198857*1084.71</f>
        <v>1771.5471321764701</v>
      </c>
      <c r="H664" s="32">
        <v>12</v>
      </c>
      <c r="I664" s="25">
        <f t="shared" si="43"/>
        <v>21258.565586117642</v>
      </c>
      <c r="J664" s="40"/>
      <c r="K664" s="39"/>
      <c r="L664" s="39"/>
      <c r="M664" s="39"/>
      <c r="N664" s="23"/>
      <c r="O664" s="39"/>
      <c r="P664" s="39"/>
      <c r="Q664" s="39"/>
      <c r="R664" s="39"/>
    </row>
    <row r="665" spans="1:18" s="2" customFormat="1" ht="14.4">
      <c r="A665" s="9">
        <f t="shared" si="44"/>
        <v>613</v>
      </c>
      <c r="B665" s="17" t="s">
        <v>846</v>
      </c>
      <c r="C665" s="17" t="s">
        <v>847</v>
      </c>
      <c r="D665" s="20" t="s">
        <v>5</v>
      </c>
      <c r="E665" s="20" t="s">
        <v>6</v>
      </c>
      <c r="F665" s="18">
        <v>1</v>
      </c>
      <c r="G665" s="19">
        <f>1.633198857*227.58</f>
        <v>371.68339587606005</v>
      </c>
      <c r="H665" s="32">
        <v>5</v>
      </c>
      <c r="I665" s="25">
        <f t="shared" si="43"/>
        <v>1858.4169793803003</v>
      </c>
      <c r="J665" s="40"/>
      <c r="K665" s="39"/>
      <c r="L665" s="39"/>
      <c r="M665" s="39"/>
      <c r="N665" s="23"/>
      <c r="O665" s="39"/>
      <c r="P665" s="39"/>
      <c r="Q665" s="39"/>
      <c r="R665" s="39"/>
    </row>
    <row r="666" spans="1:18" s="2" customFormat="1" ht="14.4">
      <c r="A666" s="9">
        <f t="shared" si="44"/>
        <v>614</v>
      </c>
      <c r="B666" s="17" t="s">
        <v>945</v>
      </c>
      <c r="C666" s="17" t="s">
        <v>946</v>
      </c>
      <c r="D666" s="20" t="s">
        <v>5</v>
      </c>
      <c r="E666" s="20" t="s">
        <v>6</v>
      </c>
      <c r="F666" s="18">
        <v>1</v>
      </c>
      <c r="G666" s="19">
        <f>789.2</f>
        <v>789.2</v>
      </c>
      <c r="H666" s="32">
        <v>5</v>
      </c>
      <c r="I666" s="25">
        <f t="shared" si="43"/>
        <v>3946</v>
      </c>
      <c r="J666" s="40"/>
      <c r="K666" s="39"/>
      <c r="L666" s="39"/>
      <c r="M666" s="39"/>
      <c r="N666" s="23"/>
      <c r="O666" s="39"/>
      <c r="P666" s="39"/>
      <c r="Q666" s="39"/>
      <c r="R666" s="39"/>
    </row>
    <row r="667" spans="1:18" s="2" customFormat="1" ht="26.4">
      <c r="A667" s="9">
        <f t="shared" si="44"/>
        <v>615</v>
      </c>
      <c r="B667" s="17" t="s">
        <v>902</v>
      </c>
      <c r="C667" s="17" t="s">
        <v>903</v>
      </c>
      <c r="D667" s="20" t="s">
        <v>890</v>
      </c>
      <c r="E667" s="20" t="s">
        <v>65</v>
      </c>
      <c r="F667" s="18">
        <v>1</v>
      </c>
      <c r="G667" s="19">
        <f>1.633198857*227.58</f>
        <v>371.68339587606005</v>
      </c>
      <c r="H667" s="32">
        <v>5</v>
      </c>
      <c r="I667" s="25">
        <f t="shared" si="43"/>
        <v>1858.4169793803003</v>
      </c>
      <c r="J667" s="40"/>
      <c r="K667" s="39"/>
      <c r="L667" s="39"/>
      <c r="M667" s="39"/>
      <c r="N667" s="23"/>
      <c r="O667" s="39"/>
      <c r="P667" s="39"/>
      <c r="Q667" s="39"/>
      <c r="R667" s="39"/>
    </row>
    <row r="668" spans="1:18" s="2" customFormat="1" ht="26.4">
      <c r="A668" s="9">
        <f t="shared" si="44"/>
        <v>616</v>
      </c>
      <c r="B668" s="17" t="s">
        <v>947</v>
      </c>
      <c r="C668" s="17" t="s">
        <v>948</v>
      </c>
      <c r="D668" s="20" t="s">
        <v>5</v>
      </c>
      <c r="E668" s="20" t="s">
        <v>6</v>
      </c>
      <c r="F668" s="18">
        <v>1</v>
      </c>
      <c r="G668" s="19">
        <f>789.2</f>
        <v>789.2</v>
      </c>
      <c r="H668" s="32">
        <v>5</v>
      </c>
      <c r="I668" s="25">
        <f t="shared" si="43"/>
        <v>3946</v>
      </c>
      <c r="J668" s="40"/>
      <c r="K668" s="39"/>
      <c r="L668" s="39"/>
      <c r="M668" s="39"/>
      <c r="N668" s="23"/>
      <c r="O668" s="39"/>
      <c r="P668" s="39"/>
      <c r="Q668" s="39"/>
      <c r="R668" s="39"/>
    </row>
    <row r="669" spans="1:18" s="2" customFormat="1" ht="14.4">
      <c r="A669" s="9">
        <f t="shared" si="44"/>
        <v>617</v>
      </c>
      <c r="B669" s="17" t="s">
        <v>846</v>
      </c>
      <c r="C669" s="17" t="s">
        <v>847</v>
      </c>
      <c r="D669" s="20" t="s">
        <v>5</v>
      </c>
      <c r="E669" s="20" t="s">
        <v>6</v>
      </c>
      <c r="F669" s="18">
        <v>1</v>
      </c>
      <c r="G669" s="19">
        <f>1.633198857*227.58</f>
        <v>371.68339587606005</v>
      </c>
      <c r="H669" s="32">
        <v>8</v>
      </c>
      <c r="I669" s="25">
        <f t="shared" si="43"/>
        <v>2973.4671670084804</v>
      </c>
      <c r="J669" s="40"/>
      <c r="K669" s="39"/>
      <c r="L669" s="39"/>
      <c r="M669" s="39"/>
      <c r="N669" s="23"/>
      <c r="O669" s="39"/>
      <c r="P669" s="39"/>
      <c r="Q669" s="39"/>
      <c r="R669" s="39"/>
    </row>
    <row r="670" spans="1:18" s="2" customFormat="1" ht="14.4">
      <c r="A670" s="9">
        <f t="shared" si="44"/>
        <v>618</v>
      </c>
      <c r="B670" s="17" t="s">
        <v>949</v>
      </c>
      <c r="C670" s="17" t="s">
        <v>950</v>
      </c>
      <c r="D670" s="20" t="s">
        <v>5</v>
      </c>
      <c r="E670" s="20" t="s">
        <v>6</v>
      </c>
      <c r="F670" s="18">
        <v>1</v>
      </c>
      <c r="G670" s="19">
        <f>789.2</f>
        <v>789.2</v>
      </c>
      <c r="H670" s="32">
        <v>8</v>
      </c>
      <c r="I670" s="25">
        <f t="shared" si="43"/>
        <v>6313.6</v>
      </c>
      <c r="J670" s="40"/>
      <c r="K670" s="39"/>
      <c r="L670" s="39"/>
      <c r="M670" s="39"/>
      <c r="N670" s="23"/>
      <c r="O670" s="39"/>
      <c r="P670" s="39"/>
      <c r="Q670" s="39"/>
      <c r="R670" s="39"/>
    </row>
    <row r="671" spans="1:18" s="2" customFormat="1" ht="26.4">
      <c r="A671" s="9">
        <f t="shared" si="44"/>
        <v>619</v>
      </c>
      <c r="B671" s="17" t="s">
        <v>902</v>
      </c>
      <c r="C671" s="17" t="s">
        <v>903</v>
      </c>
      <c r="D671" s="20" t="s">
        <v>890</v>
      </c>
      <c r="E671" s="20" t="s">
        <v>65</v>
      </c>
      <c r="F671" s="18">
        <v>1</v>
      </c>
      <c r="G671" s="19">
        <f>1.633198857*227.58</f>
        <v>371.68339587606005</v>
      </c>
      <c r="H671" s="32">
        <v>8</v>
      </c>
      <c r="I671" s="25">
        <f t="shared" si="43"/>
        <v>2973.4671670084804</v>
      </c>
      <c r="J671" s="40"/>
      <c r="K671" s="39"/>
      <c r="L671" s="39"/>
      <c r="M671" s="39"/>
      <c r="N671" s="23"/>
      <c r="O671" s="39"/>
      <c r="P671" s="39"/>
      <c r="Q671" s="39"/>
      <c r="R671" s="39"/>
    </row>
    <row r="672" spans="1:18" s="2" customFormat="1" ht="26.4">
      <c r="A672" s="9">
        <f t="shared" si="44"/>
        <v>620</v>
      </c>
      <c r="B672" s="17" t="s">
        <v>947</v>
      </c>
      <c r="C672" s="17" t="s">
        <v>948</v>
      </c>
      <c r="D672" s="20" t="s">
        <v>5</v>
      </c>
      <c r="E672" s="20" t="s">
        <v>6</v>
      </c>
      <c r="F672" s="18">
        <v>1</v>
      </c>
      <c r="G672" s="19">
        <f>789.2</f>
        <v>789.2</v>
      </c>
      <c r="H672" s="32">
        <v>8</v>
      </c>
      <c r="I672" s="25">
        <f t="shared" si="43"/>
        <v>6313.6</v>
      </c>
      <c r="J672" s="40"/>
      <c r="K672" s="39"/>
      <c r="L672" s="39"/>
      <c r="M672" s="39"/>
      <c r="N672" s="23"/>
      <c r="O672" s="39"/>
      <c r="P672" s="39"/>
      <c r="Q672" s="39"/>
      <c r="R672" s="39"/>
    </row>
    <row r="673" spans="1:18" s="2" customFormat="1" ht="26.4">
      <c r="A673" s="9">
        <f t="shared" si="44"/>
        <v>621</v>
      </c>
      <c r="B673" s="17" t="s">
        <v>856</v>
      </c>
      <c r="C673" s="17" t="s">
        <v>940</v>
      </c>
      <c r="D673" s="20" t="s">
        <v>858</v>
      </c>
      <c r="E673" s="20" t="s">
        <v>64</v>
      </c>
      <c r="F673" s="18">
        <v>1</v>
      </c>
      <c r="G673" s="19">
        <f>1.633198857*905.17</f>
        <v>1478.3226093906899</v>
      </c>
      <c r="H673" s="32">
        <v>3</v>
      </c>
      <c r="I673" s="25">
        <f t="shared" si="43"/>
        <v>4434.9678281720699</v>
      </c>
      <c r="J673" s="40"/>
      <c r="K673" s="39"/>
      <c r="L673" s="39"/>
      <c r="M673" s="39"/>
      <c r="N673" s="23"/>
      <c r="O673" s="39"/>
      <c r="P673" s="39"/>
      <c r="Q673" s="39"/>
      <c r="R673" s="39"/>
    </row>
    <row r="674" spans="1:18" s="2" customFormat="1" ht="26.4">
      <c r="A674" s="9">
        <f t="shared" si="44"/>
        <v>622</v>
      </c>
      <c r="B674" s="17" t="s">
        <v>951</v>
      </c>
      <c r="C674" s="17" t="s">
        <v>952</v>
      </c>
      <c r="D674" s="20" t="s">
        <v>5</v>
      </c>
      <c r="E674" s="20" t="s">
        <v>6</v>
      </c>
      <c r="F674" s="18">
        <v>1</v>
      </c>
      <c r="G674" s="19">
        <f>10892.63</f>
        <v>10892.63</v>
      </c>
      <c r="H674" s="32">
        <v>1</v>
      </c>
      <c r="I674" s="25">
        <f t="shared" si="43"/>
        <v>10892.63</v>
      </c>
      <c r="J674" s="40"/>
      <c r="K674" s="39"/>
      <c r="L674" s="39"/>
      <c r="M674" s="39"/>
      <c r="N674" s="23"/>
      <c r="O674" s="39"/>
      <c r="P674" s="39"/>
      <c r="Q674" s="39"/>
      <c r="R674" s="39"/>
    </row>
    <row r="675" spans="1:18" s="2" customFormat="1" ht="26.4">
      <c r="A675" s="9">
        <f t="shared" si="44"/>
        <v>623</v>
      </c>
      <c r="B675" s="17" t="s">
        <v>925</v>
      </c>
      <c r="C675" s="17" t="s">
        <v>926</v>
      </c>
      <c r="D675" s="20" t="s">
        <v>5</v>
      </c>
      <c r="E675" s="20" t="s">
        <v>6</v>
      </c>
      <c r="F675" s="18">
        <v>1</v>
      </c>
      <c r="G675" s="19">
        <f>10288.28</f>
        <v>10288.280000000001</v>
      </c>
      <c r="H675" s="32">
        <v>2</v>
      </c>
      <c r="I675" s="25">
        <f t="shared" si="43"/>
        <v>20576.560000000001</v>
      </c>
      <c r="J675" s="40"/>
      <c r="K675" s="39"/>
      <c r="L675" s="39"/>
      <c r="M675" s="39"/>
      <c r="N675" s="23"/>
      <c r="O675" s="39"/>
      <c r="P675" s="39"/>
      <c r="Q675" s="39"/>
      <c r="R675" s="39"/>
    </row>
    <row r="676" spans="1:18" s="2" customFormat="1" ht="39.6">
      <c r="A676" s="9">
        <f t="shared" si="44"/>
        <v>624</v>
      </c>
      <c r="B676" s="17" t="s">
        <v>861</v>
      </c>
      <c r="C676" s="17" t="s">
        <v>908</v>
      </c>
      <c r="D676" s="9" t="s">
        <v>8</v>
      </c>
      <c r="E676" s="20" t="s">
        <v>9</v>
      </c>
      <c r="F676" s="18">
        <v>1</v>
      </c>
      <c r="G676" s="19">
        <f>1.633198857*1072.33</f>
        <v>1751.32813032681</v>
      </c>
      <c r="H676" s="32">
        <v>18.850000000000001</v>
      </c>
      <c r="I676" s="25">
        <f t="shared" si="43"/>
        <v>33012.535256660369</v>
      </c>
      <c r="J676" s="40"/>
      <c r="K676" s="39"/>
      <c r="L676" s="39"/>
      <c r="M676" s="39"/>
      <c r="N676" s="23"/>
      <c r="O676" s="39"/>
      <c r="P676" s="39"/>
      <c r="Q676" s="39"/>
      <c r="R676" s="39"/>
    </row>
    <row r="677" spans="1:18" s="2" customFormat="1" ht="39.6">
      <c r="A677" s="9">
        <f t="shared" si="44"/>
        <v>625</v>
      </c>
      <c r="B677" s="17" t="s">
        <v>865</v>
      </c>
      <c r="C677" s="17" t="s">
        <v>866</v>
      </c>
      <c r="D677" s="9" t="s">
        <v>8</v>
      </c>
      <c r="E677" s="20" t="s">
        <v>9</v>
      </c>
      <c r="F677" s="18">
        <v>1</v>
      </c>
      <c r="G677" s="19">
        <f>1.633198857*1014.12</f>
        <v>1656.2596248608399</v>
      </c>
      <c r="H677" s="32">
        <v>29</v>
      </c>
      <c r="I677" s="25">
        <f t="shared" si="43"/>
        <v>48031.529120964362</v>
      </c>
      <c r="J677" s="40"/>
      <c r="K677" s="39"/>
      <c r="L677" s="39"/>
      <c r="M677" s="39"/>
      <c r="N677" s="23"/>
      <c r="O677" s="39"/>
      <c r="P677" s="39"/>
      <c r="Q677" s="39"/>
      <c r="R677" s="39"/>
    </row>
    <row r="678" spans="1:18" s="2" customFormat="1" ht="39.6">
      <c r="A678" s="9">
        <f t="shared" si="44"/>
        <v>626</v>
      </c>
      <c r="B678" s="17" t="s">
        <v>867</v>
      </c>
      <c r="C678" s="17" t="s">
        <v>868</v>
      </c>
      <c r="D678" s="9" t="s">
        <v>8</v>
      </c>
      <c r="E678" s="20" t="s">
        <v>9</v>
      </c>
      <c r="F678" s="18">
        <v>1</v>
      </c>
      <c r="G678" s="19">
        <f>1.633198857*948.7</f>
        <v>1549.4157556359</v>
      </c>
      <c r="H678" s="32">
        <v>69.7</v>
      </c>
      <c r="I678" s="25">
        <f t="shared" si="43"/>
        <v>107994.27816782224</v>
      </c>
      <c r="J678" s="40"/>
      <c r="K678" s="39"/>
      <c r="L678" s="39"/>
      <c r="M678" s="39"/>
      <c r="N678" s="23"/>
      <c r="O678" s="39"/>
      <c r="P678" s="39"/>
      <c r="Q678" s="39"/>
      <c r="R678" s="39"/>
    </row>
    <row r="679" spans="1:18" s="2" customFormat="1" ht="14.4">
      <c r="A679" s="9">
        <f t="shared" si="44"/>
        <v>627</v>
      </c>
      <c r="B679" s="17" t="s">
        <v>953</v>
      </c>
      <c r="C679" s="17" t="s">
        <v>954</v>
      </c>
      <c r="D679" s="20" t="s">
        <v>5</v>
      </c>
      <c r="E679" s="20" t="s">
        <v>6</v>
      </c>
      <c r="F679" s="18">
        <v>1</v>
      </c>
      <c r="G679" s="19">
        <f>287.03</f>
        <v>287.02999999999997</v>
      </c>
      <c r="H679" s="32">
        <v>13</v>
      </c>
      <c r="I679" s="25">
        <f t="shared" si="43"/>
        <v>3731.3899999999994</v>
      </c>
      <c r="J679" s="40"/>
      <c r="K679" s="39"/>
      <c r="L679" s="39"/>
      <c r="M679" s="39"/>
      <c r="N679" s="23"/>
      <c r="O679" s="39"/>
      <c r="P679" s="39"/>
      <c r="Q679" s="39"/>
      <c r="R679" s="39"/>
    </row>
    <row r="680" spans="1:18" s="2" customFormat="1" ht="26.4">
      <c r="A680" s="9">
        <f t="shared" si="44"/>
        <v>628</v>
      </c>
      <c r="B680" s="17" t="s">
        <v>879</v>
      </c>
      <c r="C680" s="17" t="s">
        <v>880</v>
      </c>
      <c r="D680" s="9" t="s">
        <v>44</v>
      </c>
      <c r="E680" s="20" t="s">
        <v>45</v>
      </c>
      <c r="F680" s="18">
        <v>1</v>
      </c>
      <c r="G680" s="19">
        <f>34.47</f>
        <v>34.47</v>
      </c>
      <c r="H680" s="32">
        <v>20</v>
      </c>
      <c r="I680" s="25">
        <f t="shared" si="43"/>
        <v>689.4</v>
      </c>
      <c r="J680" s="40"/>
      <c r="K680" s="39"/>
      <c r="L680" s="39"/>
      <c r="M680" s="39"/>
      <c r="N680" s="23"/>
      <c r="O680" s="39"/>
      <c r="P680" s="39"/>
      <c r="Q680" s="39"/>
      <c r="R680" s="39"/>
    </row>
    <row r="681" spans="1:18" s="2" customFormat="1" ht="26.4">
      <c r="A681" s="9">
        <f t="shared" si="44"/>
        <v>629</v>
      </c>
      <c r="B681" s="17" t="s">
        <v>955</v>
      </c>
      <c r="C681" s="17" t="s">
        <v>882</v>
      </c>
      <c r="D681" s="9" t="s">
        <v>8</v>
      </c>
      <c r="E681" s="20" t="s">
        <v>9</v>
      </c>
      <c r="F681" s="18">
        <v>1</v>
      </c>
      <c r="G681" s="19">
        <f>1.633198857*118.8</f>
        <v>194.02402421159999</v>
      </c>
      <c r="H681" s="32">
        <v>3.5</v>
      </c>
      <c r="I681" s="25">
        <f t="shared" si="43"/>
        <v>679.08408474060002</v>
      </c>
      <c r="J681" s="40"/>
      <c r="K681" s="39"/>
      <c r="L681" s="39"/>
      <c r="M681" s="39"/>
      <c r="N681" s="23"/>
      <c r="O681" s="39"/>
      <c r="P681" s="39"/>
      <c r="Q681" s="39"/>
      <c r="R681" s="39"/>
    </row>
    <row r="682" spans="1:18" s="2" customFormat="1" ht="14.4">
      <c r="A682" s="9">
        <f t="shared" si="44"/>
        <v>630</v>
      </c>
      <c r="B682" s="17" t="s">
        <v>956</v>
      </c>
      <c r="C682" s="17" t="s">
        <v>957</v>
      </c>
      <c r="D682" s="9" t="s">
        <v>8</v>
      </c>
      <c r="E682" s="20" t="s">
        <v>9</v>
      </c>
      <c r="F682" s="18">
        <v>1</v>
      </c>
      <c r="G682" s="19">
        <f>359.12</f>
        <v>359.12</v>
      </c>
      <c r="H682" s="32">
        <v>1.5</v>
      </c>
      <c r="I682" s="25">
        <f t="shared" si="43"/>
        <v>538.68000000000006</v>
      </c>
      <c r="J682" s="40"/>
      <c r="K682" s="39"/>
      <c r="L682" s="39"/>
      <c r="M682" s="39"/>
      <c r="N682" s="23"/>
      <c r="O682" s="39"/>
      <c r="P682" s="39"/>
      <c r="Q682" s="39"/>
      <c r="R682" s="39"/>
    </row>
    <row r="683" spans="1:18" s="2" customFormat="1" ht="14.4">
      <c r="A683" s="9">
        <f t="shared" si="44"/>
        <v>631</v>
      </c>
      <c r="B683" s="17" t="s">
        <v>958</v>
      </c>
      <c r="C683" s="17" t="s">
        <v>959</v>
      </c>
      <c r="D683" s="9" t="s">
        <v>8</v>
      </c>
      <c r="E683" s="20" t="s">
        <v>9</v>
      </c>
      <c r="F683" s="18">
        <v>1</v>
      </c>
      <c r="G683" s="19">
        <v>165</v>
      </c>
      <c r="H683" s="32">
        <v>2.4</v>
      </c>
      <c r="I683" s="25">
        <f t="shared" si="43"/>
        <v>396</v>
      </c>
      <c r="J683" s="40"/>
      <c r="K683" s="39"/>
      <c r="L683" s="39"/>
      <c r="M683" s="39"/>
      <c r="N683" s="23"/>
      <c r="O683" s="39"/>
      <c r="P683" s="39"/>
      <c r="Q683" s="39"/>
      <c r="R683" s="39"/>
    </row>
    <row r="684" spans="1:18" s="2" customFormat="1" ht="14.4">
      <c r="A684" s="9">
        <f t="shared" si="44"/>
        <v>632</v>
      </c>
      <c r="B684" s="17" t="s">
        <v>929</v>
      </c>
      <c r="C684" s="17" t="s">
        <v>874</v>
      </c>
      <c r="D684" s="9" t="s">
        <v>8</v>
      </c>
      <c r="E684" s="20" t="s">
        <v>9</v>
      </c>
      <c r="F684" s="18">
        <v>1</v>
      </c>
      <c r="G684" s="19">
        <v>483.2</v>
      </c>
      <c r="H684" s="32">
        <v>2</v>
      </c>
      <c r="I684" s="25">
        <f t="shared" si="43"/>
        <v>966.4</v>
      </c>
      <c r="J684" s="40"/>
      <c r="K684" s="39"/>
      <c r="L684" s="39"/>
      <c r="M684" s="39"/>
      <c r="N684" s="23"/>
      <c r="O684" s="39"/>
      <c r="P684" s="39"/>
      <c r="Q684" s="39"/>
      <c r="R684" s="39"/>
    </row>
    <row r="685" spans="1:18" s="2" customFormat="1" ht="14.4">
      <c r="A685" s="20">
        <f t="shared" si="44"/>
        <v>633</v>
      </c>
      <c r="B685" s="17" t="s">
        <v>218</v>
      </c>
      <c r="C685" s="17" t="s">
        <v>219</v>
      </c>
      <c r="D685" s="20" t="s">
        <v>48</v>
      </c>
      <c r="E685" s="20" t="s">
        <v>49</v>
      </c>
      <c r="F685" s="18">
        <v>1</v>
      </c>
      <c r="G685" s="19"/>
      <c r="H685" s="32">
        <v>1</v>
      </c>
      <c r="I685" s="25">
        <f>SUM(I659:I684)*0.05</f>
        <v>15980.427752503178</v>
      </c>
      <c r="J685" s="40"/>
      <c r="K685" s="39"/>
      <c r="L685" s="39"/>
      <c r="M685" s="39"/>
      <c r="N685" s="23"/>
      <c r="O685" s="39"/>
      <c r="P685" s="39"/>
      <c r="Q685" s="39"/>
      <c r="R685" s="39"/>
    </row>
    <row r="686" spans="1:18" ht="14.4">
      <c r="A686" s="9" t="s">
        <v>61</v>
      </c>
      <c r="B686" s="20" t="s">
        <v>960</v>
      </c>
      <c r="C686" s="20" t="s">
        <v>961</v>
      </c>
      <c r="D686" s="9"/>
      <c r="E686" s="9"/>
      <c r="F686" s="18"/>
      <c r="G686" s="19"/>
      <c r="H686" s="18"/>
      <c r="I686" s="25"/>
      <c r="J686" s="24"/>
      <c r="K686" s="22"/>
      <c r="L686" s="22"/>
      <c r="M686" s="22"/>
      <c r="N686" s="23"/>
      <c r="O686" s="22"/>
      <c r="P686" s="22"/>
      <c r="Q686" s="22"/>
      <c r="R686" s="22"/>
    </row>
    <row r="687" spans="1:18" s="2" customFormat="1" ht="39.6">
      <c r="A687" s="20">
        <f>A685+1</f>
        <v>634</v>
      </c>
      <c r="B687" s="17" t="s">
        <v>832</v>
      </c>
      <c r="C687" s="17" t="s">
        <v>833</v>
      </c>
      <c r="D687" s="20" t="s">
        <v>834</v>
      </c>
      <c r="E687" s="20" t="s">
        <v>835</v>
      </c>
      <c r="F687" s="18">
        <v>1</v>
      </c>
      <c r="G687" s="19">
        <f>1.633198857*9561.14</f>
        <v>15615.24291961698</v>
      </c>
      <c r="H687" s="32">
        <v>1</v>
      </c>
      <c r="I687" s="25">
        <f t="shared" si="43"/>
        <v>15615.24291961698</v>
      </c>
      <c r="J687" s="40"/>
      <c r="K687" s="39"/>
      <c r="L687" s="39"/>
      <c r="M687" s="39"/>
      <c r="N687" s="23"/>
      <c r="O687" s="39"/>
      <c r="P687" s="39"/>
      <c r="Q687" s="39"/>
      <c r="R687" s="39"/>
    </row>
    <row r="688" spans="1:18" s="2" customFormat="1" ht="14.4">
      <c r="A688" s="9">
        <f t="shared" ref="A688:A713" si="45">A687+1</f>
        <v>635</v>
      </c>
      <c r="B688" s="17" t="s">
        <v>836</v>
      </c>
      <c r="C688" s="17" t="s">
        <v>837</v>
      </c>
      <c r="D688" s="20"/>
      <c r="E688" s="20"/>
      <c r="F688" s="18"/>
      <c r="G688" s="19"/>
      <c r="H688" s="32"/>
      <c r="I688" s="25"/>
      <c r="J688" s="40"/>
      <c r="K688" s="39"/>
      <c r="L688" s="39"/>
      <c r="M688" s="39"/>
      <c r="N688" s="23"/>
      <c r="O688" s="39"/>
      <c r="P688" s="39"/>
      <c r="Q688" s="39"/>
      <c r="R688" s="39"/>
    </row>
    <row r="689" spans="1:18" s="2" customFormat="1" ht="14.4">
      <c r="A689" s="9">
        <f t="shared" si="45"/>
        <v>636</v>
      </c>
      <c r="B689" s="17" t="s">
        <v>838</v>
      </c>
      <c r="C689" s="17" t="s">
        <v>839</v>
      </c>
      <c r="D689" s="20" t="s">
        <v>48</v>
      </c>
      <c r="E689" s="20" t="s">
        <v>49</v>
      </c>
      <c r="F689" s="18">
        <v>1</v>
      </c>
      <c r="G689" s="19">
        <f>1.633198857*898.32</f>
        <v>1467.1351972202401</v>
      </c>
      <c r="H689" s="32">
        <v>1</v>
      </c>
      <c r="I689" s="25">
        <f t="shared" si="43"/>
        <v>1467.1351972202401</v>
      </c>
      <c r="J689" s="40"/>
      <c r="K689" s="39"/>
      <c r="L689" s="39"/>
      <c r="M689" s="39"/>
      <c r="N689" s="23"/>
      <c r="O689" s="39"/>
      <c r="P689" s="39"/>
      <c r="Q689" s="39"/>
      <c r="R689" s="39"/>
    </row>
    <row r="690" spans="1:18" s="2" customFormat="1" ht="14.4">
      <c r="A690" s="9">
        <f t="shared" si="45"/>
        <v>637</v>
      </c>
      <c r="B690" s="17" t="s">
        <v>840</v>
      </c>
      <c r="C690" s="17" t="s">
        <v>841</v>
      </c>
      <c r="D690" s="20" t="s">
        <v>5</v>
      </c>
      <c r="E690" s="20" t="s">
        <v>6</v>
      </c>
      <c r="F690" s="18">
        <v>1</v>
      </c>
      <c r="G690" s="19">
        <f>1.633198857*126.06</f>
        <v>205.88104791341999</v>
      </c>
      <c r="H690" s="32">
        <v>4</v>
      </c>
      <c r="I690" s="25">
        <f t="shared" si="43"/>
        <v>823.52419165367996</v>
      </c>
      <c r="J690" s="40"/>
      <c r="K690" s="39"/>
      <c r="L690" s="39"/>
      <c r="M690" s="39"/>
      <c r="N690" s="23"/>
      <c r="O690" s="39"/>
      <c r="P690" s="39"/>
      <c r="Q690" s="39"/>
      <c r="R690" s="39"/>
    </row>
    <row r="691" spans="1:18" s="2" customFormat="1" ht="14.4">
      <c r="A691" s="9">
        <f t="shared" si="45"/>
        <v>638</v>
      </c>
      <c r="B691" s="17" t="s">
        <v>842</v>
      </c>
      <c r="C691" s="17" t="s">
        <v>843</v>
      </c>
      <c r="D691" s="20" t="s">
        <v>5</v>
      </c>
      <c r="E691" s="20" t="s">
        <v>6</v>
      </c>
      <c r="F691" s="18">
        <v>1</v>
      </c>
      <c r="G691" s="19">
        <f>1.633198857*126.06</f>
        <v>205.88104791341999</v>
      </c>
      <c r="H691" s="32">
        <v>1</v>
      </c>
      <c r="I691" s="25">
        <f t="shared" si="43"/>
        <v>205.88104791341999</v>
      </c>
      <c r="J691" s="40"/>
      <c r="K691" s="39"/>
      <c r="L691" s="39"/>
      <c r="M691" s="39"/>
      <c r="N691" s="23"/>
      <c r="O691" s="39"/>
      <c r="P691" s="39"/>
      <c r="Q691" s="39"/>
      <c r="R691" s="39"/>
    </row>
    <row r="692" spans="1:18" s="2" customFormat="1" ht="14.4">
      <c r="A692" s="9">
        <f t="shared" si="45"/>
        <v>639</v>
      </c>
      <c r="B692" s="17" t="s">
        <v>844</v>
      </c>
      <c r="C692" s="17" t="s">
        <v>845</v>
      </c>
      <c r="D692" s="20" t="s">
        <v>5</v>
      </c>
      <c r="E692" s="20" t="s">
        <v>6</v>
      </c>
      <c r="F692" s="18">
        <v>1</v>
      </c>
      <c r="G692" s="19">
        <f>1.633198857*1084.71</f>
        <v>1771.5471321764701</v>
      </c>
      <c r="H692" s="32">
        <v>1</v>
      </c>
      <c r="I692" s="25">
        <f t="shared" si="43"/>
        <v>1771.5471321764701</v>
      </c>
      <c r="J692" s="40"/>
      <c r="K692" s="39"/>
      <c r="L692" s="39"/>
      <c r="M692" s="39"/>
      <c r="N692" s="23"/>
      <c r="O692" s="39"/>
      <c r="P692" s="39"/>
      <c r="Q692" s="39"/>
      <c r="R692" s="39"/>
    </row>
    <row r="693" spans="1:18" s="2" customFormat="1" ht="14.4">
      <c r="A693" s="9">
        <f t="shared" si="45"/>
        <v>640</v>
      </c>
      <c r="B693" s="17" t="s">
        <v>846</v>
      </c>
      <c r="C693" s="17" t="s">
        <v>847</v>
      </c>
      <c r="D693" s="9" t="s">
        <v>5</v>
      </c>
      <c r="E693" s="9" t="s">
        <v>6</v>
      </c>
      <c r="F693" s="18">
        <v>1</v>
      </c>
      <c r="G693" s="19">
        <f>1.633198857*227.58</f>
        <v>371.68339587606005</v>
      </c>
      <c r="H693" s="32">
        <v>2</v>
      </c>
      <c r="I693" s="25">
        <f t="shared" si="43"/>
        <v>743.36679175212009</v>
      </c>
      <c r="J693" s="74"/>
      <c r="K693" s="75"/>
      <c r="L693" s="75"/>
      <c r="M693" s="75"/>
      <c r="N693" s="76"/>
      <c r="O693" s="75"/>
      <c r="P693" s="75"/>
      <c r="Q693" s="75"/>
      <c r="R693" s="75"/>
    </row>
    <row r="694" spans="1:18" s="2" customFormat="1" ht="14.4">
      <c r="A694" s="9">
        <f t="shared" si="45"/>
        <v>641</v>
      </c>
      <c r="B694" s="17" t="s">
        <v>919</v>
      </c>
      <c r="C694" s="17" t="s">
        <v>920</v>
      </c>
      <c r="D694" s="9" t="s">
        <v>5</v>
      </c>
      <c r="E694" s="9" t="s">
        <v>6</v>
      </c>
      <c r="F694" s="18">
        <v>1</v>
      </c>
      <c r="G694" s="19">
        <f>789.2</f>
        <v>789.2</v>
      </c>
      <c r="H694" s="32">
        <v>2</v>
      </c>
      <c r="I694" s="25">
        <f t="shared" si="43"/>
        <v>1578.4</v>
      </c>
      <c r="J694" s="74"/>
      <c r="K694" s="75"/>
      <c r="L694" s="75"/>
      <c r="M694" s="75"/>
      <c r="N694" s="76"/>
      <c r="O694" s="75"/>
      <c r="P694" s="75"/>
      <c r="Q694" s="75"/>
      <c r="R694" s="75"/>
    </row>
    <row r="695" spans="1:18" s="2" customFormat="1" ht="26.4">
      <c r="A695" s="9">
        <f t="shared" si="45"/>
        <v>642</v>
      </c>
      <c r="B695" s="17" t="s">
        <v>902</v>
      </c>
      <c r="C695" s="17" t="s">
        <v>903</v>
      </c>
      <c r="D695" s="9" t="s">
        <v>890</v>
      </c>
      <c r="E695" s="9" t="s">
        <v>65</v>
      </c>
      <c r="F695" s="18">
        <v>1</v>
      </c>
      <c r="G695" s="19">
        <f>1.633198857*227.58</f>
        <v>371.68339587606005</v>
      </c>
      <c r="H695" s="32">
        <v>2</v>
      </c>
      <c r="I695" s="25">
        <f t="shared" si="43"/>
        <v>743.36679175212009</v>
      </c>
      <c r="J695" s="74"/>
      <c r="K695" s="75"/>
      <c r="L695" s="75"/>
      <c r="M695" s="75"/>
      <c r="N695" s="76"/>
      <c r="O695" s="75"/>
      <c r="P695" s="75"/>
      <c r="Q695" s="75"/>
      <c r="R695" s="75"/>
    </row>
    <row r="696" spans="1:18" s="2" customFormat="1" ht="21.75" customHeight="1">
      <c r="A696" s="9">
        <f t="shared" si="45"/>
        <v>643</v>
      </c>
      <c r="B696" s="17" t="s">
        <v>921</v>
      </c>
      <c r="C696" s="17" t="s">
        <v>922</v>
      </c>
      <c r="D696" s="9" t="s">
        <v>5</v>
      </c>
      <c r="E696" s="9" t="s">
        <v>6</v>
      </c>
      <c r="F696" s="18">
        <v>1</v>
      </c>
      <c r="G696" s="19">
        <f>789.2</f>
        <v>789.2</v>
      </c>
      <c r="H696" s="32">
        <v>2</v>
      </c>
      <c r="I696" s="25">
        <f t="shared" si="43"/>
        <v>1578.4</v>
      </c>
      <c r="J696" s="74"/>
      <c r="K696" s="75"/>
      <c r="L696" s="75"/>
      <c r="M696" s="75"/>
      <c r="N696" s="76"/>
      <c r="O696" s="75"/>
      <c r="P696" s="75"/>
      <c r="Q696" s="75"/>
      <c r="R696" s="75"/>
    </row>
    <row r="697" spans="1:18" s="2" customFormat="1" ht="14.4">
      <c r="A697" s="9">
        <f t="shared" si="45"/>
        <v>644</v>
      </c>
      <c r="B697" s="17" t="s">
        <v>846</v>
      </c>
      <c r="C697" s="17" t="s">
        <v>847</v>
      </c>
      <c r="D697" s="9" t="s">
        <v>5</v>
      </c>
      <c r="E697" s="9" t="s">
        <v>6</v>
      </c>
      <c r="F697" s="18">
        <v>1</v>
      </c>
      <c r="G697" s="19">
        <f>1.633198857*227.58</f>
        <v>371.68339587606005</v>
      </c>
      <c r="H697" s="32">
        <v>40</v>
      </c>
      <c r="I697" s="25">
        <f t="shared" si="43"/>
        <v>14867.335835042402</v>
      </c>
      <c r="J697" s="74"/>
      <c r="K697" s="75"/>
      <c r="L697" s="75"/>
      <c r="M697" s="75"/>
      <c r="N697" s="76"/>
      <c r="O697" s="75"/>
      <c r="P697" s="75"/>
      <c r="Q697" s="75"/>
      <c r="R697" s="75"/>
    </row>
    <row r="698" spans="1:18" s="2" customFormat="1" ht="14.4">
      <c r="A698" s="9">
        <f t="shared" si="45"/>
        <v>645</v>
      </c>
      <c r="B698" s="17" t="s">
        <v>932</v>
      </c>
      <c r="C698" s="17" t="s">
        <v>933</v>
      </c>
      <c r="D698" s="9" t="s">
        <v>5</v>
      </c>
      <c r="E698" s="9" t="s">
        <v>6</v>
      </c>
      <c r="F698" s="18">
        <v>1</v>
      </c>
      <c r="G698" s="19">
        <f>789.2</f>
        <v>789.2</v>
      </c>
      <c r="H698" s="32">
        <v>40</v>
      </c>
      <c r="I698" s="25">
        <f t="shared" si="43"/>
        <v>31568</v>
      </c>
      <c r="J698" s="74"/>
      <c r="K698" s="75"/>
      <c r="L698" s="75"/>
      <c r="M698" s="75"/>
      <c r="N698" s="76"/>
      <c r="O698" s="75"/>
      <c r="P698" s="75"/>
      <c r="Q698" s="75"/>
      <c r="R698" s="75"/>
    </row>
    <row r="699" spans="1:18" s="2" customFormat="1" ht="26.4">
      <c r="A699" s="9">
        <f t="shared" si="45"/>
        <v>646</v>
      </c>
      <c r="B699" s="17" t="s">
        <v>902</v>
      </c>
      <c r="C699" s="17" t="s">
        <v>903</v>
      </c>
      <c r="D699" s="9" t="s">
        <v>890</v>
      </c>
      <c r="E699" s="9" t="s">
        <v>65</v>
      </c>
      <c r="F699" s="18">
        <v>1</v>
      </c>
      <c r="G699" s="19">
        <f>1.633198857*227.58</f>
        <v>371.68339587606005</v>
      </c>
      <c r="H699" s="32">
        <v>40</v>
      </c>
      <c r="I699" s="25">
        <f t="shared" si="43"/>
        <v>14867.335835042402</v>
      </c>
      <c r="J699" s="74"/>
      <c r="K699" s="75"/>
      <c r="L699" s="75"/>
      <c r="M699" s="75"/>
      <c r="N699" s="76"/>
      <c r="O699" s="75"/>
      <c r="P699" s="75"/>
      <c r="Q699" s="75"/>
      <c r="R699" s="75"/>
    </row>
    <row r="700" spans="1:18" s="2" customFormat="1" ht="26.4">
      <c r="A700" s="9">
        <f t="shared" si="45"/>
        <v>647</v>
      </c>
      <c r="B700" s="17" t="s">
        <v>934</v>
      </c>
      <c r="C700" s="17" t="s">
        <v>935</v>
      </c>
      <c r="D700" s="9" t="s">
        <v>5</v>
      </c>
      <c r="E700" s="9" t="s">
        <v>6</v>
      </c>
      <c r="F700" s="18">
        <v>1</v>
      </c>
      <c r="G700" s="19">
        <f>789.2</f>
        <v>789.2</v>
      </c>
      <c r="H700" s="32">
        <v>40</v>
      </c>
      <c r="I700" s="25">
        <f t="shared" si="43"/>
        <v>31568</v>
      </c>
      <c r="J700" s="74"/>
      <c r="K700" s="75"/>
      <c r="L700" s="75"/>
      <c r="M700" s="75"/>
      <c r="N700" s="76"/>
      <c r="O700" s="75"/>
      <c r="P700" s="75"/>
      <c r="Q700" s="75"/>
      <c r="R700" s="75"/>
    </row>
    <row r="701" spans="1:18" s="2" customFormat="1" ht="26.4">
      <c r="A701" s="9">
        <f t="shared" si="45"/>
        <v>648</v>
      </c>
      <c r="B701" s="17" t="s">
        <v>856</v>
      </c>
      <c r="C701" s="17" t="s">
        <v>940</v>
      </c>
      <c r="D701" s="20" t="s">
        <v>858</v>
      </c>
      <c r="E701" s="20" t="s">
        <v>64</v>
      </c>
      <c r="F701" s="18">
        <v>1</v>
      </c>
      <c r="G701" s="19">
        <f>1.633198857*905.17</f>
        <v>1478.3226093906899</v>
      </c>
      <c r="H701" s="32">
        <v>2</v>
      </c>
      <c r="I701" s="25">
        <f t="shared" si="43"/>
        <v>2956.6452187813798</v>
      </c>
      <c r="J701" s="40"/>
      <c r="K701" s="39"/>
      <c r="L701" s="39"/>
      <c r="M701" s="39"/>
      <c r="N701" s="23"/>
      <c r="O701" s="39"/>
      <c r="P701" s="39"/>
      <c r="Q701" s="39"/>
      <c r="R701" s="39"/>
    </row>
    <row r="702" spans="1:18" s="2" customFormat="1" ht="27">
      <c r="A702" s="9">
        <f t="shared" si="45"/>
        <v>649</v>
      </c>
      <c r="B702" s="72" t="s">
        <v>962</v>
      </c>
      <c r="C702" s="72" t="s">
        <v>857</v>
      </c>
      <c r="D702" s="9" t="s">
        <v>858</v>
      </c>
      <c r="E702" s="9" t="s">
        <v>64</v>
      </c>
      <c r="F702" s="18">
        <v>1</v>
      </c>
      <c r="G702" s="19">
        <f>1.633198857*905.17</f>
        <v>1478.3226093906899</v>
      </c>
      <c r="H702" s="32">
        <v>1</v>
      </c>
      <c r="I702" s="25">
        <f t="shared" si="43"/>
        <v>1478.3226093906899</v>
      </c>
      <c r="J702" s="74"/>
      <c r="K702" s="75"/>
      <c r="L702" s="75"/>
      <c r="M702" s="75"/>
      <c r="N702" s="76"/>
      <c r="O702" s="75"/>
      <c r="P702" s="75"/>
      <c r="Q702" s="75"/>
      <c r="R702" s="75"/>
    </row>
    <row r="703" spans="1:18" s="2" customFormat="1" ht="27">
      <c r="A703" s="9">
        <f t="shared" si="45"/>
        <v>650</v>
      </c>
      <c r="B703" s="73" t="s">
        <v>963</v>
      </c>
      <c r="C703" s="73" t="s">
        <v>964</v>
      </c>
      <c r="D703" s="9" t="s">
        <v>5</v>
      </c>
      <c r="E703" s="9" t="s">
        <v>6</v>
      </c>
      <c r="F703" s="18">
        <v>1</v>
      </c>
      <c r="G703" s="19">
        <f>10892.63</f>
        <v>10892.63</v>
      </c>
      <c r="H703" s="32">
        <v>1</v>
      </c>
      <c r="I703" s="25">
        <f t="shared" si="43"/>
        <v>10892.63</v>
      </c>
      <c r="J703" s="74"/>
      <c r="K703" s="75"/>
      <c r="L703" s="75"/>
      <c r="M703" s="75"/>
      <c r="N703" s="76"/>
      <c r="O703" s="75"/>
      <c r="P703" s="75"/>
      <c r="Q703" s="75"/>
      <c r="R703" s="75"/>
    </row>
    <row r="704" spans="1:18" s="2" customFormat="1" ht="27">
      <c r="A704" s="9">
        <f t="shared" si="45"/>
        <v>651</v>
      </c>
      <c r="B704" s="73" t="s">
        <v>965</v>
      </c>
      <c r="C704" s="73" t="s">
        <v>966</v>
      </c>
      <c r="D704" s="9" t="s">
        <v>5</v>
      </c>
      <c r="E704" s="9" t="s">
        <v>6</v>
      </c>
      <c r="F704" s="18">
        <v>1</v>
      </c>
      <c r="G704" s="19">
        <f>10288.28</f>
        <v>10288.280000000001</v>
      </c>
      <c r="H704" s="32">
        <v>2</v>
      </c>
      <c r="I704" s="25">
        <f t="shared" si="43"/>
        <v>20576.560000000001</v>
      </c>
      <c r="J704" s="74"/>
      <c r="K704" s="75"/>
      <c r="L704" s="75"/>
      <c r="M704" s="75"/>
      <c r="N704" s="76"/>
      <c r="O704" s="75"/>
      <c r="P704" s="75"/>
      <c r="Q704" s="75"/>
      <c r="R704" s="75"/>
    </row>
    <row r="705" spans="1:18" s="2" customFormat="1" ht="39.6">
      <c r="A705" s="9">
        <f t="shared" si="45"/>
        <v>652</v>
      </c>
      <c r="B705" s="17" t="s">
        <v>861</v>
      </c>
      <c r="C705" s="17" t="s">
        <v>908</v>
      </c>
      <c r="D705" s="9" t="s">
        <v>8</v>
      </c>
      <c r="E705" s="20" t="s">
        <v>9</v>
      </c>
      <c r="F705" s="18">
        <v>1</v>
      </c>
      <c r="G705" s="19">
        <f>1.633198857*1072.33</f>
        <v>1751.32813032681</v>
      </c>
      <c r="H705" s="32">
        <v>59.84</v>
      </c>
      <c r="I705" s="25">
        <f t="shared" si="43"/>
        <v>104799.47531875632</v>
      </c>
      <c r="J705" s="40"/>
      <c r="K705" s="39"/>
      <c r="L705" s="39"/>
      <c r="M705" s="39"/>
      <c r="N705" s="23"/>
      <c r="O705" s="39"/>
      <c r="P705" s="39"/>
      <c r="Q705" s="39"/>
      <c r="R705" s="39"/>
    </row>
    <row r="706" spans="1:18" s="2" customFormat="1" ht="39.6">
      <c r="A706" s="9">
        <f t="shared" si="45"/>
        <v>653</v>
      </c>
      <c r="B706" s="17" t="s">
        <v>865</v>
      </c>
      <c r="C706" s="17" t="s">
        <v>866</v>
      </c>
      <c r="D706" s="9" t="s">
        <v>8</v>
      </c>
      <c r="E706" s="20" t="s">
        <v>9</v>
      </c>
      <c r="F706" s="18">
        <v>1</v>
      </c>
      <c r="G706" s="19">
        <f>1.633198857*1014.12</f>
        <v>1656.2596248608399</v>
      </c>
      <c r="H706" s="32">
        <v>189.15</v>
      </c>
      <c r="I706" s="25">
        <f t="shared" si="43"/>
        <v>313281.50804242789</v>
      </c>
      <c r="J706" s="40"/>
      <c r="K706" s="39"/>
      <c r="L706" s="39"/>
      <c r="M706" s="39"/>
      <c r="N706" s="23"/>
      <c r="O706" s="39"/>
      <c r="P706" s="39"/>
      <c r="Q706" s="39"/>
      <c r="R706" s="39"/>
    </row>
    <row r="707" spans="1:18" s="2" customFormat="1" ht="39.6">
      <c r="A707" s="9">
        <f t="shared" si="45"/>
        <v>654</v>
      </c>
      <c r="B707" s="17" t="s">
        <v>867</v>
      </c>
      <c r="C707" s="17" t="s">
        <v>868</v>
      </c>
      <c r="D707" s="9" t="s">
        <v>8</v>
      </c>
      <c r="E707" s="20" t="s">
        <v>9</v>
      </c>
      <c r="F707" s="18">
        <v>1</v>
      </c>
      <c r="G707" s="19">
        <f>1.633198857*948.7</f>
        <v>1549.4157556359</v>
      </c>
      <c r="H707" s="32">
        <v>27.6</v>
      </c>
      <c r="I707" s="25">
        <f t="shared" si="43"/>
        <v>42763.874855550843</v>
      </c>
      <c r="J707" s="40"/>
      <c r="K707" s="39"/>
      <c r="L707" s="39"/>
      <c r="M707" s="39"/>
      <c r="N707" s="23"/>
      <c r="O707" s="39"/>
      <c r="P707" s="39"/>
      <c r="Q707" s="39"/>
      <c r="R707" s="39"/>
    </row>
    <row r="708" spans="1:18" s="2" customFormat="1" ht="39.6">
      <c r="A708" s="9">
        <f t="shared" si="45"/>
        <v>655</v>
      </c>
      <c r="B708" s="17" t="s">
        <v>867</v>
      </c>
      <c r="C708" s="17" t="s">
        <v>967</v>
      </c>
      <c r="D708" s="9" t="s">
        <v>8</v>
      </c>
      <c r="E708" s="20" t="s">
        <v>9</v>
      </c>
      <c r="F708" s="18">
        <v>1</v>
      </c>
      <c r="G708" s="19">
        <f>1.633198857*948.7</f>
        <v>1549.4157556359</v>
      </c>
      <c r="H708" s="32">
        <v>19.739999999999998</v>
      </c>
      <c r="I708" s="25">
        <f t="shared" si="43"/>
        <v>30585.467016252664</v>
      </c>
      <c r="J708" s="40"/>
      <c r="K708" s="39"/>
      <c r="L708" s="39"/>
      <c r="M708" s="39"/>
      <c r="N708" s="23"/>
      <c r="O708" s="39"/>
      <c r="P708" s="39"/>
      <c r="Q708" s="39"/>
      <c r="R708" s="39"/>
    </row>
    <row r="709" spans="1:18" s="2" customFormat="1" ht="14.4">
      <c r="A709" s="9">
        <f t="shared" si="45"/>
        <v>656</v>
      </c>
      <c r="B709" s="72" t="s">
        <v>968</v>
      </c>
      <c r="C709" s="72" t="s">
        <v>969</v>
      </c>
      <c r="D709" s="9" t="s">
        <v>5</v>
      </c>
      <c r="E709" s="9" t="s">
        <v>6</v>
      </c>
      <c r="F709" s="18">
        <v>1</v>
      </c>
      <c r="G709" s="19">
        <f>287.03</f>
        <v>287.02999999999997</v>
      </c>
      <c r="H709" s="32">
        <v>42</v>
      </c>
      <c r="I709" s="25">
        <f t="shared" si="43"/>
        <v>12055.259999999998</v>
      </c>
      <c r="J709" s="74"/>
      <c r="K709" s="75"/>
      <c r="L709" s="75"/>
      <c r="M709" s="75"/>
      <c r="N709" s="76"/>
      <c r="O709" s="75"/>
      <c r="P709" s="75"/>
      <c r="Q709" s="75"/>
      <c r="R709" s="75"/>
    </row>
    <row r="710" spans="1:18" s="2" customFormat="1" ht="26.4">
      <c r="A710" s="9">
        <f t="shared" si="45"/>
        <v>657</v>
      </c>
      <c r="B710" s="17" t="s">
        <v>879</v>
      </c>
      <c r="C710" s="17" t="s">
        <v>880</v>
      </c>
      <c r="D710" s="9" t="s">
        <v>44</v>
      </c>
      <c r="E710" s="9" t="s">
        <v>45</v>
      </c>
      <c r="F710" s="18">
        <v>1</v>
      </c>
      <c r="G710" s="19">
        <f>34.17</f>
        <v>34.17</v>
      </c>
      <c r="H710" s="32">
        <v>60</v>
      </c>
      <c r="I710" s="25">
        <f t="shared" si="43"/>
        <v>2050.2000000000003</v>
      </c>
      <c r="J710" s="40"/>
      <c r="K710" s="39"/>
      <c r="L710" s="39"/>
      <c r="M710" s="39"/>
      <c r="N710" s="23"/>
      <c r="O710" s="39"/>
      <c r="P710" s="39"/>
      <c r="Q710" s="39"/>
      <c r="R710" s="39"/>
    </row>
    <row r="711" spans="1:18" s="2" customFormat="1" ht="39.6">
      <c r="A711" s="9">
        <f t="shared" si="45"/>
        <v>658</v>
      </c>
      <c r="B711" s="17" t="s">
        <v>892</v>
      </c>
      <c r="C711" s="17" t="s">
        <v>893</v>
      </c>
      <c r="D711" s="9" t="s">
        <v>8</v>
      </c>
      <c r="E711" s="9" t="s">
        <v>9</v>
      </c>
      <c r="F711" s="18">
        <v>1</v>
      </c>
      <c r="G711" s="19">
        <f>1.633198857*118.84</f>
        <v>194.08935216588</v>
      </c>
      <c r="H711" s="32">
        <v>1.05</v>
      </c>
      <c r="I711" s="25">
        <f t="shared" si="43"/>
        <v>203.79381977417401</v>
      </c>
      <c r="J711" s="40"/>
      <c r="K711" s="39"/>
      <c r="L711" s="39"/>
      <c r="M711" s="39"/>
      <c r="N711" s="23"/>
      <c r="O711" s="39"/>
      <c r="P711" s="39"/>
      <c r="Q711" s="39"/>
      <c r="R711" s="39"/>
    </row>
    <row r="712" spans="1:18" s="2" customFormat="1" ht="26.4">
      <c r="A712" s="9">
        <f t="shared" si="45"/>
        <v>659</v>
      </c>
      <c r="B712" s="17" t="s">
        <v>883</v>
      </c>
      <c r="C712" s="72" t="s">
        <v>884</v>
      </c>
      <c r="D712" s="9" t="s">
        <v>8</v>
      </c>
      <c r="E712" s="9" t="s">
        <v>9</v>
      </c>
      <c r="F712" s="18">
        <v>1</v>
      </c>
      <c r="G712" s="19">
        <f>359.12</f>
        <v>359.12</v>
      </c>
      <c r="H712" s="32">
        <v>1.05</v>
      </c>
      <c r="I712" s="25">
        <f t="shared" si="43"/>
        <v>377.07600000000002</v>
      </c>
      <c r="J712" s="74"/>
      <c r="K712" s="75"/>
      <c r="L712" s="75"/>
      <c r="M712" s="75"/>
      <c r="N712" s="76"/>
      <c r="O712" s="75"/>
      <c r="P712" s="75"/>
      <c r="Q712" s="75"/>
      <c r="R712" s="75"/>
    </row>
    <row r="713" spans="1:18" s="2" customFormat="1" ht="14.4">
      <c r="A713" s="20">
        <f t="shared" si="45"/>
        <v>660</v>
      </c>
      <c r="B713" s="17" t="s">
        <v>218</v>
      </c>
      <c r="C713" s="17" t="s">
        <v>219</v>
      </c>
      <c r="D713" s="20" t="s">
        <v>48</v>
      </c>
      <c r="E713" s="20" t="s">
        <v>49</v>
      </c>
      <c r="F713" s="18">
        <v>1</v>
      </c>
      <c r="G713" s="19"/>
      <c r="H713" s="32">
        <v>1</v>
      </c>
      <c r="I713" s="25">
        <f>SUM(I687:I712)*0.05</f>
        <v>32970.917431155183</v>
      </c>
      <c r="J713" s="40"/>
      <c r="K713" s="39"/>
      <c r="L713" s="39"/>
      <c r="M713" s="39"/>
      <c r="N713" s="23"/>
      <c r="O713" s="39"/>
      <c r="P713" s="39"/>
      <c r="Q713" s="39"/>
      <c r="R713" s="39"/>
    </row>
    <row r="714" spans="1:18" ht="14.4">
      <c r="A714" s="9" t="s">
        <v>61</v>
      </c>
      <c r="B714" s="20" t="s">
        <v>970</v>
      </c>
      <c r="C714" s="20" t="s">
        <v>971</v>
      </c>
      <c r="D714" s="9"/>
      <c r="E714" s="9"/>
      <c r="F714" s="18"/>
      <c r="G714" s="19"/>
      <c r="H714" s="18"/>
      <c r="I714" s="25"/>
      <c r="J714" s="24"/>
      <c r="K714" s="22"/>
      <c r="L714" s="22"/>
      <c r="M714" s="22"/>
      <c r="N714" s="23"/>
      <c r="O714" s="22"/>
      <c r="P714" s="22"/>
      <c r="Q714" s="22"/>
      <c r="R714" s="22"/>
    </row>
    <row r="715" spans="1:18" s="2" customFormat="1" ht="39.6">
      <c r="A715" s="20">
        <f>A713+1</f>
        <v>661</v>
      </c>
      <c r="B715" s="17" t="s">
        <v>832</v>
      </c>
      <c r="C715" s="17" t="s">
        <v>833</v>
      </c>
      <c r="D715" s="20" t="s">
        <v>834</v>
      </c>
      <c r="E715" s="20" t="s">
        <v>835</v>
      </c>
      <c r="F715" s="18">
        <v>1</v>
      </c>
      <c r="G715" s="19">
        <f>1.633198857*9561.14</f>
        <v>15615.24291961698</v>
      </c>
      <c r="H715" s="32">
        <v>1</v>
      </c>
      <c r="I715" s="25">
        <f t="shared" ref="I715:I778" si="46">G715*H715</f>
        <v>15615.24291961698</v>
      </c>
      <c r="J715" s="40"/>
      <c r="K715" s="39"/>
      <c r="L715" s="39"/>
      <c r="M715" s="39"/>
      <c r="N715" s="23"/>
      <c r="O715" s="39"/>
      <c r="P715" s="39"/>
      <c r="Q715" s="39"/>
      <c r="R715" s="39"/>
    </row>
    <row r="716" spans="1:18" s="2" customFormat="1" ht="26.4">
      <c r="A716" s="20">
        <f t="shared" ref="A716:A746" si="47">A715+1</f>
        <v>662</v>
      </c>
      <c r="B716" s="17" t="s">
        <v>898</v>
      </c>
      <c r="C716" s="17" t="s">
        <v>899</v>
      </c>
      <c r="D716" s="20" t="s">
        <v>5</v>
      </c>
      <c r="E716" s="20" t="s">
        <v>6</v>
      </c>
      <c r="F716" s="18">
        <v>1</v>
      </c>
      <c r="G716" s="19">
        <f>1.633198857*6542.75</f>
        <v>10685.61182163675</v>
      </c>
      <c r="H716" s="32">
        <v>1</v>
      </c>
      <c r="I716" s="25">
        <f t="shared" si="46"/>
        <v>10685.61182163675</v>
      </c>
      <c r="J716" s="40"/>
      <c r="K716" s="39"/>
      <c r="L716" s="39"/>
      <c r="M716" s="39"/>
      <c r="N716" s="23"/>
      <c r="O716" s="39"/>
      <c r="P716" s="39"/>
      <c r="Q716" s="39"/>
      <c r="R716" s="39"/>
    </row>
    <row r="717" spans="1:18" s="2" customFormat="1" ht="14.4">
      <c r="A717" s="20">
        <f t="shared" si="47"/>
        <v>663</v>
      </c>
      <c r="B717" s="17" t="s">
        <v>972</v>
      </c>
      <c r="C717" s="17" t="s">
        <v>973</v>
      </c>
      <c r="D717" s="20" t="s">
        <v>5</v>
      </c>
      <c r="E717" s="20" t="s">
        <v>6</v>
      </c>
      <c r="F717" s="18">
        <v>1</v>
      </c>
      <c r="G717" s="19">
        <f>1.633198857*6542.75</f>
        <v>10685.61182163675</v>
      </c>
      <c r="H717" s="32">
        <v>1</v>
      </c>
      <c r="I717" s="25">
        <f t="shared" si="46"/>
        <v>10685.61182163675</v>
      </c>
      <c r="J717" s="40"/>
      <c r="K717" s="39"/>
      <c r="L717" s="39"/>
      <c r="M717" s="39"/>
      <c r="N717" s="23"/>
      <c r="O717" s="39"/>
      <c r="P717" s="39"/>
      <c r="Q717" s="39"/>
      <c r="R717" s="39"/>
    </row>
    <row r="718" spans="1:18" s="2" customFormat="1" ht="14.4">
      <c r="A718" s="20">
        <f t="shared" si="47"/>
        <v>664</v>
      </c>
      <c r="B718" s="17" t="s">
        <v>836</v>
      </c>
      <c r="C718" s="17" t="s">
        <v>837</v>
      </c>
      <c r="D718" s="20"/>
      <c r="E718" s="20"/>
      <c r="F718" s="18"/>
      <c r="G718" s="19"/>
      <c r="H718" s="32"/>
      <c r="I718" s="25"/>
      <c r="J718" s="40"/>
      <c r="K718" s="39"/>
      <c r="L718" s="39"/>
      <c r="M718" s="39"/>
      <c r="N718" s="23"/>
      <c r="O718" s="39"/>
      <c r="P718" s="39"/>
      <c r="Q718" s="39"/>
      <c r="R718" s="39"/>
    </row>
    <row r="719" spans="1:18" s="2" customFormat="1" ht="14.4">
      <c r="A719" s="20">
        <f t="shared" si="47"/>
        <v>665</v>
      </c>
      <c r="B719" s="17" t="s">
        <v>838</v>
      </c>
      <c r="C719" s="17" t="s">
        <v>839</v>
      </c>
      <c r="D719" s="20" t="s">
        <v>48</v>
      </c>
      <c r="E719" s="20" t="s">
        <v>49</v>
      </c>
      <c r="F719" s="18">
        <v>1</v>
      </c>
      <c r="G719" s="19">
        <f>1.633198857*898.32</f>
        <v>1467.1351972202401</v>
      </c>
      <c r="H719" s="32">
        <v>1</v>
      </c>
      <c r="I719" s="25">
        <f t="shared" si="46"/>
        <v>1467.1351972202401</v>
      </c>
      <c r="J719" s="40"/>
      <c r="K719" s="39"/>
      <c r="L719" s="39"/>
      <c r="M719" s="39"/>
      <c r="N719" s="23"/>
      <c r="O719" s="39"/>
      <c r="P719" s="39"/>
      <c r="Q719" s="39"/>
      <c r="R719" s="39"/>
    </row>
    <row r="720" spans="1:18" s="2" customFormat="1" ht="14.4">
      <c r="A720" s="20">
        <f t="shared" si="47"/>
        <v>666</v>
      </c>
      <c r="B720" s="17" t="s">
        <v>840</v>
      </c>
      <c r="C720" s="17" t="s">
        <v>841</v>
      </c>
      <c r="D720" s="20" t="s">
        <v>5</v>
      </c>
      <c r="E720" s="20" t="s">
        <v>6</v>
      </c>
      <c r="F720" s="18">
        <v>1</v>
      </c>
      <c r="G720" s="19">
        <f>1.633198857*126.06</f>
        <v>205.88104791341999</v>
      </c>
      <c r="H720" s="32">
        <v>4</v>
      </c>
      <c r="I720" s="25">
        <f t="shared" si="46"/>
        <v>823.52419165367996</v>
      </c>
      <c r="J720" s="40"/>
      <c r="K720" s="39"/>
      <c r="L720" s="39"/>
      <c r="M720" s="39"/>
      <c r="N720" s="23"/>
      <c r="O720" s="39"/>
      <c r="P720" s="39"/>
      <c r="Q720" s="39"/>
      <c r="R720" s="39"/>
    </row>
    <row r="721" spans="1:18" s="2" customFormat="1" ht="14.4">
      <c r="A721" s="20">
        <f t="shared" si="47"/>
        <v>667</v>
      </c>
      <c r="B721" s="17" t="s">
        <v>842</v>
      </c>
      <c r="C721" s="17" t="s">
        <v>843</v>
      </c>
      <c r="D721" s="20" t="s">
        <v>5</v>
      </c>
      <c r="E721" s="20" t="s">
        <v>6</v>
      </c>
      <c r="F721" s="18">
        <v>1</v>
      </c>
      <c r="G721" s="19">
        <f>1.633198857*126.06</f>
        <v>205.88104791341999</v>
      </c>
      <c r="H721" s="32">
        <v>1</v>
      </c>
      <c r="I721" s="25">
        <f t="shared" si="46"/>
        <v>205.88104791341999</v>
      </c>
      <c r="J721" s="40"/>
      <c r="K721" s="39"/>
      <c r="L721" s="39"/>
      <c r="M721" s="39"/>
      <c r="N721" s="23"/>
      <c r="O721" s="39"/>
      <c r="P721" s="39"/>
      <c r="Q721" s="39"/>
      <c r="R721" s="39"/>
    </row>
    <row r="722" spans="1:18" s="2" customFormat="1" ht="14.4">
      <c r="A722" s="20">
        <f t="shared" si="47"/>
        <v>668</v>
      </c>
      <c r="B722" s="17" t="s">
        <v>844</v>
      </c>
      <c r="C722" s="17" t="s">
        <v>845</v>
      </c>
      <c r="D722" s="20" t="s">
        <v>5</v>
      </c>
      <c r="E722" s="20" t="s">
        <v>6</v>
      </c>
      <c r="F722" s="18">
        <v>1</v>
      </c>
      <c r="G722" s="19">
        <f>1.633198857*1084.71</f>
        <v>1771.5471321764701</v>
      </c>
      <c r="H722" s="32">
        <v>1</v>
      </c>
      <c r="I722" s="25">
        <f t="shared" si="46"/>
        <v>1771.5471321764701</v>
      </c>
      <c r="J722" s="40"/>
      <c r="K722" s="39"/>
      <c r="L722" s="39"/>
      <c r="M722" s="39"/>
      <c r="N722" s="23"/>
      <c r="O722" s="39"/>
      <c r="P722" s="39"/>
      <c r="Q722" s="39"/>
      <c r="R722" s="39"/>
    </row>
    <row r="723" spans="1:18" s="2" customFormat="1" ht="14.4">
      <c r="A723" s="20">
        <f t="shared" si="47"/>
        <v>669</v>
      </c>
      <c r="B723" s="17" t="s">
        <v>846</v>
      </c>
      <c r="C723" s="17" t="s">
        <v>847</v>
      </c>
      <c r="D723" s="9" t="s">
        <v>5</v>
      </c>
      <c r="E723" s="9" t="s">
        <v>6</v>
      </c>
      <c r="F723" s="18">
        <v>1</v>
      </c>
      <c r="G723" s="19">
        <f>1.633198857*898.32</f>
        <v>1467.1351972202401</v>
      </c>
      <c r="H723" s="32">
        <v>5</v>
      </c>
      <c r="I723" s="25">
        <f t="shared" si="46"/>
        <v>7335.6759861012006</v>
      </c>
      <c r="J723" s="74"/>
      <c r="K723" s="75"/>
      <c r="L723" s="75"/>
      <c r="M723" s="75"/>
      <c r="N723" s="76"/>
      <c r="O723" s="75"/>
      <c r="P723" s="75"/>
      <c r="Q723" s="75"/>
      <c r="R723" s="75"/>
    </row>
    <row r="724" spans="1:18" s="2" customFormat="1" ht="14.4">
      <c r="A724" s="20">
        <f t="shared" si="47"/>
        <v>670</v>
      </c>
      <c r="B724" s="17" t="s">
        <v>919</v>
      </c>
      <c r="C724" s="17" t="s">
        <v>920</v>
      </c>
      <c r="D724" s="9" t="s">
        <v>5</v>
      </c>
      <c r="E724" s="9" t="s">
        <v>6</v>
      </c>
      <c r="F724" s="18">
        <v>1</v>
      </c>
      <c r="G724" s="19">
        <f>1.633198857*126.06</f>
        <v>205.88104791341999</v>
      </c>
      <c r="H724" s="32">
        <v>5</v>
      </c>
      <c r="I724" s="25">
        <f t="shared" si="46"/>
        <v>1029.4052395670999</v>
      </c>
      <c r="J724" s="74"/>
      <c r="K724" s="75"/>
      <c r="L724" s="75"/>
      <c r="M724" s="75"/>
      <c r="N724" s="76"/>
      <c r="O724" s="75"/>
      <c r="P724" s="75"/>
      <c r="Q724" s="75"/>
      <c r="R724" s="75"/>
    </row>
    <row r="725" spans="1:18" s="2" customFormat="1" ht="26.4">
      <c r="A725" s="20">
        <f t="shared" si="47"/>
        <v>671</v>
      </c>
      <c r="B725" s="17" t="s">
        <v>902</v>
      </c>
      <c r="C725" s="17" t="s">
        <v>903</v>
      </c>
      <c r="D725" s="9" t="s">
        <v>890</v>
      </c>
      <c r="E725" s="9" t="s">
        <v>65</v>
      </c>
      <c r="F725" s="18">
        <v>1</v>
      </c>
      <c r="G725" s="19">
        <f>1.633198857*126.06</f>
        <v>205.88104791341999</v>
      </c>
      <c r="H725" s="32">
        <v>5</v>
      </c>
      <c r="I725" s="25">
        <f t="shared" si="46"/>
        <v>1029.4052395670999</v>
      </c>
      <c r="J725" s="74"/>
      <c r="K725" s="75"/>
      <c r="L725" s="75"/>
      <c r="M725" s="75"/>
      <c r="N725" s="76"/>
      <c r="O725" s="75"/>
      <c r="P725" s="75"/>
      <c r="Q725" s="75"/>
      <c r="R725" s="75"/>
    </row>
    <row r="726" spans="1:18" s="2" customFormat="1" ht="21.75" customHeight="1">
      <c r="A726" s="20">
        <f t="shared" si="47"/>
        <v>672</v>
      </c>
      <c r="B726" s="17" t="s">
        <v>921</v>
      </c>
      <c r="C726" s="17" t="s">
        <v>922</v>
      </c>
      <c r="D726" s="9" t="s">
        <v>5</v>
      </c>
      <c r="E726" s="9" t="s">
        <v>6</v>
      </c>
      <c r="F726" s="18">
        <v>1</v>
      </c>
      <c r="G726" s="19">
        <f>1.633198857*1084.71</f>
        <v>1771.5471321764701</v>
      </c>
      <c r="H726" s="32">
        <v>5</v>
      </c>
      <c r="I726" s="25">
        <f t="shared" si="46"/>
        <v>8857.7356608823502</v>
      </c>
      <c r="J726" s="74"/>
      <c r="K726" s="75"/>
      <c r="L726" s="75"/>
      <c r="M726" s="75"/>
      <c r="N726" s="76"/>
      <c r="O726" s="75"/>
      <c r="P726" s="75"/>
      <c r="Q726" s="75"/>
      <c r="R726" s="75"/>
    </row>
    <row r="727" spans="1:18" s="2" customFormat="1" ht="14.4">
      <c r="A727" s="20">
        <f t="shared" si="47"/>
        <v>673</v>
      </c>
      <c r="B727" s="17" t="s">
        <v>846</v>
      </c>
      <c r="C727" s="17" t="s">
        <v>847</v>
      </c>
      <c r="D727" s="9" t="s">
        <v>5</v>
      </c>
      <c r="E727" s="9" t="s">
        <v>6</v>
      </c>
      <c r="F727" s="18">
        <v>1</v>
      </c>
      <c r="G727" s="19">
        <f>1.633198857*227.58</f>
        <v>371.68339587606005</v>
      </c>
      <c r="H727" s="32">
        <v>1</v>
      </c>
      <c r="I727" s="25">
        <f t="shared" si="46"/>
        <v>371.68339587606005</v>
      </c>
      <c r="J727" s="74"/>
      <c r="K727" s="75"/>
      <c r="L727" s="75"/>
      <c r="M727" s="75"/>
      <c r="N727" s="76"/>
      <c r="O727" s="75"/>
      <c r="P727" s="75"/>
      <c r="Q727" s="75"/>
      <c r="R727" s="75"/>
    </row>
    <row r="728" spans="1:18" s="2" customFormat="1" ht="14.4">
      <c r="A728" s="20">
        <f t="shared" si="47"/>
        <v>674</v>
      </c>
      <c r="B728" s="17" t="s">
        <v>932</v>
      </c>
      <c r="C728" s="17" t="s">
        <v>933</v>
      </c>
      <c r="D728" s="9" t="s">
        <v>5</v>
      </c>
      <c r="E728" s="9" t="s">
        <v>6</v>
      </c>
      <c r="F728" s="18">
        <v>1</v>
      </c>
      <c r="G728" s="19">
        <f>789.2</f>
        <v>789.2</v>
      </c>
      <c r="H728" s="32">
        <v>1</v>
      </c>
      <c r="I728" s="25">
        <f t="shared" si="46"/>
        <v>789.2</v>
      </c>
      <c r="J728" s="74"/>
      <c r="K728" s="75"/>
      <c r="L728" s="75"/>
      <c r="M728" s="75"/>
      <c r="N728" s="76"/>
      <c r="O728" s="75"/>
      <c r="P728" s="75"/>
      <c r="Q728" s="75"/>
      <c r="R728" s="75"/>
    </row>
    <row r="729" spans="1:18" s="2" customFormat="1" ht="26.4">
      <c r="A729" s="20">
        <f t="shared" si="47"/>
        <v>675</v>
      </c>
      <c r="B729" s="17" t="s">
        <v>902</v>
      </c>
      <c r="C729" s="17" t="s">
        <v>903</v>
      </c>
      <c r="D729" s="9" t="s">
        <v>890</v>
      </c>
      <c r="E729" s="9" t="s">
        <v>65</v>
      </c>
      <c r="F729" s="18">
        <v>1</v>
      </c>
      <c r="G729" s="19">
        <f>1.633198857*227.58</f>
        <v>371.68339587606005</v>
      </c>
      <c r="H729" s="32">
        <v>1</v>
      </c>
      <c r="I729" s="25">
        <f t="shared" si="46"/>
        <v>371.68339587606005</v>
      </c>
      <c r="J729" s="74"/>
      <c r="K729" s="75"/>
      <c r="L729" s="75"/>
      <c r="M729" s="75"/>
      <c r="N729" s="76"/>
      <c r="O729" s="75"/>
      <c r="P729" s="75"/>
      <c r="Q729" s="75"/>
      <c r="R729" s="75"/>
    </row>
    <row r="730" spans="1:18" s="2" customFormat="1" ht="26.4">
      <c r="A730" s="20">
        <f t="shared" si="47"/>
        <v>676</v>
      </c>
      <c r="B730" s="17" t="s">
        <v>934</v>
      </c>
      <c r="C730" s="17" t="s">
        <v>935</v>
      </c>
      <c r="D730" s="9" t="s">
        <v>5</v>
      </c>
      <c r="E730" s="9" t="s">
        <v>6</v>
      </c>
      <c r="F730" s="18">
        <v>1</v>
      </c>
      <c r="G730" s="19">
        <f>789.2</f>
        <v>789.2</v>
      </c>
      <c r="H730" s="32">
        <v>1</v>
      </c>
      <c r="I730" s="25">
        <f t="shared" si="46"/>
        <v>789.2</v>
      </c>
      <c r="J730" s="74"/>
      <c r="K730" s="75"/>
      <c r="L730" s="75"/>
      <c r="M730" s="75"/>
      <c r="N730" s="76"/>
      <c r="O730" s="75"/>
      <c r="P730" s="75"/>
      <c r="Q730" s="75"/>
      <c r="R730" s="75"/>
    </row>
    <row r="731" spans="1:18" s="2" customFormat="1" ht="14.4">
      <c r="A731" s="20">
        <f t="shared" si="47"/>
        <v>677</v>
      </c>
      <c r="B731" s="17" t="s">
        <v>974</v>
      </c>
      <c r="C731" s="17" t="s">
        <v>975</v>
      </c>
      <c r="D731" s="20" t="s">
        <v>890</v>
      </c>
      <c r="E731" s="20" t="s">
        <v>65</v>
      </c>
      <c r="F731" s="18">
        <v>1</v>
      </c>
      <c r="G731" s="19">
        <f>1.633198857*282.99</f>
        <v>462.17894454243003</v>
      </c>
      <c r="H731" s="32">
        <v>4</v>
      </c>
      <c r="I731" s="25">
        <f t="shared" si="46"/>
        <v>1848.7157781697201</v>
      </c>
      <c r="J731" s="40"/>
      <c r="K731" s="39"/>
      <c r="L731" s="39"/>
      <c r="M731" s="39"/>
      <c r="N731" s="23"/>
      <c r="O731" s="39"/>
      <c r="P731" s="39"/>
      <c r="Q731" s="39"/>
      <c r="R731" s="39"/>
    </row>
    <row r="732" spans="1:18" s="2" customFormat="1" ht="14.4">
      <c r="A732" s="20">
        <f t="shared" si="47"/>
        <v>678</v>
      </c>
      <c r="B732" s="17" t="s">
        <v>976</v>
      </c>
      <c r="C732" s="17" t="s">
        <v>977</v>
      </c>
      <c r="D732" s="20" t="s">
        <v>5</v>
      </c>
      <c r="E732" s="20" t="s">
        <v>6</v>
      </c>
      <c r="F732" s="18">
        <v>1</v>
      </c>
      <c r="G732" s="19">
        <f>483.2</f>
        <v>483.2</v>
      </c>
      <c r="H732" s="32">
        <v>4</v>
      </c>
      <c r="I732" s="25">
        <f t="shared" si="46"/>
        <v>1932.8</v>
      </c>
      <c r="J732" s="40"/>
      <c r="K732" s="39"/>
      <c r="L732" s="39"/>
      <c r="M732" s="39"/>
      <c r="N732" s="23"/>
      <c r="O732" s="39"/>
      <c r="P732" s="39"/>
      <c r="Q732" s="39"/>
      <c r="R732" s="39"/>
    </row>
    <row r="733" spans="1:18" s="2" customFormat="1" ht="14.4">
      <c r="A733" s="20">
        <f t="shared" si="47"/>
        <v>679</v>
      </c>
      <c r="B733" s="17" t="s">
        <v>978</v>
      </c>
      <c r="C733" s="17" t="s">
        <v>979</v>
      </c>
      <c r="D733" s="20" t="s">
        <v>5</v>
      </c>
      <c r="E733" s="20" t="s">
        <v>6</v>
      </c>
      <c r="F733" s="18">
        <v>1</v>
      </c>
      <c r="G733" s="19">
        <v>371</v>
      </c>
      <c r="H733" s="32">
        <v>2</v>
      </c>
      <c r="I733" s="25">
        <f t="shared" si="46"/>
        <v>742</v>
      </c>
      <c r="J733" s="40"/>
      <c r="K733" s="39"/>
      <c r="L733" s="39"/>
      <c r="M733" s="39"/>
      <c r="N733" s="23"/>
      <c r="O733" s="39"/>
      <c r="P733" s="39"/>
      <c r="Q733" s="39"/>
      <c r="R733" s="39"/>
    </row>
    <row r="734" spans="1:18" s="2" customFormat="1" ht="26.4">
      <c r="A734" s="20">
        <f t="shared" si="47"/>
        <v>680</v>
      </c>
      <c r="B734" s="17" t="s">
        <v>980</v>
      </c>
      <c r="C734" s="17" t="s">
        <v>981</v>
      </c>
      <c r="D734" s="20" t="s">
        <v>5</v>
      </c>
      <c r="E734" s="20" t="s">
        <v>6</v>
      </c>
      <c r="F734" s="18">
        <v>1</v>
      </c>
      <c r="G734" s="19">
        <f>946</f>
        <v>946</v>
      </c>
      <c r="H734" s="32">
        <v>2</v>
      </c>
      <c r="I734" s="25">
        <f t="shared" si="46"/>
        <v>1892</v>
      </c>
      <c r="J734" s="40"/>
      <c r="K734" s="39"/>
      <c r="L734" s="39"/>
      <c r="M734" s="39"/>
      <c r="N734" s="23"/>
      <c r="O734" s="39"/>
      <c r="P734" s="39"/>
      <c r="Q734" s="39"/>
      <c r="R734" s="39"/>
    </row>
    <row r="735" spans="1:18" s="2" customFormat="1" ht="26.4">
      <c r="A735" s="20">
        <f t="shared" si="47"/>
        <v>681</v>
      </c>
      <c r="B735" s="17" t="s">
        <v>856</v>
      </c>
      <c r="C735" s="17" t="s">
        <v>940</v>
      </c>
      <c r="D735" s="20" t="s">
        <v>858</v>
      </c>
      <c r="E735" s="20" t="s">
        <v>64</v>
      </c>
      <c r="F735" s="18">
        <v>1</v>
      </c>
      <c r="G735" s="19">
        <f>1.633198857*905.17</f>
        <v>1478.3226093906899</v>
      </c>
      <c r="H735" s="32">
        <v>1</v>
      </c>
      <c r="I735" s="25">
        <f t="shared" si="46"/>
        <v>1478.3226093906899</v>
      </c>
      <c r="J735" s="40"/>
      <c r="K735" s="39"/>
      <c r="L735" s="39"/>
      <c r="M735" s="39"/>
      <c r="N735" s="23"/>
      <c r="O735" s="39"/>
      <c r="P735" s="39"/>
      <c r="Q735" s="39"/>
      <c r="R735" s="39"/>
    </row>
    <row r="736" spans="1:18" s="2" customFormat="1" ht="26.4">
      <c r="A736" s="20">
        <f t="shared" si="47"/>
        <v>682</v>
      </c>
      <c r="B736" s="17" t="s">
        <v>982</v>
      </c>
      <c r="C736" s="17" t="s">
        <v>983</v>
      </c>
      <c r="D736" s="20" t="s">
        <v>5</v>
      </c>
      <c r="E736" s="20" t="s">
        <v>6</v>
      </c>
      <c r="F736" s="18">
        <v>1</v>
      </c>
      <c r="G736" s="19">
        <f>10892.63</f>
        <v>10892.63</v>
      </c>
      <c r="H736" s="32">
        <v>1</v>
      </c>
      <c r="I736" s="25">
        <f t="shared" si="46"/>
        <v>10892.63</v>
      </c>
      <c r="J736" s="40"/>
      <c r="K736" s="39"/>
      <c r="L736" s="39"/>
      <c r="M736" s="39"/>
      <c r="N736" s="23"/>
      <c r="O736" s="39"/>
      <c r="P736" s="39"/>
      <c r="Q736" s="39"/>
      <c r="R736" s="39"/>
    </row>
    <row r="737" spans="1:18" s="2" customFormat="1" ht="39.6">
      <c r="A737" s="20">
        <f t="shared" si="47"/>
        <v>683</v>
      </c>
      <c r="B737" s="17" t="s">
        <v>861</v>
      </c>
      <c r="C737" s="17" t="s">
        <v>908</v>
      </c>
      <c r="D737" s="9" t="s">
        <v>8</v>
      </c>
      <c r="E737" s="20" t="s">
        <v>9</v>
      </c>
      <c r="F737" s="18">
        <v>1</v>
      </c>
      <c r="G737" s="19">
        <f>1.633198857*1065.76</f>
        <v>1740.59801383632</v>
      </c>
      <c r="H737" s="32">
        <v>56.69</v>
      </c>
      <c r="I737" s="25">
        <f t="shared" si="46"/>
        <v>98674.501404380979</v>
      </c>
      <c r="J737" s="40"/>
      <c r="K737" s="39"/>
      <c r="L737" s="39"/>
      <c r="M737" s="39"/>
      <c r="N737" s="23"/>
      <c r="O737" s="39"/>
      <c r="P737" s="39"/>
      <c r="Q737" s="39"/>
      <c r="R737" s="39"/>
    </row>
    <row r="738" spans="1:18" s="2" customFormat="1" ht="39.6">
      <c r="A738" s="20">
        <f t="shared" si="47"/>
        <v>684</v>
      </c>
      <c r="B738" s="17" t="s">
        <v>865</v>
      </c>
      <c r="C738" s="17" t="s">
        <v>866</v>
      </c>
      <c r="D738" s="9" t="s">
        <v>8</v>
      </c>
      <c r="E738" s="20" t="s">
        <v>9</v>
      </c>
      <c r="F738" s="18">
        <v>1</v>
      </c>
      <c r="G738" s="19">
        <f>1.633198857*1014.12</f>
        <v>1656.2596248608399</v>
      </c>
      <c r="H738" s="32">
        <v>6</v>
      </c>
      <c r="I738" s="25">
        <f t="shared" si="46"/>
        <v>9937.5577491650401</v>
      </c>
      <c r="J738" s="40"/>
      <c r="K738" s="39"/>
      <c r="L738" s="39"/>
      <c r="M738" s="39"/>
      <c r="N738" s="23"/>
      <c r="O738" s="39"/>
      <c r="P738" s="39"/>
      <c r="Q738" s="39"/>
      <c r="R738" s="39"/>
    </row>
    <row r="739" spans="1:18" s="2" customFormat="1" ht="14.4">
      <c r="A739" s="20">
        <f t="shared" si="47"/>
        <v>685</v>
      </c>
      <c r="B739" s="17" t="s">
        <v>984</v>
      </c>
      <c r="C739" s="17" t="s">
        <v>985</v>
      </c>
      <c r="D739" s="20" t="s">
        <v>5</v>
      </c>
      <c r="E739" s="20" t="s">
        <v>6</v>
      </c>
      <c r="F739" s="18">
        <v>1</v>
      </c>
      <c r="G739" s="19">
        <f>253.6</f>
        <v>253.6</v>
      </c>
      <c r="H739" s="32">
        <v>5</v>
      </c>
      <c r="I739" s="25">
        <f t="shared" si="46"/>
        <v>1268</v>
      </c>
      <c r="J739" s="40"/>
      <c r="K739" s="39"/>
      <c r="L739" s="39"/>
      <c r="M739" s="39"/>
      <c r="N739" s="23"/>
      <c r="O739" s="39"/>
      <c r="P739" s="39"/>
      <c r="Q739" s="39"/>
      <c r="R739" s="39"/>
    </row>
    <row r="740" spans="1:18" s="2" customFormat="1" ht="14.4">
      <c r="A740" s="20">
        <f t="shared" si="47"/>
        <v>686</v>
      </c>
      <c r="B740" s="17" t="s">
        <v>986</v>
      </c>
      <c r="C740" s="17" t="s">
        <v>987</v>
      </c>
      <c r="D740" s="20" t="s">
        <v>5</v>
      </c>
      <c r="E740" s="20" t="s">
        <v>6</v>
      </c>
      <c r="F740" s="18">
        <v>1</v>
      </c>
      <c r="G740" s="19">
        <v>352.08</v>
      </c>
      <c r="H740" s="32">
        <v>1</v>
      </c>
      <c r="I740" s="25">
        <f t="shared" si="46"/>
        <v>352.08</v>
      </c>
      <c r="J740" s="40"/>
      <c r="K740" s="39"/>
      <c r="L740" s="39"/>
      <c r="M740" s="39"/>
      <c r="N740" s="23"/>
      <c r="O740" s="39"/>
      <c r="P740" s="39"/>
      <c r="Q740" s="39"/>
      <c r="R740" s="39"/>
    </row>
    <row r="741" spans="1:18" s="2" customFormat="1" ht="14.4">
      <c r="A741" s="20">
        <f t="shared" si="47"/>
        <v>687</v>
      </c>
      <c r="B741" s="17" t="s">
        <v>988</v>
      </c>
      <c r="C741" s="17" t="s">
        <v>989</v>
      </c>
      <c r="D741" s="9" t="s">
        <v>8</v>
      </c>
      <c r="E741" s="20" t="s">
        <v>9</v>
      </c>
      <c r="F741" s="18">
        <v>1</v>
      </c>
      <c r="G741" s="19">
        <f>1.633198857*1188.53</f>
        <v>1941.10583751021</v>
      </c>
      <c r="H741" s="32">
        <v>0.79</v>
      </c>
      <c r="I741" s="25">
        <f t="shared" si="46"/>
        <v>1533.473611633066</v>
      </c>
      <c r="J741" s="40"/>
      <c r="K741" s="39"/>
      <c r="L741" s="39"/>
      <c r="M741" s="39"/>
      <c r="N741" s="23"/>
      <c r="O741" s="39"/>
      <c r="P741" s="39"/>
      <c r="Q741" s="39"/>
      <c r="R741" s="39"/>
    </row>
    <row r="742" spans="1:18" s="2" customFormat="1" ht="14.4">
      <c r="A742" s="20">
        <f t="shared" si="47"/>
        <v>688</v>
      </c>
      <c r="B742" s="17" t="s">
        <v>990</v>
      </c>
      <c r="C742" s="17" t="s">
        <v>991</v>
      </c>
      <c r="D742" s="9" t="s">
        <v>8</v>
      </c>
      <c r="E742" s="20" t="s">
        <v>9</v>
      </c>
      <c r="F742" s="18">
        <v>1</v>
      </c>
      <c r="G742" s="19">
        <f>1.633198857*1188.53</f>
        <v>1941.10583751021</v>
      </c>
      <c r="H742" s="32">
        <v>0.25</v>
      </c>
      <c r="I742" s="25">
        <f t="shared" si="46"/>
        <v>485.2764593775525</v>
      </c>
      <c r="J742" s="40"/>
      <c r="K742" s="39"/>
      <c r="L742" s="39"/>
      <c r="M742" s="39"/>
      <c r="N742" s="23"/>
      <c r="O742" s="39"/>
      <c r="P742" s="39"/>
      <c r="Q742" s="39"/>
      <c r="R742" s="39"/>
    </row>
    <row r="743" spans="1:18" s="2" customFormat="1" ht="26.4">
      <c r="A743" s="20">
        <f t="shared" si="47"/>
        <v>689</v>
      </c>
      <c r="B743" s="17" t="s">
        <v>879</v>
      </c>
      <c r="C743" s="17" t="s">
        <v>880</v>
      </c>
      <c r="D743" s="9" t="s">
        <v>44</v>
      </c>
      <c r="E743" s="20" t="s">
        <v>45</v>
      </c>
      <c r="F743" s="18">
        <v>1</v>
      </c>
      <c r="G743" s="19">
        <f>34.47</f>
        <v>34.47</v>
      </c>
      <c r="H743" s="32">
        <v>60</v>
      </c>
      <c r="I743" s="25">
        <f t="shared" si="46"/>
        <v>2068.1999999999998</v>
      </c>
      <c r="J743" s="40"/>
      <c r="K743" s="39"/>
      <c r="L743" s="39"/>
      <c r="M743" s="39"/>
      <c r="N743" s="23"/>
      <c r="O743" s="39"/>
      <c r="P743" s="39"/>
      <c r="Q743" s="39"/>
      <c r="R743" s="39"/>
    </row>
    <row r="744" spans="1:18" s="2" customFormat="1" ht="39.6">
      <c r="A744" s="20">
        <f t="shared" si="47"/>
        <v>690</v>
      </c>
      <c r="B744" s="17" t="s">
        <v>892</v>
      </c>
      <c r="C744" s="17" t="s">
        <v>893</v>
      </c>
      <c r="D744" s="9" t="s">
        <v>8</v>
      </c>
      <c r="E744" s="20" t="s">
        <v>9</v>
      </c>
      <c r="F744" s="18">
        <v>1</v>
      </c>
      <c r="G744" s="19">
        <f>1.633198857*118.8</f>
        <v>194.02402421159999</v>
      </c>
      <c r="H744" s="32">
        <v>0.5</v>
      </c>
      <c r="I744" s="25">
        <f t="shared" si="46"/>
        <v>97.012012105799997</v>
      </c>
      <c r="J744" s="40"/>
      <c r="K744" s="39"/>
      <c r="L744" s="39"/>
      <c r="M744" s="39"/>
      <c r="N744" s="23"/>
      <c r="O744" s="39"/>
      <c r="P744" s="39"/>
      <c r="Q744" s="39"/>
      <c r="R744" s="39"/>
    </row>
    <row r="745" spans="1:18" s="2" customFormat="1" ht="26.4">
      <c r="A745" s="20">
        <f t="shared" si="47"/>
        <v>691</v>
      </c>
      <c r="B745" s="17" t="s">
        <v>883</v>
      </c>
      <c r="C745" s="17" t="s">
        <v>992</v>
      </c>
      <c r="D745" s="20" t="s">
        <v>8</v>
      </c>
      <c r="E745" s="20" t="s">
        <v>9</v>
      </c>
      <c r="F745" s="18">
        <v>1</v>
      </c>
      <c r="G745" s="19">
        <f>359.12</f>
        <v>359.12</v>
      </c>
      <c r="H745" s="32">
        <v>0.5</v>
      </c>
      <c r="I745" s="25">
        <f t="shared" si="46"/>
        <v>179.56</v>
      </c>
      <c r="J745" s="40"/>
      <c r="K745" s="39"/>
      <c r="L745" s="39"/>
      <c r="M745" s="39"/>
      <c r="N745" s="23"/>
      <c r="O745" s="39"/>
      <c r="P745" s="39"/>
      <c r="Q745" s="39"/>
      <c r="R745" s="39"/>
    </row>
    <row r="746" spans="1:18" s="2" customFormat="1" ht="14.4">
      <c r="A746" s="20">
        <f t="shared" si="47"/>
        <v>692</v>
      </c>
      <c r="B746" s="17" t="s">
        <v>218</v>
      </c>
      <c r="C746" s="17" t="s">
        <v>219</v>
      </c>
      <c r="D746" s="20" t="s">
        <v>48</v>
      </c>
      <c r="E746" s="20" t="s">
        <v>49</v>
      </c>
      <c r="F746" s="18">
        <v>1</v>
      </c>
      <c r="G746" s="19"/>
      <c r="H746" s="32">
        <v>1</v>
      </c>
      <c r="I746" s="25">
        <f>SUM(I715:I745)*0.05</f>
        <v>9760.5336336973505</v>
      </c>
      <c r="J746" s="40"/>
      <c r="K746" s="39"/>
      <c r="L746" s="39"/>
      <c r="M746" s="39"/>
      <c r="N746" s="23"/>
      <c r="O746" s="39"/>
      <c r="P746" s="39"/>
      <c r="Q746" s="39"/>
      <c r="R746" s="39"/>
    </row>
    <row r="747" spans="1:18" ht="14.4">
      <c r="A747" s="9" t="s">
        <v>61</v>
      </c>
      <c r="B747" s="20" t="s">
        <v>993</v>
      </c>
      <c r="C747" s="20" t="s">
        <v>994</v>
      </c>
      <c r="D747" s="9"/>
      <c r="E747" s="9"/>
      <c r="F747" s="18"/>
      <c r="G747" s="19"/>
      <c r="H747" s="18"/>
      <c r="I747" s="25"/>
      <c r="J747" s="24"/>
      <c r="K747" s="22"/>
      <c r="L747" s="22"/>
      <c r="M747" s="22"/>
      <c r="N747" s="23"/>
      <c r="O747" s="22"/>
      <c r="P747" s="22"/>
      <c r="Q747" s="22"/>
      <c r="R747" s="22"/>
    </row>
    <row r="748" spans="1:18" s="2" customFormat="1" ht="39.6">
      <c r="A748" s="20">
        <f>A746+1</f>
        <v>693</v>
      </c>
      <c r="B748" s="17" t="s">
        <v>832</v>
      </c>
      <c r="C748" s="17" t="s">
        <v>833</v>
      </c>
      <c r="D748" s="20" t="s">
        <v>834</v>
      </c>
      <c r="E748" s="20" t="s">
        <v>835</v>
      </c>
      <c r="F748" s="18">
        <v>1</v>
      </c>
      <c r="G748" s="19">
        <f>1.633198857*9561.14</f>
        <v>15615.24291961698</v>
      </c>
      <c r="H748" s="32">
        <v>1</v>
      </c>
      <c r="I748" s="25">
        <f t="shared" si="46"/>
        <v>15615.24291961698</v>
      </c>
      <c r="J748" s="40"/>
      <c r="K748" s="39"/>
      <c r="L748" s="39"/>
      <c r="M748" s="39"/>
      <c r="N748" s="23"/>
      <c r="O748" s="39"/>
      <c r="P748" s="39"/>
      <c r="Q748" s="39"/>
      <c r="R748" s="39"/>
    </row>
    <row r="749" spans="1:18" s="2" customFormat="1" ht="14.4">
      <c r="A749" s="20">
        <f t="shared" ref="A749:A772" si="48">A748+1</f>
        <v>694</v>
      </c>
      <c r="B749" s="17" t="s">
        <v>972</v>
      </c>
      <c r="C749" s="17" t="s">
        <v>973</v>
      </c>
      <c r="D749" s="20" t="s">
        <v>5</v>
      </c>
      <c r="E749" s="20" t="s">
        <v>6</v>
      </c>
      <c r="F749" s="18">
        <v>1</v>
      </c>
      <c r="G749" s="19">
        <f>1.633198857*6542.75</f>
        <v>10685.61182163675</v>
      </c>
      <c r="H749" s="32">
        <v>1</v>
      </c>
      <c r="I749" s="25">
        <f t="shared" si="46"/>
        <v>10685.61182163675</v>
      </c>
      <c r="J749" s="40"/>
      <c r="K749" s="39"/>
      <c r="L749" s="39"/>
      <c r="M749" s="39"/>
      <c r="N749" s="23"/>
      <c r="O749" s="39"/>
      <c r="P749" s="39"/>
      <c r="Q749" s="39"/>
      <c r="R749" s="39"/>
    </row>
    <row r="750" spans="1:18" s="2" customFormat="1" ht="14.4">
      <c r="A750" s="20">
        <f t="shared" si="48"/>
        <v>695</v>
      </c>
      <c r="B750" s="17" t="s">
        <v>836</v>
      </c>
      <c r="C750" s="17" t="s">
        <v>837</v>
      </c>
      <c r="D750" s="20"/>
      <c r="E750" s="20"/>
      <c r="F750" s="18"/>
      <c r="G750" s="19"/>
      <c r="H750" s="32"/>
      <c r="I750" s="25"/>
      <c r="J750" s="40"/>
      <c r="K750" s="39"/>
      <c r="L750" s="39"/>
      <c r="M750" s="39"/>
      <c r="N750" s="23"/>
      <c r="O750" s="39"/>
      <c r="P750" s="39"/>
      <c r="Q750" s="39"/>
      <c r="R750" s="39"/>
    </row>
    <row r="751" spans="1:18" s="2" customFormat="1" ht="14.4">
      <c r="A751" s="20">
        <f t="shared" si="48"/>
        <v>696</v>
      </c>
      <c r="B751" s="17" t="s">
        <v>838</v>
      </c>
      <c r="C751" s="17" t="s">
        <v>839</v>
      </c>
      <c r="D751" s="20" t="s">
        <v>48</v>
      </c>
      <c r="E751" s="20" t="s">
        <v>49</v>
      </c>
      <c r="F751" s="18">
        <v>1</v>
      </c>
      <c r="G751" s="19">
        <f>1.633198857*898.32</f>
        <v>1467.1351972202401</v>
      </c>
      <c r="H751" s="32">
        <v>1</v>
      </c>
      <c r="I751" s="25">
        <f t="shared" si="46"/>
        <v>1467.1351972202401</v>
      </c>
      <c r="J751" s="40"/>
      <c r="K751" s="39"/>
      <c r="L751" s="39"/>
      <c r="M751" s="39"/>
      <c r="N751" s="23"/>
      <c r="O751" s="39"/>
      <c r="P751" s="39"/>
      <c r="Q751" s="39"/>
      <c r="R751" s="39"/>
    </row>
    <row r="752" spans="1:18" s="2" customFormat="1" ht="14.4">
      <c r="A752" s="20">
        <f t="shared" si="48"/>
        <v>697</v>
      </c>
      <c r="B752" s="17" t="s">
        <v>840</v>
      </c>
      <c r="C752" s="17" t="s">
        <v>841</v>
      </c>
      <c r="D752" s="20" t="s">
        <v>5</v>
      </c>
      <c r="E752" s="20" t="s">
        <v>6</v>
      </c>
      <c r="F752" s="18">
        <v>1</v>
      </c>
      <c r="G752" s="19">
        <f>1.633198857*126.06</f>
        <v>205.88104791341999</v>
      </c>
      <c r="H752" s="32">
        <v>4</v>
      </c>
      <c r="I752" s="25">
        <f t="shared" si="46"/>
        <v>823.52419165367996</v>
      </c>
      <c r="J752" s="40"/>
      <c r="K752" s="39"/>
      <c r="L752" s="39"/>
      <c r="M752" s="39"/>
      <c r="N752" s="23"/>
      <c r="O752" s="39"/>
      <c r="P752" s="39"/>
      <c r="Q752" s="39"/>
      <c r="R752" s="39"/>
    </row>
    <row r="753" spans="1:18" s="2" customFormat="1" ht="14.4">
      <c r="A753" s="20">
        <f t="shared" si="48"/>
        <v>698</v>
      </c>
      <c r="B753" s="17" t="s">
        <v>842</v>
      </c>
      <c r="C753" s="17" t="s">
        <v>843</v>
      </c>
      <c r="D753" s="20" t="s">
        <v>5</v>
      </c>
      <c r="E753" s="20" t="s">
        <v>6</v>
      </c>
      <c r="F753" s="18">
        <v>1</v>
      </c>
      <c r="G753" s="19">
        <f>1.633198857*126.06</f>
        <v>205.88104791341999</v>
      </c>
      <c r="H753" s="32">
        <v>1</v>
      </c>
      <c r="I753" s="25">
        <f t="shared" si="46"/>
        <v>205.88104791341999</v>
      </c>
      <c r="J753" s="40"/>
      <c r="K753" s="39"/>
      <c r="L753" s="39"/>
      <c r="M753" s="39"/>
      <c r="N753" s="23"/>
      <c r="O753" s="39"/>
      <c r="P753" s="39"/>
      <c r="Q753" s="39"/>
      <c r="R753" s="39"/>
    </row>
    <row r="754" spans="1:18" s="2" customFormat="1" ht="14.4">
      <c r="A754" s="20">
        <f t="shared" si="48"/>
        <v>699</v>
      </c>
      <c r="B754" s="17" t="s">
        <v>844</v>
      </c>
      <c r="C754" s="17" t="s">
        <v>845</v>
      </c>
      <c r="D754" s="20" t="s">
        <v>5</v>
      </c>
      <c r="E754" s="20" t="s">
        <v>6</v>
      </c>
      <c r="F754" s="18">
        <v>1</v>
      </c>
      <c r="G754" s="19">
        <f>1.633198857*1084.71</f>
        <v>1771.5471321764701</v>
      </c>
      <c r="H754" s="32">
        <v>1</v>
      </c>
      <c r="I754" s="25">
        <f t="shared" si="46"/>
        <v>1771.5471321764701</v>
      </c>
      <c r="J754" s="40"/>
      <c r="K754" s="39"/>
      <c r="L754" s="39"/>
      <c r="M754" s="39"/>
      <c r="N754" s="23"/>
      <c r="O754" s="39"/>
      <c r="P754" s="39"/>
      <c r="Q754" s="39"/>
      <c r="R754" s="39"/>
    </row>
    <row r="755" spans="1:18" s="2" customFormat="1" ht="14.4">
      <c r="A755" s="20">
        <f t="shared" si="48"/>
        <v>700</v>
      </c>
      <c r="B755" s="17" t="s">
        <v>846</v>
      </c>
      <c r="C755" s="17" t="s">
        <v>847</v>
      </c>
      <c r="D755" s="9" t="s">
        <v>5</v>
      </c>
      <c r="E755" s="9" t="s">
        <v>6</v>
      </c>
      <c r="F755" s="18">
        <v>1</v>
      </c>
      <c r="G755" s="19">
        <f>1.633198857*898.32</f>
        <v>1467.1351972202401</v>
      </c>
      <c r="H755" s="32">
        <v>7</v>
      </c>
      <c r="I755" s="25">
        <f t="shared" si="46"/>
        <v>10269.946380541682</v>
      </c>
      <c r="J755" s="74"/>
      <c r="K755" s="75"/>
      <c r="L755" s="75"/>
      <c r="M755" s="75"/>
      <c r="N755" s="76"/>
      <c r="O755" s="75"/>
      <c r="P755" s="75"/>
      <c r="Q755" s="75"/>
      <c r="R755" s="75"/>
    </row>
    <row r="756" spans="1:18" s="2" customFormat="1" ht="14.4">
      <c r="A756" s="20">
        <f t="shared" si="48"/>
        <v>701</v>
      </c>
      <c r="B756" s="17" t="s">
        <v>919</v>
      </c>
      <c r="C756" s="17" t="s">
        <v>920</v>
      </c>
      <c r="D756" s="9" t="s">
        <v>5</v>
      </c>
      <c r="E756" s="9" t="s">
        <v>6</v>
      </c>
      <c r="F756" s="18">
        <v>1</v>
      </c>
      <c r="G756" s="19">
        <f>1.633198857*126.06</f>
        <v>205.88104791341999</v>
      </c>
      <c r="H756" s="32">
        <v>10</v>
      </c>
      <c r="I756" s="25">
        <f t="shared" si="46"/>
        <v>2058.8104791341998</v>
      </c>
      <c r="J756" s="74"/>
      <c r="K756" s="75"/>
      <c r="L756" s="75"/>
      <c r="M756" s="75"/>
      <c r="N756" s="76"/>
      <c r="O756" s="75"/>
      <c r="P756" s="75"/>
      <c r="Q756" s="75"/>
      <c r="R756" s="75"/>
    </row>
    <row r="757" spans="1:18" s="2" customFormat="1" ht="26.4">
      <c r="A757" s="20">
        <f t="shared" si="48"/>
        <v>702</v>
      </c>
      <c r="B757" s="17" t="s">
        <v>902</v>
      </c>
      <c r="C757" s="17" t="s">
        <v>903</v>
      </c>
      <c r="D757" s="9" t="s">
        <v>890</v>
      </c>
      <c r="E757" s="9" t="s">
        <v>65</v>
      </c>
      <c r="F757" s="18">
        <v>1</v>
      </c>
      <c r="G757" s="19">
        <f>1.633198857*126.06</f>
        <v>205.88104791341999</v>
      </c>
      <c r="H757" s="32">
        <v>10</v>
      </c>
      <c r="I757" s="25">
        <f t="shared" si="46"/>
        <v>2058.8104791341998</v>
      </c>
      <c r="J757" s="74"/>
      <c r="K757" s="75"/>
      <c r="L757" s="75"/>
      <c r="M757" s="75"/>
      <c r="N757" s="76"/>
      <c r="O757" s="75"/>
      <c r="P757" s="75"/>
      <c r="Q757" s="75"/>
      <c r="R757" s="75"/>
    </row>
    <row r="758" spans="1:18" s="2" customFormat="1" ht="26.4">
      <c r="A758" s="20">
        <f t="shared" si="48"/>
        <v>703</v>
      </c>
      <c r="B758" s="17" t="s">
        <v>921</v>
      </c>
      <c r="C758" s="17" t="s">
        <v>922</v>
      </c>
      <c r="D758" s="9" t="s">
        <v>5</v>
      </c>
      <c r="E758" s="9" t="s">
        <v>6</v>
      </c>
      <c r="F758" s="18">
        <v>1</v>
      </c>
      <c r="G758" s="19">
        <f>1.633198857*1084.71</f>
        <v>1771.5471321764701</v>
      </c>
      <c r="H758" s="32">
        <v>2</v>
      </c>
      <c r="I758" s="25">
        <f t="shared" si="46"/>
        <v>3543.0942643529402</v>
      </c>
      <c r="J758" s="74"/>
      <c r="K758" s="75"/>
      <c r="L758" s="75"/>
      <c r="M758" s="75"/>
      <c r="N758" s="76"/>
      <c r="O758" s="75"/>
      <c r="P758" s="75"/>
      <c r="Q758" s="75"/>
      <c r="R758" s="75"/>
    </row>
    <row r="759" spans="1:18" s="2" customFormat="1" ht="26.4">
      <c r="A759" s="20">
        <f t="shared" si="48"/>
        <v>704</v>
      </c>
      <c r="B759" s="17" t="s">
        <v>934</v>
      </c>
      <c r="C759" s="17" t="s">
        <v>935</v>
      </c>
      <c r="D759" s="9" t="s">
        <v>5</v>
      </c>
      <c r="E759" s="9" t="s">
        <v>6</v>
      </c>
      <c r="F759" s="18">
        <v>1</v>
      </c>
      <c r="G759" s="19">
        <f>1.633198857*898.32</f>
        <v>1467.1351972202401</v>
      </c>
      <c r="H759" s="32">
        <v>8</v>
      </c>
      <c r="I759" s="25">
        <f t="shared" si="46"/>
        <v>11737.081577761921</v>
      </c>
      <c r="J759" s="74"/>
      <c r="K759" s="75"/>
      <c r="L759" s="75"/>
      <c r="M759" s="75"/>
      <c r="N759" s="76"/>
      <c r="O759" s="75"/>
      <c r="P759" s="75"/>
      <c r="Q759" s="75"/>
      <c r="R759" s="75"/>
    </row>
    <row r="760" spans="1:18" s="2" customFormat="1" ht="14.4">
      <c r="A760" s="20">
        <f t="shared" si="48"/>
        <v>705</v>
      </c>
      <c r="B760" s="17" t="s">
        <v>995</v>
      </c>
      <c r="C760" s="17" t="s">
        <v>996</v>
      </c>
      <c r="D760" s="20" t="s">
        <v>5</v>
      </c>
      <c r="E760" s="20" t="s">
        <v>6</v>
      </c>
      <c r="F760" s="18">
        <v>1</v>
      </c>
      <c r="G760" s="19">
        <v>475</v>
      </c>
      <c r="H760" s="32">
        <v>2</v>
      </c>
      <c r="I760" s="25">
        <f t="shared" si="46"/>
        <v>950</v>
      </c>
      <c r="J760" s="40"/>
      <c r="K760" s="39"/>
      <c r="L760" s="39"/>
      <c r="M760" s="39"/>
      <c r="N760" s="23"/>
      <c r="O760" s="39"/>
      <c r="P760" s="39"/>
      <c r="Q760" s="39"/>
      <c r="R760" s="39"/>
    </row>
    <row r="761" spans="1:18" s="2" customFormat="1" ht="14.4">
      <c r="A761" s="20">
        <f t="shared" si="48"/>
        <v>706</v>
      </c>
      <c r="B761" s="17" t="s">
        <v>997</v>
      </c>
      <c r="C761" s="17" t="s">
        <v>998</v>
      </c>
      <c r="D761" s="20" t="s">
        <v>5</v>
      </c>
      <c r="E761" s="20" t="s">
        <v>6</v>
      </c>
      <c r="F761" s="18">
        <v>1</v>
      </c>
      <c r="G761" s="19">
        <v>4281</v>
      </c>
      <c r="H761" s="32">
        <v>2</v>
      </c>
      <c r="I761" s="25">
        <f t="shared" si="46"/>
        <v>8562</v>
      </c>
      <c r="J761" s="40"/>
      <c r="K761" s="39"/>
      <c r="L761" s="39"/>
      <c r="M761" s="39"/>
      <c r="N761" s="23"/>
      <c r="O761" s="39"/>
      <c r="P761" s="39"/>
      <c r="Q761" s="39"/>
      <c r="R761" s="39"/>
    </row>
    <row r="762" spans="1:18" s="2" customFormat="1" ht="14.4">
      <c r="A762" s="20">
        <f t="shared" si="48"/>
        <v>707</v>
      </c>
      <c r="B762" s="17" t="s">
        <v>974</v>
      </c>
      <c r="C762" s="17" t="s">
        <v>975</v>
      </c>
      <c r="D762" s="20" t="s">
        <v>890</v>
      </c>
      <c r="E762" s="20" t="s">
        <v>65</v>
      </c>
      <c r="F762" s="18">
        <v>1</v>
      </c>
      <c r="G762" s="19">
        <f>1.633198857*282.99</f>
        <v>462.17894454243003</v>
      </c>
      <c r="H762" s="32">
        <v>2</v>
      </c>
      <c r="I762" s="25">
        <f t="shared" si="46"/>
        <v>924.35788908486006</v>
      </c>
      <c r="J762" s="40"/>
      <c r="K762" s="39"/>
      <c r="L762" s="39"/>
      <c r="M762" s="39"/>
      <c r="N762" s="23"/>
      <c r="O762" s="39"/>
      <c r="P762" s="39"/>
      <c r="Q762" s="39"/>
      <c r="R762" s="39"/>
    </row>
    <row r="763" spans="1:18" s="2" customFormat="1" ht="26.4">
      <c r="A763" s="20">
        <f t="shared" si="48"/>
        <v>708</v>
      </c>
      <c r="B763" s="17" t="s">
        <v>999</v>
      </c>
      <c r="C763" s="17" t="s">
        <v>1000</v>
      </c>
      <c r="D763" s="20" t="s">
        <v>5</v>
      </c>
      <c r="E763" s="20" t="s">
        <v>6</v>
      </c>
      <c r="F763" s="18">
        <v>1</v>
      </c>
      <c r="G763" s="19">
        <f>483.2</f>
        <v>483.2</v>
      </c>
      <c r="H763" s="32">
        <v>2</v>
      </c>
      <c r="I763" s="25">
        <f t="shared" si="46"/>
        <v>966.4</v>
      </c>
      <c r="J763" s="40"/>
      <c r="K763" s="39"/>
      <c r="L763" s="39"/>
      <c r="M763" s="39"/>
      <c r="N763" s="23"/>
      <c r="O763" s="39"/>
      <c r="P763" s="39"/>
      <c r="Q763" s="39"/>
      <c r="R763" s="39"/>
    </row>
    <row r="764" spans="1:18" s="2" customFormat="1" ht="39.6">
      <c r="A764" s="20">
        <f t="shared" si="48"/>
        <v>709</v>
      </c>
      <c r="B764" s="17" t="s">
        <v>861</v>
      </c>
      <c r="C764" s="17" t="s">
        <v>908</v>
      </c>
      <c r="D764" s="9" t="s">
        <v>8</v>
      </c>
      <c r="E764" s="20" t="s">
        <v>9</v>
      </c>
      <c r="F764" s="18">
        <v>1</v>
      </c>
      <c r="G764" s="19">
        <f>1.633198857*1072.33</f>
        <v>1751.32813032681</v>
      </c>
      <c r="H764" s="32">
        <v>44.65</v>
      </c>
      <c r="I764" s="25">
        <f t="shared" si="46"/>
        <v>78196.801019092061</v>
      </c>
      <c r="J764" s="40"/>
      <c r="K764" s="39"/>
      <c r="L764" s="39"/>
      <c r="M764" s="39"/>
      <c r="N764" s="23"/>
      <c r="O764" s="39"/>
      <c r="P764" s="39"/>
      <c r="Q764" s="39"/>
      <c r="R764" s="39"/>
    </row>
    <row r="765" spans="1:18" s="2" customFormat="1" ht="14.4">
      <c r="A765" s="20">
        <f t="shared" si="48"/>
        <v>710</v>
      </c>
      <c r="B765" s="17" t="s">
        <v>984</v>
      </c>
      <c r="C765" s="17" t="s">
        <v>985</v>
      </c>
      <c r="D765" s="20" t="s">
        <v>5</v>
      </c>
      <c r="E765" s="20" t="s">
        <v>6</v>
      </c>
      <c r="F765" s="18">
        <v>1</v>
      </c>
      <c r="G765" s="19">
        <f>253.6</f>
        <v>253.6</v>
      </c>
      <c r="H765" s="32">
        <v>2</v>
      </c>
      <c r="I765" s="25">
        <f t="shared" si="46"/>
        <v>507.2</v>
      </c>
      <c r="J765" s="40"/>
      <c r="K765" s="39"/>
      <c r="L765" s="39"/>
      <c r="M765" s="39"/>
      <c r="N765" s="23"/>
      <c r="O765" s="39"/>
      <c r="P765" s="39"/>
      <c r="Q765" s="39"/>
      <c r="R765" s="39"/>
    </row>
    <row r="766" spans="1:18" s="2" customFormat="1" ht="14.4">
      <c r="A766" s="20">
        <f t="shared" si="48"/>
        <v>711</v>
      </c>
      <c r="B766" s="17" t="s">
        <v>1001</v>
      </c>
      <c r="C766" s="17" t="s">
        <v>1002</v>
      </c>
      <c r="D766" s="20" t="s">
        <v>5</v>
      </c>
      <c r="E766" s="20" t="s">
        <v>6</v>
      </c>
      <c r="F766" s="18">
        <v>1</v>
      </c>
      <c r="G766" s="19">
        <f>287.03</f>
        <v>287.02999999999997</v>
      </c>
      <c r="H766" s="32">
        <v>8</v>
      </c>
      <c r="I766" s="25">
        <f t="shared" si="46"/>
        <v>2296.2399999999998</v>
      </c>
      <c r="J766" s="40"/>
      <c r="K766" s="39"/>
      <c r="L766" s="39"/>
      <c r="M766" s="39"/>
      <c r="N766" s="23"/>
      <c r="O766" s="39"/>
      <c r="P766" s="39"/>
      <c r="Q766" s="39"/>
      <c r="R766" s="39"/>
    </row>
    <row r="767" spans="1:18" s="2" customFormat="1" ht="14.4">
      <c r="A767" s="20">
        <f t="shared" si="48"/>
        <v>712</v>
      </c>
      <c r="B767" s="17" t="s">
        <v>988</v>
      </c>
      <c r="C767" s="17" t="s">
        <v>989</v>
      </c>
      <c r="D767" s="9" t="s">
        <v>8</v>
      </c>
      <c r="E767" s="20" t="s">
        <v>9</v>
      </c>
      <c r="F767" s="18">
        <v>1</v>
      </c>
      <c r="G767" s="19">
        <f>1.633198857*1188.53</f>
        <v>1941.10583751021</v>
      </c>
      <c r="H767" s="32">
        <v>0.31</v>
      </c>
      <c r="I767" s="25">
        <f t="shared" si="46"/>
        <v>601.74280962816511</v>
      </c>
      <c r="J767" s="40"/>
      <c r="K767" s="39"/>
      <c r="L767" s="39"/>
      <c r="M767" s="39"/>
      <c r="N767" s="23"/>
      <c r="O767" s="39"/>
      <c r="P767" s="39"/>
      <c r="Q767" s="39"/>
      <c r="R767" s="39"/>
    </row>
    <row r="768" spans="1:18" s="2" customFormat="1" ht="14.4">
      <c r="A768" s="20">
        <f t="shared" si="48"/>
        <v>713</v>
      </c>
      <c r="B768" s="17" t="s">
        <v>1003</v>
      </c>
      <c r="C768" s="17" t="s">
        <v>1004</v>
      </c>
      <c r="D768" s="9" t="s">
        <v>8</v>
      </c>
      <c r="E768" s="20" t="s">
        <v>9</v>
      </c>
      <c r="F768" s="18">
        <v>1</v>
      </c>
      <c r="G768" s="19">
        <f>1.633198857*1188.53</f>
        <v>1941.10583751021</v>
      </c>
      <c r="H768" s="32">
        <v>1.57</v>
      </c>
      <c r="I768" s="25">
        <f t="shared" si="46"/>
        <v>3047.5361648910298</v>
      </c>
      <c r="J768" s="40"/>
      <c r="K768" s="39"/>
      <c r="L768" s="39"/>
      <c r="M768" s="39"/>
      <c r="N768" s="23"/>
      <c r="O768" s="39"/>
      <c r="P768" s="39"/>
      <c r="Q768" s="39"/>
      <c r="R768" s="39"/>
    </row>
    <row r="769" spans="1:18" s="2" customFormat="1" ht="26.4">
      <c r="A769" s="20">
        <f t="shared" si="48"/>
        <v>714</v>
      </c>
      <c r="B769" s="17" t="s">
        <v>879</v>
      </c>
      <c r="C769" s="17" t="s">
        <v>880</v>
      </c>
      <c r="D769" s="9" t="s">
        <v>44</v>
      </c>
      <c r="E769" s="20" t="s">
        <v>45</v>
      </c>
      <c r="F769" s="18">
        <v>1</v>
      </c>
      <c r="G769" s="19">
        <f>34.47</f>
        <v>34.47</v>
      </c>
      <c r="H769" s="32">
        <v>60</v>
      </c>
      <c r="I769" s="25">
        <f t="shared" si="46"/>
        <v>2068.1999999999998</v>
      </c>
      <c r="J769" s="40"/>
      <c r="K769" s="39"/>
      <c r="L769" s="39"/>
      <c r="M769" s="39"/>
      <c r="N769" s="23"/>
      <c r="O769" s="39"/>
      <c r="P769" s="39"/>
      <c r="Q769" s="39"/>
      <c r="R769" s="39"/>
    </row>
    <row r="770" spans="1:18" s="2" customFormat="1" ht="39.6">
      <c r="A770" s="20">
        <f t="shared" si="48"/>
        <v>715</v>
      </c>
      <c r="B770" s="17" t="s">
        <v>892</v>
      </c>
      <c r="C770" s="17" t="s">
        <v>893</v>
      </c>
      <c r="D770" s="9" t="s">
        <v>8</v>
      </c>
      <c r="E770" s="20" t="s">
        <v>9</v>
      </c>
      <c r="F770" s="18">
        <v>1</v>
      </c>
      <c r="G770" s="19">
        <f>1.633198857*118.8</f>
        <v>194.02402421159999</v>
      </c>
      <c r="H770" s="32">
        <v>0.8</v>
      </c>
      <c r="I770" s="25">
        <f t="shared" si="46"/>
        <v>155.21921936928001</v>
      </c>
      <c r="J770" s="40"/>
      <c r="K770" s="39"/>
      <c r="L770" s="39"/>
      <c r="M770" s="39"/>
      <c r="N770" s="23"/>
      <c r="O770" s="39"/>
      <c r="P770" s="39"/>
      <c r="Q770" s="39"/>
      <c r="R770" s="39"/>
    </row>
    <row r="771" spans="1:18" s="2" customFormat="1" ht="26.4">
      <c r="A771" s="20">
        <f t="shared" si="48"/>
        <v>716</v>
      </c>
      <c r="B771" s="17" t="s">
        <v>883</v>
      </c>
      <c r="C771" s="17" t="s">
        <v>992</v>
      </c>
      <c r="D771" s="20" t="s">
        <v>8</v>
      </c>
      <c r="E771" s="20" t="s">
        <v>9</v>
      </c>
      <c r="F771" s="18">
        <v>1</v>
      </c>
      <c r="G771" s="19">
        <f>359.12</f>
        <v>359.12</v>
      </c>
      <c r="H771" s="32">
        <v>0.8</v>
      </c>
      <c r="I771" s="25">
        <f t="shared" si="46"/>
        <v>287.29599999999999</v>
      </c>
      <c r="J771" s="40"/>
      <c r="K771" s="39"/>
      <c r="L771" s="39"/>
      <c r="M771" s="39"/>
      <c r="N771" s="23"/>
      <c r="O771" s="39"/>
      <c r="P771" s="39"/>
      <c r="Q771" s="39"/>
      <c r="R771" s="39"/>
    </row>
    <row r="772" spans="1:18" s="2" customFormat="1" ht="14.4">
      <c r="A772" s="20">
        <f t="shared" si="48"/>
        <v>717</v>
      </c>
      <c r="B772" s="17" t="s">
        <v>218</v>
      </c>
      <c r="C772" s="17" t="s">
        <v>219</v>
      </c>
      <c r="D772" s="20" t="s">
        <v>48</v>
      </c>
      <c r="E772" s="20" t="s">
        <v>49</v>
      </c>
      <c r="F772" s="18">
        <v>1</v>
      </c>
      <c r="G772" s="19"/>
      <c r="H772" s="32">
        <v>1</v>
      </c>
      <c r="I772" s="25">
        <f>SUM(I748:I771)*0.05</f>
        <v>7939.9839296603959</v>
      </c>
      <c r="J772" s="40"/>
      <c r="K772" s="39"/>
      <c r="L772" s="39"/>
      <c r="M772" s="39"/>
      <c r="N772" s="23"/>
      <c r="O772" s="39"/>
      <c r="P772" s="39"/>
      <c r="Q772" s="39"/>
      <c r="R772" s="39"/>
    </row>
    <row r="773" spans="1:18" ht="14.4">
      <c r="A773" s="9" t="s">
        <v>61</v>
      </c>
      <c r="B773" s="20" t="s">
        <v>1005</v>
      </c>
      <c r="C773" s="20" t="s">
        <v>1006</v>
      </c>
      <c r="D773" s="9"/>
      <c r="E773" s="9"/>
      <c r="F773" s="18"/>
      <c r="G773" s="19"/>
      <c r="H773" s="18"/>
      <c r="I773" s="25"/>
      <c r="J773" s="24"/>
      <c r="K773" s="22"/>
      <c r="L773" s="22"/>
      <c r="M773" s="22"/>
      <c r="N773" s="23"/>
      <c r="O773" s="22"/>
      <c r="P773" s="22"/>
      <c r="Q773" s="22"/>
      <c r="R773" s="22"/>
    </row>
    <row r="774" spans="1:18" s="2" customFormat="1" ht="39.6">
      <c r="A774" s="20">
        <f>A772+1</f>
        <v>718</v>
      </c>
      <c r="B774" s="17" t="s">
        <v>832</v>
      </c>
      <c r="C774" s="17" t="s">
        <v>833</v>
      </c>
      <c r="D774" s="20" t="s">
        <v>834</v>
      </c>
      <c r="E774" s="20" t="s">
        <v>835</v>
      </c>
      <c r="F774" s="18">
        <v>1</v>
      </c>
      <c r="G774" s="19">
        <f>1.633198857*9561.14</f>
        <v>15615.24291961698</v>
      </c>
      <c r="H774" s="32">
        <v>1</v>
      </c>
      <c r="I774" s="25">
        <f t="shared" si="46"/>
        <v>15615.24291961698</v>
      </c>
      <c r="J774" s="40"/>
      <c r="K774" s="39"/>
      <c r="L774" s="39"/>
      <c r="M774" s="39"/>
      <c r="N774" s="23"/>
      <c r="O774" s="39"/>
      <c r="P774" s="39"/>
      <c r="Q774" s="39"/>
      <c r="R774" s="39"/>
    </row>
    <row r="775" spans="1:18" s="2" customFormat="1" ht="26.4">
      <c r="A775" s="20">
        <f t="shared" ref="A775:A801" si="49">A774+1</f>
        <v>719</v>
      </c>
      <c r="B775" s="17" t="s">
        <v>898</v>
      </c>
      <c r="C775" s="17" t="s">
        <v>899</v>
      </c>
      <c r="D775" s="20" t="s">
        <v>5</v>
      </c>
      <c r="E775" s="20" t="s">
        <v>6</v>
      </c>
      <c r="F775" s="18">
        <v>1</v>
      </c>
      <c r="G775" s="19">
        <f>1.633198857*6542.75</f>
        <v>10685.61182163675</v>
      </c>
      <c r="H775" s="32">
        <v>1</v>
      </c>
      <c r="I775" s="25">
        <f t="shared" si="46"/>
        <v>10685.61182163675</v>
      </c>
      <c r="J775" s="40"/>
      <c r="K775" s="39"/>
      <c r="L775" s="39"/>
      <c r="M775" s="39"/>
      <c r="N775" s="23"/>
      <c r="O775" s="39"/>
      <c r="P775" s="39"/>
      <c r="Q775" s="39"/>
      <c r="R775" s="39"/>
    </row>
    <row r="776" spans="1:18" s="2" customFormat="1" ht="14.4">
      <c r="A776" s="20">
        <f t="shared" si="49"/>
        <v>720</v>
      </c>
      <c r="B776" s="17" t="s">
        <v>972</v>
      </c>
      <c r="C776" s="17" t="s">
        <v>973</v>
      </c>
      <c r="D776" s="20" t="s">
        <v>5</v>
      </c>
      <c r="E776" s="20" t="s">
        <v>6</v>
      </c>
      <c r="F776" s="18">
        <v>1</v>
      </c>
      <c r="G776" s="19">
        <f>1.633198857*6542.75</f>
        <v>10685.61182163675</v>
      </c>
      <c r="H776" s="32">
        <v>1</v>
      </c>
      <c r="I776" s="25">
        <f t="shared" si="46"/>
        <v>10685.61182163675</v>
      </c>
      <c r="J776" s="40"/>
      <c r="K776" s="39"/>
      <c r="L776" s="39"/>
      <c r="M776" s="39"/>
      <c r="N776" s="23"/>
      <c r="O776" s="39"/>
      <c r="P776" s="39"/>
      <c r="Q776" s="39"/>
      <c r="R776" s="39"/>
    </row>
    <row r="777" spans="1:18" s="2" customFormat="1" ht="14.4">
      <c r="A777" s="20">
        <f t="shared" si="49"/>
        <v>721</v>
      </c>
      <c r="B777" s="17" t="s">
        <v>836</v>
      </c>
      <c r="C777" s="17" t="s">
        <v>837</v>
      </c>
      <c r="D777" s="20"/>
      <c r="E777" s="20"/>
      <c r="F777" s="18"/>
      <c r="G777" s="19"/>
      <c r="H777" s="32"/>
      <c r="I777" s="25"/>
      <c r="J777" s="40"/>
      <c r="K777" s="39"/>
      <c r="L777" s="39"/>
      <c r="M777" s="39"/>
      <c r="N777" s="23"/>
      <c r="O777" s="39"/>
      <c r="P777" s="39"/>
      <c r="Q777" s="39"/>
      <c r="R777" s="39"/>
    </row>
    <row r="778" spans="1:18" s="2" customFormat="1" ht="14.4">
      <c r="A778" s="20">
        <f t="shared" si="49"/>
        <v>722</v>
      </c>
      <c r="B778" s="17" t="s">
        <v>838</v>
      </c>
      <c r="C778" s="17" t="s">
        <v>839</v>
      </c>
      <c r="D778" s="20" t="s">
        <v>48</v>
      </c>
      <c r="E778" s="20" t="s">
        <v>49</v>
      </c>
      <c r="F778" s="18">
        <v>1</v>
      </c>
      <c r="G778" s="19">
        <f>1.633198857*126.06</f>
        <v>205.88104791341999</v>
      </c>
      <c r="H778" s="32">
        <v>1</v>
      </c>
      <c r="I778" s="25">
        <f t="shared" si="46"/>
        <v>205.88104791341999</v>
      </c>
      <c r="J778" s="40"/>
      <c r="K778" s="39"/>
      <c r="L778" s="39"/>
      <c r="M778" s="39"/>
      <c r="N778" s="23"/>
      <c r="O778" s="39"/>
      <c r="P778" s="39"/>
      <c r="Q778" s="39"/>
      <c r="R778" s="39"/>
    </row>
    <row r="779" spans="1:18" s="2" customFormat="1" ht="14.4">
      <c r="A779" s="20">
        <f t="shared" si="49"/>
        <v>723</v>
      </c>
      <c r="B779" s="17" t="s">
        <v>840</v>
      </c>
      <c r="C779" s="17" t="s">
        <v>841</v>
      </c>
      <c r="D779" s="20" t="s">
        <v>5</v>
      </c>
      <c r="E779" s="20" t="s">
        <v>6</v>
      </c>
      <c r="F779" s="18">
        <v>1</v>
      </c>
      <c r="G779" s="19">
        <f>1.633198857*126.06</f>
        <v>205.88104791341999</v>
      </c>
      <c r="H779" s="32">
        <v>4</v>
      </c>
      <c r="I779" s="25">
        <f t="shared" ref="I779:I842" si="50">G779*H779</f>
        <v>823.52419165367996</v>
      </c>
      <c r="J779" s="40"/>
      <c r="K779" s="39"/>
      <c r="L779" s="39"/>
      <c r="M779" s="39"/>
      <c r="N779" s="23"/>
      <c r="O779" s="39"/>
      <c r="P779" s="39"/>
      <c r="Q779" s="39"/>
      <c r="R779" s="39"/>
    </row>
    <row r="780" spans="1:18" s="2" customFormat="1" ht="14.4">
      <c r="A780" s="20">
        <f t="shared" si="49"/>
        <v>724</v>
      </c>
      <c r="B780" s="17" t="s">
        <v>842</v>
      </c>
      <c r="C780" s="17" t="s">
        <v>843</v>
      </c>
      <c r="D780" s="20" t="s">
        <v>5</v>
      </c>
      <c r="E780" s="20" t="s">
        <v>6</v>
      </c>
      <c r="F780" s="18">
        <v>1</v>
      </c>
      <c r="G780" s="19">
        <f>1.633198857*1084.71</f>
        <v>1771.5471321764701</v>
      </c>
      <c r="H780" s="32">
        <v>1</v>
      </c>
      <c r="I780" s="25">
        <f t="shared" si="50"/>
        <v>1771.5471321764701</v>
      </c>
      <c r="J780" s="40"/>
      <c r="K780" s="39"/>
      <c r="L780" s="39"/>
      <c r="M780" s="39"/>
      <c r="N780" s="23"/>
      <c r="O780" s="39"/>
      <c r="P780" s="39"/>
      <c r="Q780" s="39"/>
      <c r="R780" s="39"/>
    </row>
    <row r="781" spans="1:18" s="2" customFormat="1" ht="14.4">
      <c r="A781" s="20">
        <f t="shared" si="49"/>
        <v>725</v>
      </c>
      <c r="B781" s="17" t="s">
        <v>844</v>
      </c>
      <c r="C781" s="17" t="s">
        <v>845</v>
      </c>
      <c r="D781" s="20" t="s">
        <v>5</v>
      </c>
      <c r="E781" s="20" t="s">
        <v>6</v>
      </c>
      <c r="F781" s="18">
        <v>1</v>
      </c>
      <c r="G781" s="19">
        <f>1.633198857*898.32</f>
        <v>1467.1351972202401</v>
      </c>
      <c r="H781" s="32">
        <v>1</v>
      </c>
      <c r="I781" s="25">
        <f t="shared" si="50"/>
        <v>1467.1351972202401</v>
      </c>
      <c r="J781" s="40"/>
      <c r="K781" s="39"/>
      <c r="L781" s="39"/>
      <c r="M781" s="39"/>
      <c r="N781" s="23"/>
      <c r="O781" s="39"/>
      <c r="P781" s="39"/>
      <c r="Q781" s="39"/>
      <c r="R781" s="39"/>
    </row>
    <row r="782" spans="1:18" s="2" customFormat="1" ht="14.4">
      <c r="A782" s="20">
        <f t="shared" si="49"/>
        <v>726</v>
      </c>
      <c r="B782" s="17" t="s">
        <v>995</v>
      </c>
      <c r="C782" s="17" t="s">
        <v>996</v>
      </c>
      <c r="D782" s="20" t="s">
        <v>5</v>
      </c>
      <c r="E782" s="20" t="s">
        <v>6</v>
      </c>
      <c r="F782" s="18">
        <v>1</v>
      </c>
      <c r="G782" s="19">
        <v>475</v>
      </c>
      <c r="H782" s="32">
        <v>1</v>
      </c>
      <c r="I782" s="25">
        <f t="shared" si="50"/>
        <v>475</v>
      </c>
      <c r="J782" s="40"/>
      <c r="K782" s="39"/>
      <c r="L782" s="39"/>
      <c r="M782" s="39"/>
      <c r="N782" s="23"/>
      <c r="O782" s="39"/>
      <c r="P782" s="39"/>
      <c r="Q782" s="39"/>
      <c r="R782" s="39"/>
    </row>
    <row r="783" spans="1:18" s="2" customFormat="1" ht="14.4">
      <c r="A783" s="20">
        <f t="shared" si="49"/>
        <v>727</v>
      </c>
      <c r="B783" s="17" t="s">
        <v>1007</v>
      </c>
      <c r="C783" s="17" t="s">
        <v>1008</v>
      </c>
      <c r="D783" s="20" t="s">
        <v>5</v>
      </c>
      <c r="E783" s="20" t="s">
        <v>6</v>
      </c>
      <c r="F783" s="18">
        <v>1</v>
      </c>
      <c r="G783" s="19">
        <v>6573</v>
      </c>
      <c r="H783" s="32">
        <v>1</v>
      </c>
      <c r="I783" s="25">
        <f t="shared" si="50"/>
        <v>6573</v>
      </c>
      <c r="J783" s="40"/>
      <c r="K783" s="39"/>
      <c r="L783" s="39"/>
      <c r="M783" s="39"/>
      <c r="N783" s="23"/>
      <c r="O783" s="39"/>
      <c r="P783" s="39"/>
      <c r="Q783" s="39"/>
      <c r="R783" s="39"/>
    </row>
    <row r="784" spans="1:18" s="2" customFormat="1" ht="14.4">
      <c r="A784" s="20">
        <f t="shared" si="49"/>
        <v>728</v>
      </c>
      <c r="B784" s="17" t="s">
        <v>846</v>
      </c>
      <c r="C784" s="17" t="s">
        <v>847</v>
      </c>
      <c r="D784" s="9" t="s">
        <v>5</v>
      </c>
      <c r="E784" s="9" t="s">
        <v>6</v>
      </c>
      <c r="F784" s="18">
        <v>1</v>
      </c>
      <c r="G784" s="19">
        <f>1.633198857*126.06</f>
        <v>205.88104791341999</v>
      </c>
      <c r="H784" s="32">
        <v>2</v>
      </c>
      <c r="I784" s="25">
        <f t="shared" si="50"/>
        <v>411.76209582683998</v>
      </c>
      <c r="J784" s="74"/>
      <c r="K784" s="75"/>
      <c r="L784" s="75"/>
      <c r="M784" s="75"/>
      <c r="N784" s="76"/>
      <c r="O784" s="75"/>
      <c r="P784" s="75"/>
      <c r="Q784" s="75"/>
      <c r="R784" s="75"/>
    </row>
    <row r="785" spans="1:18" s="2" customFormat="1" ht="14.4">
      <c r="A785" s="20">
        <f t="shared" si="49"/>
        <v>729</v>
      </c>
      <c r="B785" s="17" t="s">
        <v>919</v>
      </c>
      <c r="C785" s="17" t="s">
        <v>920</v>
      </c>
      <c r="D785" s="9" t="s">
        <v>5</v>
      </c>
      <c r="E785" s="9" t="s">
        <v>6</v>
      </c>
      <c r="F785" s="18">
        <v>1</v>
      </c>
      <c r="G785" s="19">
        <f>1.633198857*126.06</f>
        <v>205.88104791341999</v>
      </c>
      <c r="H785" s="32">
        <v>2</v>
      </c>
      <c r="I785" s="25">
        <f t="shared" si="50"/>
        <v>411.76209582683998</v>
      </c>
      <c r="J785" s="74"/>
      <c r="K785" s="75"/>
      <c r="L785" s="75"/>
      <c r="M785" s="75"/>
      <c r="N785" s="76"/>
      <c r="O785" s="75"/>
      <c r="P785" s="75"/>
      <c r="Q785" s="75"/>
      <c r="R785" s="75"/>
    </row>
    <row r="786" spans="1:18" s="2" customFormat="1" ht="26.4">
      <c r="A786" s="20">
        <f t="shared" si="49"/>
        <v>730</v>
      </c>
      <c r="B786" s="17" t="s">
        <v>902</v>
      </c>
      <c r="C786" s="17" t="s">
        <v>903</v>
      </c>
      <c r="D786" s="9" t="s">
        <v>890</v>
      </c>
      <c r="E786" s="9" t="s">
        <v>65</v>
      </c>
      <c r="F786" s="18">
        <v>1</v>
      </c>
      <c r="G786" s="19">
        <f>1.633198857*126.06</f>
        <v>205.88104791341999</v>
      </c>
      <c r="H786" s="32">
        <v>2</v>
      </c>
      <c r="I786" s="25">
        <f t="shared" si="50"/>
        <v>411.76209582683998</v>
      </c>
      <c r="J786" s="74"/>
      <c r="K786" s="75"/>
      <c r="L786" s="75"/>
      <c r="M786" s="75"/>
      <c r="N786" s="76"/>
      <c r="O786" s="75"/>
      <c r="P786" s="75"/>
      <c r="Q786" s="75"/>
      <c r="R786" s="75"/>
    </row>
    <row r="787" spans="1:18" s="2" customFormat="1" ht="26.4">
      <c r="A787" s="20">
        <f t="shared" si="49"/>
        <v>731</v>
      </c>
      <c r="B787" s="17" t="s">
        <v>921</v>
      </c>
      <c r="C787" s="17" t="s">
        <v>922</v>
      </c>
      <c r="D787" s="9" t="s">
        <v>5</v>
      </c>
      <c r="E787" s="9" t="s">
        <v>6</v>
      </c>
      <c r="F787" s="18">
        <v>1</v>
      </c>
      <c r="G787" s="19">
        <f>1.633198857*1084.71</f>
        <v>1771.5471321764701</v>
      </c>
      <c r="H787" s="32">
        <v>2</v>
      </c>
      <c r="I787" s="25">
        <f t="shared" si="50"/>
        <v>3543.0942643529402</v>
      </c>
      <c r="J787" s="74"/>
      <c r="K787" s="75"/>
      <c r="L787" s="75"/>
      <c r="M787" s="75"/>
      <c r="N787" s="76"/>
      <c r="O787" s="75"/>
      <c r="P787" s="75"/>
      <c r="Q787" s="75"/>
      <c r="R787" s="75"/>
    </row>
    <row r="788" spans="1:18" s="2" customFormat="1" ht="14.4">
      <c r="A788" s="20">
        <f t="shared" si="49"/>
        <v>732</v>
      </c>
      <c r="B788" s="17" t="s">
        <v>974</v>
      </c>
      <c r="C788" s="17" t="s">
        <v>975</v>
      </c>
      <c r="D788" s="20" t="s">
        <v>890</v>
      </c>
      <c r="E788" s="20" t="s">
        <v>65</v>
      </c>
      <c r="F788" s="18">
        <v>1</v>
      </c>
      <c r="G788" s="19">
        <f>1.633198857*282.99</f>
        <v>462.17894454243003</v>
      </c>
      <c r="H788" s="32">
        <v>13</v>
      </c>
      <c r="I788" s="25">
        <f t="shared" si="50"/>
        <v>6008.3262790515901</v>
      </c>
      <c r="J788" s="40"/>
      <c r="K788" s="39"/>
      <c r="L788" s="39"/>
      <c r="M788" s="39"/>
      <c r="N788" s="23"/>
      <c r="O788" s="39"/>
      <c r="P788" s="39"/>
      <c r="Q788" s="39"/>
      <c r="R788" s="39"/>
    </row>
    <row r="789" spans="1:18" s="2" customFormat="1" ht="14.4">
      <c r="A789" s="20">
        <f t="shared" si="49"/>
        <v>733</v>
      </c>
      <c r="B789" s="17" t="s">
        <v>1009</v>
      </c>
      <c r="C789" s="17" t="s">
        <v>1010</v>
      </c>
      <c r="D789" s="20" t="s">
        <v>5</v>
      </c>
      <c r="E789" s="20" t="s">
        <v>6</v>
      </c>
      <c r="F789" s="18">
        <v>1</v>
      </c>
      <c r="G789" s="19">
        <f>483.2</f>
        <v>483.2</v>
      </c>
      <c r="H789" s="32">
        <v>4</v>
      </c>
      <c r="I789" s="25">
        <f t="shared" si="50"/>
        <v>1932.8</v>
      </c>
      <c r="J789" s="40"/>
      <c r="K789" s="39"/>
      <c r="L789" s="39"/>
      <c r="M789" s="39"/>
      <c r="N789" s="23"/>
      <c r="O789" s="39"/>
      <c r="P789" s="39"/>
      <c r="Q789" s="39"/>
      <c r="R789" s="39"/>
    </row>
    <row r="790" spans="1:18" s="2" customFormat="1" ht="14.4">
      <c r="A790" s="20">
        <f t="shared" si="49"/>
        <v>734</v>
      </c>
      <c r="B790" s="17" t="s">
        <v>1011</v>
      </c>
      <c r="C790" s="17" t="s">
        <v>1012</v>
      </c>
      <c r="D790" s="20" t="s">
        <v>5</v>
      </c>
      <c r="E790" s="20" t="s">
        <v>6</v>
      </c>
      <c r="F790" s="18">
        <v>1</v>
      </c>
      <c r="G790" s="19">
        <v>1020</v>
      </c>
      <c r="H790" s="32">
        <v>4</v>
      </c>
      <c r="I790" s="25">
        <f t="shared" si="50"/>
        <v>4080</v>
      </c>
      <c r="J790" s="40"/>
      <c r="K790" s="39"/>
      <c r="L790" s="39"/>
      <c r="M790" s="39"/>
      <c r="N790" s="23"/>
      <c r="O790" s="39"/>
      <c r="P790" s="39"/>
      <c r="Q790" s="39"/>
      <c r="R790" s="39"/>
    </row>
    <row r="791" spans="1:18" s="2" customFormat="1" ht="14.4">
      <c r="A791" s="20">
        <f t="shared" si="49"/>
        <v>735</v>
      </c>
      <c r="B791" s="17" t="s">
        <v>1013</v>
      </c>
      <c r="C791" s="17" t="s">
        <v>1014</v>
      </c>
      <c r="D791" s="20" t="s">
        <v>5</v>
      </c>
      <c r="E791" s="20" t="s">
        <v>6</v>
      </c>
      <c r="F791" s="18">
        <v>1</v>
      </c>
      <c r="G791" s="19">
        <v>320</v>
      </c>
      <c r="H791" s="32">
        <v>2</v>
      </c>
      <c r="I791" s="25">
        <f t="shared" si="50"/>
        <v>640</v>
      </c>
      <c r="J791" s="40"/>
      <c r="K791" s="39"/>
      <c r="L791" s="39"/>
      <c r="M791" s="39"/>
      <c r="N791" s="23"/>
      <c r="O791" s="39"/>
      <c r="P791" s="39"/>
      <c r="Q791" s="39"/>
      <c r="R791" s="39"/>
    </row>
    <row r="792" spans="1:18" s="2" customFormat="1" ht="14.4">
      <c r="A792" s="20">
        <f t="shared" si="49"/>
        <v>736</v>
      </c>
      <c r="B792" s="17" t="s">
        <v>1015</v>
      </c>
      <c r="C792" s="17" t="s">
        <v>1016</v>
      </c>
      <c r="D792" s="20" t="s">
        <v>5</v>
      </c>
      <c r="E792" s="20" t="s">
        <v>6</v>
      </c>
      <c r="F792" s="18">
        <v>1</v>
      </c>
      <c r="G792" s="19">
        <v>220</v>
      </c>
      <c r="H792" s="32">
        <v>2</v>
      </c>
      <c r="I792" s="25">
        <f t="shared" si="50"/>
        <v>440</v>
      </c>
      <c r="J792" s="40"/>
      <c r="K792" s="39"/>
      <c r="L792" s="39"/>
      <c r="M792" s="39"/>
      <c r="N792" s="23"/>
      <c r="O792" s="39"/>
      <c r="P792" s="39"/>
      <c r="Q792" s="39"/>
      <c r="R792" s="39"/>
    </row>
    <row r="793" spans="1:18" s="2" customFormat="1" ht="14.4">
      <c r="A793" s="20">
        <f t="shared" si="49"/>
        <v>737</v>
      </c>
      <c r="B793" s="17" t="s">
        <v>1017</v>
      </c>
      <c r="C793" s="17" t="s">
        <v>1018</v>
      </c>
      <c r="D793" s="20" t="s">
        <v>5</v>
      </c>
      <c r="E793" s="20" t="s">
        <v>6</v>
      </c>
      <c r="F793" s="18">
        <v>1</v>
      </c>
      <c r="G793" s="19">
        <v>2583</v>
      </c>
      <c r="H793" s="32">
        <v>1</v>
      </c>
      <c r="I793" s="25">
        <f t="shared" si="50"/>
        <v>2583</v>
      </c>
      <c r="J793" s="40"/>
      <c r="K793" s="39"/>
      <c r="L793" s="39"/>
      <c r="M793" s="39"/>
      <c r="N793" s="23"/>
      <c r="O793" s="39"/>
      <c r="P793" s="39"/>
      <c r="Q793" s="39"/>
      <c r="R793" s="39"/>
    </row>
    <row r="794" spans="1:18" s="2" customFormat="1" ht="14.4">
      <c r="A794" s="20">
        <f t="shared" si="49"/>
        <v>738</v>
      </c>
      <c r="B794" s="17" t="s">
        <v>984</v>
      </c>
      <c r="C794" s="17" t="s">
        <v>985</v>
      </c>
      <c r="D794" s="20" t="s">
        <v>5</v>
      </c>
      <c r="E794" s="20" t="s">
        <v>6</v>
      </c>
      <c r="F794" s="18">
        <v>1</v>
      </c>
      <c r="G794" s="19">
        <f>253.6</f>
        <v>253.6</v>
      </c>
      <c r="H794" s="32">
        <v>6</v>
      </c>
      <c r="I794" s="25">
        <f t="shared" si="50"/>
        <v>1521.6</v>
      </c>
      <c r="J794" s="40"/>
      <c r="K794" s="39"/>
      <c r="L794" s="39"/>
      <c r="M794" s="39"/>
      <c r="N794" s="23"/>
      <c r="O794" s="39"/>
      <c r="P794" s="39"/>
      <c r="Q794" s="39"/>
      <c r="R794" s="39"/>
    </row>
    <row r="795" spans="1:18" s="2" customFormat="1" ht="39.6">
      <c r="A795" s="20">
        <f t="shared" si="49"/>
        <v>739</v>
      </c>
      <c r="B795" s="17" t="s">
        <v>861</v>
      </c>
      <c r="C795" s="17" t="s">
        <v>908</v>
      </c>
      <c r="D795" s="9" t="s">
        <v>8</v>
      </c>
      <c r="E795" s="20" t="s">
        <v>9</v>
      </c>
      <c r="F795" s="18">
        <v>1</v>
      </c>
      <c r="G795" s="19">
        <f>1.633198857*1072.33</f>
        <v>1751.32813032681</v>
      </c>
      <c r="H795" s="32">
        <v>7.47</v>
      </c>
      <c r="I795" s="25">
        <f t="shared" si="50"/>
        <v>13082.421133541269</v>
      </c>
      <c r="J795" s="40"/>
      <c r="K795" s="39"/>
      <c r="L795" s="39"/>
      <c r="M795" s="39"/>
      <c r="N795" s="23"/>
      <c r="O795" s="39"/>
      <c r="P795" s="39"/>
      <c r="Q795" s="39"/>
      <c r="R795" s="39"/>
    </row>
    <row r="796" spans="1:18" s="2" customFormat="1" ht="39.6">
      <c r="A796" s="20">
        <f t="shared" si="49"/>
        <v>740</v>
      </c>
      <c r="B796" s="17" t="s">
        <v>867</v>
      </c>
      <c r="C796" s="17" t="s">
        <v>868</v>
      </c>
      <c r="D796" s="9" t="s">
        <v>8</v>
      </c>
      <c r="E796" s="20" t="s">
        <v>9</v>
      </c>
      <c r="F796" s="18">
        <v>1</v>
      </c>
      <c r="G796" s="19">
        <f>1.633198857*1014.12</f>
        <v>1656.2596248608399</v>
      </c>
      <c r="H796" s="32">
        <v>37.5</v>
      </c>
      <c r="I796" s="25">
        <f t="shared" si="50"/>
        <v>62109.735932281495</v>
      </c>
      <c r="J796" s="40"/>
      <c r="K796" s="39"/>
      <c r="L796" s="39"/>
      <c r="M796" s="39"/>
      <c r="N796" s="23"/>
      <c r="O796" s="39"/>
      <c r="P796" s="39"/>
      <c r="Q796" s="39"/>
      <c r="R796" s="39"/>
    </row>
    <row r="797" spans="1:18" s="2" customFormat="1" ht="26.4">
      <c r="A797" s="20">
        <f t="shared" si="49"/>
        <v>741</v>
      </c>
      <c r="B797" s="17" t="s">
        <v>879</v>
      </c>
      <c r="C797" s="17" t="s">
        <v>880</v>
      </c>
      <c r="D797" s="9" t="s">
        <v>44</v>
      </c>
      <c r="E797" s="20" t="s">
        <v>45</v>
      </c>
      <c r="F797" s="18">
        <v>1</v>
      </c>
      <c r="G797" s="19">
        <f>34.47</f>
        <v>34.47</v>
      </c>
      <c r="H797" s="32">
        <v>60</v>
      </c>
      <c r="I797" s="25">
        <f t="shared" si="50"/>
        <v>2068.1999999999998</v>
      </c>
      <c r="J797" s="40"/>
      <c r="K797" s="39"/>
      <c r="L797" s="39"/>
      <c r="M797" s="39"/>
      <c r="N797" s="23"/>
      <c r="O797" s="39"/>
      <c r="P797" s="39"/>
      <c r="Q797" s="39"/>
      <c r="R797" s="39"/>
    </row>
    <row r="798" spans="1:18" s="2" customFormat="1" ht="26.4">
      <c r="A798" s="20">
        <f t="shared" si="49"/>
        <v>742</v>
      </c>
      <c r="B798" s="17" t="s">
        <v>955</v>
      </c>
      <c r="C798" s="17" t="s">
        <v>882</v>
      </c>
      <c r="D798" s="20" t="s">
        <v>8</v>
      </c>
      <c r="E798" s="20" t="s">
        <v>9</v>
      </c>
      <c r="F798" s="18">
        <v>1</v>
      </c>
      <c r="G798" s="19">
        <f>1.633198857*118.8</f>
        <v>194.02402421159999</v>
      </c>
      <c r="H798" s="32">
        <v>10</v>
      </c>
      <c r="I798" s="25">
        <f t="shared" si="50"/>
        <v>1940.240242116</v>
      </c>
      <c r="J798" s="40"/>
      <c r="K798" s="39"/>
      <c r="L798" s="39"/>
      <c r="M798" s="39"/>
      <c r="N798" s="23"/>
      <c r="O798" s="39"/>
      <c r="P798" s="39"/>
      <c r="Q798" s="39"/>
      <c r="R798" s="39"/>
    </row>
    <row r="799" spans="1:18" s="2" customFormat="1" ht="26.4">
      <c r="A799" s="20">
        <f t="shared" si="49"/>
        <v>743</v>
      </c>
      <c r="B799" s="17" t="s">
        <v>1019</v>
      </c>
      <c r="C799" s="17" t="s">
        <v>884</v>
      </c>
      <c r="D799" s="20" t="s">
        <v>8</v>
      </c>
      <c r="E799" s="20" t="s">
        <v>9</v>
      </c>
      <c r="F799" s="18">
        <v>1</v>
      </c>
      <c r="G799" s="19">
        <f>359.12</f>
        <v>359.12</v>
      </c>
      <c r="H799" s="32">
        <v>0.04</v>
      </c>
      <c r="I799" s="25">
        <f t="shared" si="50"/>
        <v>14.364800000000001</v>
      </c>
      <c r="J799" s="40"/>
      <c r="K799" s="39"/>
      <c r="L799" s="39"/>
      <c r="M799" s="39"/>
      <c r="N799" s="23"/>
      <c r="O799" s="39"/>
      <c r="P799" s="39"/>
      <c r="Q799" s="39"/>
      <c r="R799" s="39"/>
    </row>
    <row r="800" spans="1:18" s="2" customFormat="1" ht="26.4">
      <c r="A800" s="20">
        <f t="shared" si="49"/>
        <v>744</v>
      </c>
      <c r="B800" s="17" t="s">
        <v>1020</v>
      </c>
      <c r="C800" s="17" t="s">
        <v>1021</v>
      </c>
      <c r="D800" s="9" t="s">
        <v>8</v>
      </c>
      <c r="E800" s="20" t="s">
        <v>9</v>
      </c>
      <c r="F800" s="18">
        <v>1</v>
      </c>
      <c r="G800" s="19">
        <v>535</v>
      </c>
      <c r="H800" s="32">
        <v>0.25</v>
      </c>
      <c r="I800" s="25">
        <f t="shared" si="50"/>
        <v>133.75</v>
      </c>
      <c r="J800" s="40"/>
      <c r="K800" s="39"/>
      <c r="L800" s="39"/>
      <c r="M800" s="39"/>
      <c r="N800" s="23"/>
      <c r="O800" s="39"/>
      <c r="P800" s="39"/>
      <c r="Q800" s="39"/>
      <c r="R800" s="39"/>
    </row>
    <row r="801" spans="1:18" s="2" customFormat="1" ht="14.4">
      <c r="A801" s="20">
        <f t="shared" si="49"/>
        <v>745</v>
      </c>
      <c r="B801" s="17" t="s">
        <v>218</v>
      </c>
      <c r="C801" s="17" t="s">
        <v>219</v>
      </c>
      <c r="D801" s="20" t="s">
        <v>48</v>
      </c>
      <c r="E801" s="20" t="s">
        <v>49</v>
      </c>
      <c r="F801" s="18">
        <v>1</v>
      </c>
      <c r="G801" s="19"/>
      <c r="H801" s="32">
        <v>1</v>
      </c>
      <c r="I801" s="25">
        <f>SUM(I774:I800)*0.05</f>
        <v>7481.768653533908</v>
      </c>
      <c r="J801" s="40"/>
      <c r="K801" s="39"/>
      <c r="L801" s="39"/>
      <c r="M801" s="39"/>
      <c r="N801" s="23"/>
      <c r="O801" s="39"/>
      <c r="P801" s="39"/>
      <c r="Q801" s="39"/>
      <c r="R801" s="39"/>
    </row>
    <row r="802" spans="1:18" ht="14.4">
      <c r="A802" s="9" t="s">
        <v>61</v>
      </c>
      <c r="B802" s="20" t="s">
        <v>1022</v>
      </c>
      <c r="C802" s="20" t="s">
        <v>1023</v>
      </c>
      <c r="D802" s="9"/>
      <c r="E802" s="9"/>
      <c r="F802" s="18"/>
      <c r="G802" s="19"/>
      <c r="H802" s="18"/>
      <c r="I802" s="25"/>
      <c r="J802" s="24"/>
      <c r="K802" s="22"/>
      <c r="L802" s="22"/>
      <c r="M802" s="22"/>
      <c r="N802" s="23"/>
      <c r="O802" s="22"/>
      <c r="P802" s="22"/>
      <c r="Q802" s="22"/>
      <c r="R802" s="22"/>
    </row>
    <row r="803" spans="1:18" s="2" customFormat="1" ht="26.4">
      <c r="A803" s="20">
        <f>A801+1</f>
        <v>746</v>
      </c>
      <c r="B803" s="17" t="s">
        <v>1024</v>
      </c>
      <c r="C803" s="17" t="s">
        <v>1025</v>
      </c>
      <c r="D803" s="20" t="s">
        <v>5</v>
      </c>
      <c r="E803" s="20" t="s">
        <v>6</v>
      </c>
      <c r="F803" s="18">
        <v>1</v>
      </c>
      <c r="G803" s="19">
        <f>1.633198857*853.26</f>
        <v>1393.5432567238199</v>
      </c>
      <c r="H803" s="32">
        <v>5</v>
      </c>
      <c r="I803" s="25">
        <f t="shared" si="50"/>
        <v>6967.7162836191001</v>
      </c>
      <c r="J803" s="40"/>
      <c r="K803" s="39"/>
      <c r="L803" s="39"/>
      <c r="M803" s="39"/>
      <c r="N803" s="23"/>
      <c r="O803" s="39"/>
      <c r="P803" s="39"/>
      <c r="Q803" s="39"/>
      <c r="R803" s="39"/>
    </row>
    <row r="804" spans="1:18" s="2" customFormat="1" ht="26.4">
      <c r="A804" s="20">
        <f t="shared" ref="A804:A824" si="51">A803+1</f>
        <v>747</v>
      </c>
      <c r="B804" s="17" t="s">
        <v>1026</v>
      </c>
      <c r="C804" s="17" t="s">
        <v>1027</v>
      </c>
      <c r="D804" s="20" t="s">
        <v>5</v>
      </c>
      <c r="E804" s="20" t="s">
        <v>6</v>
      </c>
      <c r="F804" s="18">
        <v>1</v>
      </c>
      <c r="G804" s="19">
        <f>16114.06</f>
        <v>16114.06</v>
      </c>
      <c r="H804" s="32">
        <v>5</v>
      </c>
      <c r="I804" s="25">
        <f t="shared" si="50"/>
        <v>80570.3</v>
      </c>
      <c r="J804" s="40"/>
      <c r="K804" s="39"/>
      <c r="L804" s="39"/>
      <c r="M804" s="39"/>
      <c r="N804" s="23"/>
      <c r="O804" s="39"/>
      <c r="P804" s="39"/>
      <c r="Q804" s="39"/>
      <c r="R804" s="39"/>
    </row>
    <row r="805" spans="1:18" s="2" customFormat="1" ht="26.4">
      <c r="A805" s="20">
        <f t="shared" si="51"/>
        <v>748</v>
      </c>
      <c r="B805" s="17" t="s">
        <v>1028</v>
      </c>
      <c r="C805" s="17" t="s">
        <v>1029</v>
      </c>
      <c r="D805" s="20" t="s">
        <v>8</v>
      </c>
      <c r="E805" s="20" t="s">
        <v>9</v>
      </c>
      <c r="F805" s="18">
        <v>1</v>
      </c>
      <c r="G805" s="19">
        <f>1.633198857*1188.53</f>
        <v>1941.10583751021</v>
      </c>
      <c r="H805" s="32">
        <v>17.7</v>
      </c>
      <c r="I805" s="25">
        <f t="shared" si="50"/>
        <v>34357.573323930716</v>
      </c>
      <c r="J805" s="40"/>
      <c r="K805" s="39"/>
      <c r="L805" s="39"/>
      <c r="M805" s="39"/>
      <c r="N805" s="23"/>
      <c r="O805" s="39"/>
      <c r="P805" s="39"/>
      <c r="Q805" s="39"/>
      <c r="R805" s="39"/>
    </row>
    <row r="806" spans="1:18" s="2" customFormat="1" ht="14.4">
      <c r="A806" s="20">
        <f t="shared" si="51"/>
        <v>749</v>
      </c>
      <c r="B806" s="17" t="s">
        <v>1030</v>
      </c>
      <c r="C806" s="17" t="s">
        <v>1031</v>
      </c>
      <c r="D806" s="20" t="s">
        <v>8</v>
      </c>
      <c r="E806" s="20" t="s">
        <v>9</v>
      </c>
      <c r="F806" s="18">
        <v>1</v>
      </c>
      <c r="G806" s="19">
        <f>767.65</f>
        <v>767.65</v>
      </c>
      <c r="H806" s="32">
        <v>0.94</v>
      </c>
      <c r="I806" s="25">
        <f t="shared" si="50"/>
        <v>721.59099999999989</v>
      </c>
      <c r="J806" s="40"/>
      <c r="K806" s="39"/>
      <c r="L806" s="39"/>
      <c r="M806" s="39"/>
      <c r="N806" s="23"/>
      <c r="O806" s="39"/>
      <c r="P806" s="39"/>
      <c r="Q806" s="39"/>
      <c r="R806" s="39"/>
    </row>
    <row r="807" spans="1:18" s="2" customFormat="1" ht="26.4">
      <c r="A807" s="20">
        <f t="shared" si="51"/>
        <v>750</v>
      </c>
      <c r="B807" s="17" t="s">
        <v>1032</v>
      </c>
      <c r="C807" s="17" t="s">
        <v>1033</v>
      </c>
      <c r="D807" s="20" t="s">
        <v>5</v>
      </c>
      <c r="E807" s="20" t="s">
        <v>6</v>
      </c>
      <c r="F807" s="18">
        <v>1</v>
      </c>
      <c r="G807" s="19">
        <f>1.633198857*273.48</f>
        <v>446.64722341236001</v>
      </c>
      <c r="H807" s="32">
        <v>5</v>
      </c>
      <c r="I807" s="25">
        <f t="shared" si="50"/>
        <v>2233.2361170618001</v>
      </c>
      <c r="J807" s="40"/>
      <c r="K807" s="39"/>
      <c r="L807" s="39"/>
      <c r="M807" s="39"/>
      <c r="N807" s="23"/>
      <c r="O807" s="39"/>
      <c r="P807" s="39"/>
      <c r="Q807" s="39"/>
      <c r="R807" s="39"/>
    </row>
    <row r="808" spans="1:18" s="2" customFormat="1" ht="14.4">
      <c r="A808" s="20">
        <f t="shared" si="51"/>
        <v>751</v>
      </c>
      <c r="B808" s="17" t="s">
        <v>1034</v>
      </c>
      <c r="C808" s="17" t="s">
        <v>1035</v>
      </c>
      <c r="D808" s="20" t="s">
        <v>5</v>
      </c>
      <c r="E808" s="20" t="s">
        <v>6</v>
      </c>
      <c r="F808" s="18">
        <v>1</v>
      </c>
      <c r="G808" s="19">
        <f>327.49</f>
        <v>327.49</v>
      </c>
      <c r="H808" s="32">
        <v>5</v>
      </c>
      <c r="I808" s="25">
        <f t="shared" si="50"/>
        <v>1637.45</v>
      </c>
      <c r="J808" s="40"/>
      <c r="K808" s="39"/>
      <c r="L808" s="39"/>
      <c r="M808" s="39"/>
      <c r="N808" s="23"/>
      <c r="O808" s="39"/>
      <c r="P808" s="39"/>
      <c r="Q808" s="39"/>
      <c r="R808" s="39"/>
    </row>
    <row r="809" spans="1:18" s="2" customFormat="1" ht="26.4">
      <c r="A809" s="20">
        <f t="shared" si="51"/>
        <v>752</v>
      </c>
      <c r="B809" s="17" t="s">
        <v>856</v>
      </c>
      <c r="C809" s="17" t="s">
        <v>940</v>
      </c>
      <c r="D809" s="20" t="s">
        <v>858</v>
      </c>
      <c r="E809" s="20" t="s">
        <v>64</v>
      </c>
      <c r="F809" s="18">
        <v>1</v>
      </c>
      <c r="G809" s="19">
        <f>1.633198857*905.7</f>
        <v>1479.1882047849001</v>
      </c>
      <c r="H809" s="32">
        <v>7</v>
      </c>
      <c r="I809" s="25">
        <f t="shared" si="50"/>
        <v>10354.317433494301</v>
      </c>
      <c r="J809" s="40"/>
      <c r="K809" s="39"/>
      <c r="L809" s="39"/>
      <c r="M809" s="39"/>
      <c r="N809" s="23"/>
      <c r="O809" s="39"/>
      <c r="P809" s="39"/>
      <c r="Q809" s="39"/>
      <c r="R809" s="39"/>
    </row>
    <row r="810" spans="1:18" s="2" customFormat="1" ht="26.4">
      <c r="A810" s="20">
        <f t="shared" si="51"/>
        <v>753</v>
      </c>
      <c r="B810" s="17" t="s">
        <v>1036</v>
      </c>
      <c r="C810" s="17" t="s">
        <v>1037</v>
      </c>
      <c r="D810" s="20" t="s">
        <v>5</v>
      </c>
      <c r="E810" s="20" t="s">
        <v>6</v>
      </c>
      <c r="F810" s="18">
        <v>1</v>
      </c>
      <c r="G810" s="19">
        <f>10288.28</f>
        <v>10288.280000000001</v>
      </c>
      <c r="H810" s="32">
        <v>7</v>
      </c>
      <c r="I810" s="25">
        <f t="shared" si="50"/>
        <v>72017.960000000006</v>
      </c>
      <c r="J810" s="40"/>
      <c r="K810" s="39"/>
      <c r="L810" s="39"/>
      <c r="M810" s="39"/>
      <c r="N810" s="23"/>
      <c r="O810" s="39"/>
      <c r="P810" s="39"/>
      <c r="Q810" s="39"/>
      <c r="R810" s="39"/>
    </row>
    <row r="811" spans="1:18" s="2" customFormat="1" ht="26.4">
      <c r="A811" s="20">
        <f t="shared" si="51"/>
        <v>754</v>
      </c>
      <c r="B811" s="17" t="s">
        <v>1038</v>
      </c>
      <c r="C811" s="17" t="s">
        <v>1039</v>
      </c>
      <c r="D811" s="20" t="s">
        <v>5</v>
      </c>
      <c r="E811" s="20" t="s">
        <v>6</v>
      </c>
      <c r="F811" s="18">
        <v>1</v>
      </c>
      <c r="G811" s="19">
        <f>1.633198857*204.62</f>
        <v>334.18515011933999</v>
      </c>
      <c r="H811" s="32">
        <v>4</v>
      </c>
      <c r="I811" s="25">
        <f t="shared" si="50"/>
        <v>1336.74060047736</v>
      </c>
      <c r="J811" s="40"/>
      <c r="K811" s="39"/>
      <c r="L811" s="39"/>
      <c r="M811" s="39"/>
      <c r="N811" s="23"/>
      <c r="O811" s="39"/>
      <c r="P811" s="39"/>
      <c r="Q811" s="39"/>
      <c r="R811" s="39"/>
    </row>
    <row r="812" spans="1:18" s="2" customFormat="1" ht="26.4">
      <c r="A812" s="20">
        <f t="shared" si="51"/>
        <v>755</v>
      </c>
      <c r="B812" s="17" t="s">
        <v>1040</v>
      </c>
      <c r="C812" s="17" t="s">
        <v>1041</v>
      </c>
      <c r="D812" s="20" t="s">
        <v>5</v>
      </c>
      <c r="E812" s="20" t="s">
        <v>6</v>
      </c>
      <c r="F812" s="18">
        <v>1</v>
      </c>
      <c r="G812" s="19">
        <f>3957.48</f>
        <v>3957.48</v>
      </c>
      <c r="H812" s="32">
        <v>4</v>
      </c>
      <c r="I812" s="25">
        <f t="shared" si="50"/>
        <v>15829.92</v>
      </c>
      <c r="J812" s="40"/>
      <c r="K812" s="39"/>
      <c r="L812" s="39"/>
      <c r="M812" s="39"/>
      <c r="N812" s="23"/>
      <c r="O812" s="39"/>
      <c r="P812" s="39"/>
      <c r="Q812" s="39"/>
      <c r="R812" s="39"/>
    </row>
    <row r="813" spans="1:18" s="2" customFormat="1" ht="26.4">
      <c r="A813" s="20">
        <f t="shared" si="51"/>
        <v>756</v>
      </c>
      <c r="B813" s="17" t="s">
        <v>1042</v>
      </c>
      <c r="C813" s="17" t="s">
        <v>1043</v>
      </c>
      <c r="D813" s="20" t="s">
        <v>890</v>
      </c>
      <c r="E813" s="20" t="s">
        <v>65</v>
      </c>
      <c r="F813" s="18">
        <v>1</v>
      </c>
      <c r="G813" s="19">
        <f>1.633198857*228.23</f>
        <v>372.74497513310996</v>
      </c>
      <c r="H813" s="32">
        <v>5</v>
      </c>
      <c r="I813" s="25">
        <f t="shared" si="50"/>
        <v>1863.7248756655499</v>
      </c>
      <c r="J813" s="40"/>
      <c r="K813" s="39"/>
      <c r="L813" s="39"/>
      <c r="M813" s="39"/>
      <c r="N813" s="23"/>
      <c r="O813" s="39"/>
      <c r="P813" s="39"/>
      <c r="Q813" s="39"/>
      <c r="R813" s="39"/>
    </row>
    <row r="814" spans="1:18" s="2" customFormat="1" ht="26.4">
      <c r="A814" s="20">
        <f t="shared" si="51"/>
        <v>757</v>
      </c>
      <c r="B814" s="17" t="s">
        <v>1044</v>
      </c>
      <c r="C814" s="17" t="s">
        <v>1045</v>
      </c>
      <c r="D814" s="20" t="s">
        <v>5</v>
      </c>
      <c r="E814" s="20" t="s">
        <v>6</v>
      </c>
      <c r="F814" s="18">
        <v>1</v>
      </c>
      <c r="G814" s="19">
        <f>1210</f>
        <v>1210</v>
      </c>
      <c r="H814" s="32">
        <v>1</v>
      </c>
      <c r="I814" s="25">
        <f t="shared" si="50"/>
        <v>1210</v>
      </c>
      <c r="J814" s="40"/>
      <c r="K814" s="39"/>
      <c r="L814" s="39"/>
      <c r="M814" s="39"/>
      <c r="N814" s="23"/>
      <c r="O814" s="39"/>
      <c r="P814" s="39"/>
      <c r="Q814" s="39"/>
      <c r="R814" s="39"/>
    </row>
    <row r="815" spans="1:18" s="2" customFormat="1" ht="26.4">
      <c r="A815" s="20">
        <f t="shared" si="51"/>
        <v>758</v>
      </c>
      <c r="B815" s="17" t="s">
        <v>1046</v>
      </c>
      <c r="C815" s="17" t="s">
        <v>1047</v>
      </c>
      <c r="D815" s="20" t="s">
        <v>5</v>
      </c>
      <c r="E815" s="20" t="s">
        <v>6</v>
      </c>
      <c r="F815" s="18">
        <v>1</v>
      </c>
      <c r="G815" s="19">
        <f>1620</f>
        <v>1620</v>
      </c>
      <c r="H815" s="32">
        <v>4</v>
      </c>
      <c r="I815" s="25">
        <f t="shared" si="50"/>
        <v>6480</v>
      </c>
      <c r="J815" s="40"/>
      <c r="K815" s="39"/>
      <c r="L815" s="39"/>
      <c r="M815" s="39"/>
      <c r="N815" s="23"/>
      <c r="O815" s="39"/>
      <c r="P815" s="39"/>
      <c r="Q815" s="39"/>
      <c r="R815" s="39"/>
    </row>
    <row r="816" spans="1:18" s="2" customFormat="1" ht="14.4">
      <c r="A816" s="20">
        <f t="shared" si="51"/>
        <v>759</v>
      </c>
      <c r="B816" s="17" t="s">
        <v>846</v>
      </c>
      <c r="C816" s="17" t="s">
        <v>847</v>
      </c>
      <c r="D816" s="9" t="s">
        <v>5</v>
      </c>
      <c r="E816" s="9" t="s">
        <v>6</v>
      </c>
      <c r="F816" s="18">
        <v>1</v>
      </c>
      <c r="G816" s="19">
        <f>1.633198857*126.06</f>
        <v>205.88104791341999</v>
      </c>
      <c r="H816" s="32">
        <v>4</v>
      </c>
      <c r="I816" s="25">
        <f t="shared" si="50"/>
        <v>823.52419165367996</v>
      </c>
      <c r="J816" s="74"/>
      <c r="K816" s="75"/>
      <c r="L816" s="75"/>
      <c r="M816" s="75"/>
      <c r="N816" s="76"/>
      <c r="O816" s="75"/>
      <c r="P816" s="75"/>
      <c r="Q816" s="75"/>
      <c r="R816" s="75"/>
    </row>
    <row r="817" spans="1:18" s="2" customFormat="1" ht="14.4">
      <c r="A817" s="20">
        <f t="shared" si="51"/>
        <v>760</v>
      </c>
      <c r="B817" s="17" t="s">
        <v>919</v>
      </c>
      <c r="C817" s="17" t="s">
        <v>920</v>
      </c>
      <c r="D817" s="9" t="s">
        <v>5</v>
      </c>
      <c r="E817" s="9" t="s">
        <v>6</v>
      </c>
      <c r="F817" s="18">
        <v>1</v>
      </c>
      <c r="G817" s="19">
        <f>1.633198857*126.06</f>
        <v>205.88104791341999</v>
      </c>
      <c r="H817" s="32">
        <v>4</v>
      </c>
      <c r="I817" s="25">
        <f t="shared" si="50"/>
        <v>823.52419165367996</v>
      </c>
      <c r="J817" s="74"/>
      <c r="K817" s="75"/>
      <c r="L817" s="75"/>
      <c r="M817" s="75"/>
      <c r="N817" s="76"/>
      <c r="O817" s="75"/>
      <c r="P817" s="75"/>
      <c r="Q817" s="75"/>
      <c r="R817" s="75"/>
    </row>
    <row r="818" spans="1:18" s="2" customFormat="1" ht="26.4">
      <c r="A818" s="20">
        <f t="shared" si="51"/>
        <v>761</v>
      </c>
      <c r="B818" s="17" t="s">
        <v>902</v>
      </c>
      <c r="C818" s="17" t="s">
        <v>903</v>
      </c>
      <c r="D818" s="9" t="s">
        <v>890</v>
      </c>
      <c r="E818" s="9" t="s">
        <v>65</v>
      </c>
      <c r="F818" s="18">
        <v>1</v>
      </c>
      <c r="G818" s="19">
        <f>1.633198857*126.06</f>
        <v>205.88104791341999</v>
      </c>
      <c r="H818" s="32">
        <v>4</v>
      </c>
      <c r="I818" s="25">
        <f t="shared" si="50"/>
        <v>823.52419165367996</v>
      </c>
      <c r="J818" s="74"/>
      <c r="K818" s="75"/>
      <c r="L818" s="75"/>
      <c r="M818" s="75"/>
      <c r="N818" s="76"/>
      <c r="O818" s="75"/>
      <c r="P818" s="75"/>
      <c r="Q818" s="75"/>
      <c r="R818" s="75"/>
    </row>
    <row r="819" spans="1:18" s="2" customFormat="1" ht="26.4">
      <c r="A819" s="20">
        <f t="shared" si="51"/>
        <v>762</v>
      </c>
      <c r="B819" s="17" t="s">
        <v>921</v>
      </c>
      <c r="C819" s="17" t="s">
        <v>922</v>
      </c>
      <c r="D819" s="9" t="s">
        <v>5</v>
      </c>
      <c r="E819" s="9" t="s">
        <v>6</v>
      </c>
      <c r="F819" s="18">
        <v>1</v>
      </c>
      <c r="G819" s="19">
        <f>1.633198857*1084.71</f>
        <v>1771.5471321764701</v>
      </c>
      <c r="H819" s="32">
        <v>4</v>
      </c>
      <c r="I819" s="25">
        <f t="shared" si="50"/>
        <v>7086.1885287058803</v>
      </c>
      <c r="J819" s="74"/>
      <c r="K819" s="75"/>
      <c r="L819" s="75"/>
      <c r="M819" s="75"/>
      <c r="N819" s="76"/>
      <c r="O819" s="75"/>
      <c r="P819" s="75"/>
      <c r="Q819" s="75"/>
      <c r="R819" s="75"/>
    </row>
    <row r="820" spans="1:18" s="2" customFormat="1" ht="14.4">
      <c r="A820" s="20">
        <f t="shared" si="51"/>
        <v>763</v>
      </c>
      <c r="B820" s="17" t="s">
        <v>984</v>
      </c>
      <c r="C820" s="17" t="s">
        <v>985</v>
      </c>
      <c r="D820" s="20" t="s">
        <v>5</v>
      </c>
      <c r="E820" s="20" t="s">
        <v>6</v>
      </c>
      <c r="F820" s="18">
        <v>1</v>
      </c>
      <c r="G820" s="19">
        <f>253.6</f>
        <v>253.6</v>
      </c>
      <c r="H820" s="32">
        <v>2</v>
      </c>
      <c r="I820" s="25">
        <f t="shared" si="50"/>
        <v>507.2</v>
      </c>
      <c r="J820" s="40"/>
      <c r="K820" s="39"/>
      <c r="L820" s="39"/>
      <c r="M820" s="39"/>
      <c r="N820" s="23"/>
      <c r="O820" s="39"/>
      <c r="P820" s="39"/>
      <c r="Q820" s="39"/>
      <c r="R820" s="39"/>
    </row>
    <row r="821" spans="1:18" s="2" customFormat="1" ht="39.6">
      <c r="A821" s="20">
        <f t="shared" si="51"/>
        <v>764</v>
      </c>
      <c r="B821" s="17" t="s">
        <v>861</v>
      </c>
      <c r="C821" s="17" t="s">
        <v>908</v>
      </c>
      <c r="D821" s="9" t="s">
        <v>8</v>
      </c>
      <c r="E821" s="20" t="s">
        <v>9</v>
      </c>
      <c r="F821" s="18">
        <v>1</v>
      </c>
      <c r="G821" s="19">
        <f>1.633198857*1065.76</f>
        <v>1740.59801383632</v>
      </c>
      <c r="H821" s="32">
        <v>11</v>
      </c>
      <c r="I821" s="25">
        <f t="shared" si="50"/>
        <v>19146.57815219952</v>
      </c>
      <c r="J821" s="40"/>
      <c r="K821" s="39"/>
      <c r="L821" s="39"/>
      <c r="M821" s="39"/>
      <c r="N821" s="23"/>
      <c r="O821" s="39"/>
      <c r="P821" s="39"/>
      <c r="Q821" s="39"/>
      <c r="R821" s="39"/>
    </row>
    <row r="822" spans="1:18" s="2" customFormat="1" ht="26.4">
      <c r="A822" s="20">
        <f t="shared" si="51"/>
        <v>765</v>
      </c>
      <c r="B822" s="17" t="s">
        <v>879</v>
      </c>
      <c r="C822" s="17" t="s">
        <v>880</v>
      </c>
      <c r="D822" s="9" t="s">
        <v>44</v>
      </c>
      <c r="E822" s="20" t="s">
        <v>45</v>
      </c>
      <c r="F822" s="18">
        <v>1</v>
      </c>
      <c r="G822" s="19">
        <f>34.47</f>
        <v>34.47</v>
      </c>
      <c r="H822" s="32">
        <v>30</v>
      </c>
      <c r="I822" s="25">
        <f t="shared" si="50"/>
        <v>1034.0999999999999</v>
      </c>
      <c r="J822" s="40"/>
      <c r="K822" s="39"/>
      <c r="L822" s="39"/>
      <c r="M822" s="39"/>
      <c r="N822" s="23"/>
      <c r="O822" s="39"/>
      <c r="P822" s="39"/>
      <c r="Q822" s="39"/>
      <c r="R822" s="39"/>
    </row>
    <row r="823" spans="1:18" s="2" customFormat="1" ht="26.4">
      <c r="A823" s="20">
        <f t="shared" si="51"/>
        <v>766</v>
      </c>
      <c r="B823" s="17" t="s">
        <v>955</v>
      </c>
      <c r="C823" s="17" t="s">
        <v>882</v>
      </c>
      <c r="D823" s="20" t="s">
        <v>8</v>
      </c>
      <c r="E823" s="20" t="s">
        <v>9</v>
      </c>
      <c r="F823" s="18">
        <v>1</v>
      </c>
      <c r="G823" s="19">
        <f>1.633198857*118.8</f>
        <v>194.02402421159999</v>
      </c>
      <c r="H823" s="32">
        <v>6.5</v>
      </c>
      <c r="I823" s="25">
        <f t="shared" si="50"/>
        <v>1261.1561573754</v>
      </c>
      <c r="J823" s="40"/>
      <c r="K823" s="39"/>
      <c r="L823" s="39"/>
      <c r="M823" s="39"/>
      <c r="N823" s="23"/>
      <c r="O823" s="39"/>
      <c r="P823" s="39"/>
      <c r="Q823" s="39"/>
      <c r="R823" s="39"/>
    </row>
    <row r="824" spans="1:18" s="2" customFormat="1" ht="14.4">
      <c r="A824" s="20">
        <f t="shared" si="51"/>
        <v>767</v>
      </c>
      <c r="B824" s="17" t="s">
        <v>218</v>
      </c>
      <c r="C824" s="17" t="s">
        <v>219</v>
      </c>
      <c r="D824" s="20" t="s">
        <v>48</v>
      </c>
      <c r="E824" s="20" t="s">
        <v>49</v>
      </c>
      <c r="F824" s="18">
        <v>1</v>
      </c>
      <c r="G824" s="19"/>
      <c r="H824" s="32">
        <v>1</v>
      </c>
      <c r="I824" s="25">
        <f>SUM(I803:I823)*0.05</f>
        <v>13354.31625237453</v>
      </c>
      <c r="J824" s="40"/>
      <c r="K824" s="39"/>
      <c r="L824" s="39"/>
      <c r="M824" s="39"/>
      <c r="N824" s="23"/>
      <c r="O824" s="39"/>
      <c r="P824" s="39"/>
      <c r="Q824" s="39"/>
      <c r="R824" s="39"/>
    </row>
    <row r="825" spans="1:18" ht="14.4">
      <c r="A825" s="9" t="s">
        <v>61</v>
      </c>
      <c r="B825" s="20" t="s">
        <v>1048</v>
      </c>
      <c r="C825" s="20" t="s">
        <v>1049</v>
      </c>
      <c r="D825" s="9"/>
      <c r="E825" s="9"/>
      <c r="F825" s="18"/>
      <c r="G825" s="19"/>
      <c r="H825" s="18"/>
      <c r="I825" s="25"/>
      <c r="J825" s="24"/>
      <c r="K825" s="22"/>
      <c r="L825" s="22"/>
      <c r="M825" s="22"/>
      <c r="N825" s="23"/>
      <c r="O825" s="22"/>
      <c r="P825" s="22"/>
      <c r="Q825" s="22"/>
      <c r="R825" s="22"/>
    </row>
    <row r="826" spans="1:18" s="2" customFormat="1" ht="26.4">
      <c r="A826" s="20">
        <f>A824+1</f>
        <v>768</v>
      </c>
      <c r="B826" s="17" t="s">
        <v>1024</v>
      </c>
      <c r="C826" s="17" t="s">
        <v>1025</v>
      </c>
      <c r="D826" s="20" t="s">
        <v>5</v>
      </c>
      <c r="E826" s="20" t="s">
        <v>6</v>
      </c>
      <c r="F826" s="18">
        <v>1</v>
      </c>
      <c r="G826" s="19">
        <f>1.633198857*853.26</f>
        <v>1393.5432567238199</v>
      </c>
      <c r="H826" s="32">
        <v>2</v>
      </c>
      <c r="I826" s="25">
        <f t="shared" si="50"/>
        <v>2787.0865134476398</v>
      </c>
      <c r="J826" s="40"/>
      <c r="K826" s="39"/>
      <c r="L826" s="39"/>
      <c r="M826" s="39"/>
      <c r="N826" s="23"/>
      <c r="O826" s="39"/>
      <c r="P826" s="39"/>
      <c r="Q826" s="39"/>
      <c r="R826" s="39"/>
    </row>
    <row r="827" spans="1:18" s="2" customFormat="1" ht="26.4">
      <c r="A827" s="20">
        <f t="shared" ref="A827:A845" si="52">A826+1</f>
        <v>769</v>
      </c>
      <c r="B827" s="17" t="s">
        <v>1026</v>
      </c>
      <c r="C827" s="17" t="s">
        <v>1050</v>
      </c>
      <c r="D827" s="20" t="s">
        <v>5</v>
      </c>
      <c r="E827" s="20" t="s">
        <v>6</v>
      </c>
      <c r="F827" s="18">
        <v>1</v>
      </c>
      <c r="G827" s="19">
        <f>16114.07</f>
        <v>16114.07</v>
      </c>
      <c r="H827" s="32">
        <v>2</v>
      </c>
      <c r="I827" s="25">
        <f t="shared" si="50"/>
        <v>32228.14</v>
      </c>
      <c r="J827" s="40"/>
      <c r="K827" s="39"/>
      <c r="L827" s="39"/>
      <c r="M827" s="39"/>
      <c r="N827" s="23"/>
      <c r="O827" s="39"/>
      <c r="P827" s="39"/>
      <c r="Q827" s="39"/>
      <c r="R827" s="39"/>
    </row>
    <row r="828" spans="1:18" s="2" customFormat="1" ht="26.4">
      <c r="A828" s="20">
        <f t="shared" si="52"/>
        <v>770</v>
      </c>
      <c r="B828" s="17" t="s">
        <v>1028</v>
      </c>
      <c r="C828" s="17" t="s">
        <v>1029</v>
      </c>
      <c r="D828" s="20" t="s">
        <v>8</v>
      </c>
      <c r="E828" s="20" t="s">
        <v>9</v>
      </c>
      <c r="F828" s="18">
        <v>1</v>
      </c>
      <c r="G828" s="19">
        <f>1.633198857*1188.53</f>
        <v>1941.10583751021</v>
      </c>
      <c r="H828" s="32">
        <v>0.8</v>
      </c>
      <c r="I828" s="25">
        <f t="shared" si="50"/>
        <v>1552.8846700081681</v>
      </c>
      <c r="J828" s="40"/>
      <c r="K828" s="39"/>
      <c r="L828" s="39"/>
      <c r="M828" s="39"/>
      <c r="N828" s="23"/>
      <c r="O828" s="39"/>
      <c r="P828" s="39"/>
      <c r="Q828" s="39"/>
      <c r="R828" s="39"/>
    </row>
    <row r="829" spans="1:18" s="2" customFormat="1" ht="26.4">
      <c r="A829" s="20">
        <f t="shared" si="52"/>
        <v>771</v>
      </c>
      <c r="B829" s="17" t="s">
        <v>1038</v>
      </c>
      <c r="C829" s="17" t="s">
        <v>1039</v>
      </c>
      <c r="D829" s="20" t="s">
        <v>5</v>
      </c>
      <c r="E829" s="20" t="s">
        <v>6</v>
      </c>
      <c r="F829" s="18">
        <v>1</v>
      </c>
      <c r="G829" s="19">
        <f>1.633198857*204.62</f>
        <v>334.18515011933999</v>
      </c>
      <c r="H829" s="32">
        <v>2</v>
      </c>
      <c r="I829" s="25">
        <f t="shared" si="50"/>
        <v>668.37030023867999</v>
      </c>
      <c r="J829" s="40"/>
      <c r="K829" s="39"/>
      <c r="L829" s="39"/>
      <c r="M829" s="39"/>
      <c r="N829" s="23"/>
      <c r="O829" s="39"/>
      <c r="P829" s="39"/>
      <c r="Q829" s="39"/>
      <c r="R829" s="39"/>
    </row>
    <row r="830" spans="1:18" s="2" customFormat="1" ht="26.4">
      <c r="A830" s="20">
        <f t="shared" si="52"/>
        <v>772</v>
      </c>
      <c r="B830" s="17" t="s">
        <v>1051</v>
      </c>
      <c r="C830" s="17" t="s">
        <v>1052</v>
      </c>
      <c r="D830" s="20" t="s">
        <v>5</v>
      </c>
      <c r="E830" s="20" t="s">
        <v>6</v>
      </c>
      <c r="F830" s="18">
        <v>1</v>
      </c>
      <c r="G830" s="19">
        <f>3957.48</f>
        <v>3957.48</v>
      </c>
      <c r="H830" s="32">
        <v>2</v>
      </c>
      <c r="I830" s="25">
        <f t="shared" si="50"/>
        <v>7914.96</v>
      </c>
      <c r="J830" s="40"/>
      <c r="K830" s="39"/>
      <c r="L830" s="39"/>
      <c r="M830" s="39"/>
      <c r="N830" s="23"/>
      <c r="O830" s="39"/>
      <c r="P830" s="39"/>
      <c r="Q830" s="39"/>
      <c r="R830" s="39"/>
    </row>
    <row r="831" spans="1:18" s="2" customFormat="1" ht="26.4">
      <c r="A831" s="20">
        <f t="shared" si="52"/>
        <v>773</v>
      </c>
      <c r="B831" s="17" t="s">
        <v>856</v>
      </c>
      <c r="C831" s="17" t="s">
        <v>940</v>
      </c>
      <c r="D831" s="20" t="s">
        <v>858</v>
      </c>
      <c r="E831" s="20" t="s">
        <v>64</v>
      </c>
      <c r="F831" s="18">
        <v>1</v>
      </c>
      <c r="G831" s="19">
        <f>1.633198857*905.7</f>
        <v>1479.1882047849001</v>
      </c>
      <c r="H831" s="32">
        <v>2</v>
      </c>
      <c r="I831" s="25">
        <f t="shared" si="50"/>
        <v>2958.3764095698002</v>
      </c>
      <c r="J831" s="40"/>
      <c r="K831" s="39"/>
      <c r="L831" s="39"/>
      <c r="M831" s="39"/>
      <c r="N831" s="23"/>
      <c r="O831" s="39"/>
      <c r="P831" s="39"/>
      <c r="Q831" s="39"/>
      <c r="R831" s="39"/>
    </row>
    <row r="832" spans="1:18" s="2" customFormat="1" ht="26.4">
      <c r="A832" s="20">
        <f t="shared" si="52"/>
        <v>774</v>
      </c>
      <c r="B832" s="17" t="s">
        <v>1053</v>
      </c>
      <c r="C832" s="17" t="s">
        <v>1054</v>
      </c>
      <c r="D832" s="20" t="s">
        <v>5</v>
      </c>
      <c r="E832" s="20" t="s">
        <v>6</v>
      </c>
      <c r="F832" s="18">
        <v>1</v>
      </c>
      <c r="G832" s="19">
        <f>10288.28</f>
        <v>10288.280000000001</v>
      </c>
      <c r="H832" s="32">
        <v>2</v>
      </c>
      <c r="I832" s="25">
        <f t="shared" si="50"/>
        <v>20576.560000000001</v>
      </c>
      <c r="J832" s="40"/>
      <c r="K832" s="39"/>
      <c r="L832" s="39"/>
      <c r="M832" s="39"/>
      <c r="N832" s="23"/>
      <c r="O832" s="39"/>
      <c r="P832" s="39"/>
      <c r="Q832" s="39"/>
      <c r="R832" s="39"/>
    </row>
    <row r="833" spans="1:18" s="2" customFormat="1" ht="26.4">
      <c r="A833" s="20">
        <f t="shared" si="52"/>
        <v>775</v>
      </c>
      <c r="B833" s="17" t="s">
        <v>1032</v>
      </c>
      <c r="C833" s="17" t="s">
        <v>1033</v>
      </c>
      <c r="D833" s="20" t="s">
        <v>5</v>
      </c>
      <c r="E833" s="20" t="s">
        <v>6</v>
      </c>
      <c r="F833" s="18">
        <v>1</v>
      </c>
      <c r="G833" s="19">
        <f>1.633198857*273.48</f>
        <v>446.64722341236001</v>
      </c>
      <c r="H833" s="32">
        <v>2</v>
      </c>
      <c r="I833" s="25">
        <f t="shared" si="50"/>
        <v>893.29444682472001</v>
      </c>
      <c r="J833" s="40"/>
      <c r="K833" s="39"/>
      <c r="L833" s="39"/>
      <c r="M833" s="39"/>
      <c r="N833" s="23"/>
      <c r="O833" s="39"/>
      <c r="P833" s="39"/>
      <c r="Q833" s="39"/>
      <c r="R833" s="39"/>
    </row>
    <row r="834" spans="1:18" s="2" customFormat="1" ht="14.4">
      <c r="A834" s="20">
        <f t="shared" si="52"/>
        <v>776</v>
      </c>
      <c r="B834" s="17" t="s">
        <v>1055</v>
      </c>
      <c r="C834" s="17" t="s">
        <v>1056</v>
      </c>
      <c r="D834" s="20" t="s">
        <v>5</v>
      </c>
      <c r="E834" s="20" t="s">
        <v>6</v>
      </c>
      <c r="F834" s="18">
        <v>1</v>
      </c>
      <c r="G834" s="19">
        <f>327.49</f>
        <v>327.49</v>
      </c>
      <c r="H834" s="32">
        <v>2</v>
      </c>
      <c r="I834" s="25">
        <f t="shared" si="50"/>
        <v>654.98</v>
      </c>
      <c r="J834" s="40"/>
      <c r="K834" s="39"/>
      <c r="L834" s="39"/>
      <c r="M834" s="39"/>
      <c r="N834" s="23"/>
      <c r="O834" s="39"/>
      <c r="P834" s="39"/>
      <c r="Q834" s="39"/>
      <c r="R834" s="39"/>
    </row>
    <row r="835" spans="1:18" s="2" customFormat="1" ht="14.4">
      <c r="A835" s="20">
        <f t="shared" si="52"/>
        <v>777</v>
      </c>
      <c r="B835" s="17" t="s">
        <v>1057</v>
      </c>
      <c r="C835" s="17" t="s">
        <v>1058</v>
      </c>
      <c r="D835" s="9" t="s">
        <v>5</v>
      </c>
      <c r="E835" s="9" t="s">
        <v>6</v>
      </c>
      <c r="F835" s="18">
        <v>1</v>
      </c>
      <c r="G835" s="19">
        <v>350</v>
      </c>
      <c r="H835" s="32">
        <v>3</v>
      </c>
      <c r="I835" s="25">
        <f t="shared" si="50"/>
        <v>1050</v>
      </c>
      <c r="J835" s="74"/>
      <c r="K835" s="75"/>
      <c r="L835" s="75"/>
      <c r="M835" s="75"/>
      <c r="N835" s="76"/>
      <c r="O835" s="75"/>
      <c r="P835" s="75"/>
      <c r="Q835" s="75"/>
      <c r="R835" s="75"/>
    </row>
    <row r="836" spans="1:18" s="2" customFormat="1" ht="14.4">
      <c r="A836" s="20">
        <f t="shared" si="52"/>
        <v>778</v>
      </c>
      <c r="B836" s="17" t="s">
        <v>938</v>
      </c>
      <c r="C836" s="17" t="s">
        <v>939</v>
      </c>
      <c r="D836" s="9" t="s">
        <v>5</v>
      </c>
      <c r="E836" s="9" t="s">
        <v>6</v>
      </c>
      <c r="F836" s="18">
        <v>1</v>
      </c>
      <c r="G836" s="19">
        <v>121.4</v>
      </c>
      <c r="H836" s="32">
        <v>3</v>
      </c>
      <c r="I836" s="25">
        <f t="shared" si="50"/>
        <v>364.20000000000005</v>
      </c>
      <c r="J836" s="74"/>
      <c r="K836" s="75"/>
      <c r="L836" s="75"/>
      <c r="M836" s="75"/>
      <c r="N836" s="76"/>
      <c r="O836" s="75"/>
      <c r="P836" s="75"/>
      <c r="Q836" s="75"/>
      <c r="R836" s="75"/>
    </row>
    <row r="837" spans="1:18" s="2" customFormat="1" ht="14.4">
      <c r="A837" s="20">
        <f t="shared" si="52"/>
        <v>779</v>
      </c>
      <c r="B837" s="17" t="s">
        <v>984</v>
      </c>
      <c r="C837" s="17" t="s">
        <v>985</v>
      </c>
      <c r="D837" s="20" t="s">
        <v>5</v>
      </c>
      <c r="E837" s="20" t="s">
        <v>6</v>
      </c>
      <c r="F837" s="18">
        <v>1</v>
      </c>
      <c r="G837" s="19">
        <f>253.6</f>
        <v>253.6</v>
      </c>
      <c r="H837" s="32">
        <v>3</v>
      </c>
      <c r="I837" s="25">
        <f t="shared" si="50"/>
        <v>760.8</v>
      </c>
      <c r="J837" s="40"/>
      <c r="K837" s="39"/>
      <c r="L837" s="39"/>
      <c r="M837" s="39"/>
      <c r="N837" s="23"/>
      <c r="O837" s="39"/>
      <c r="P837" s="39"/>
      <c r="Q837" s="39"/>
      <c r="R837" s="39"/>
    </row>
    <row r="838" spans="1:18" s="2" customFormat="1" ht="14.4">
      <c r="A838" s="20">
        <f t="shared" si="52"/>
        <v>780</v>
      </c>
      <c r="B838" s="17" t="s">
        <v>1059</v>
      </c>
      <c r="C838" s="17" t="s">
        <v>1060</v>
      </c>
      <c r="D838" s="9" t="s">
        <v>5</v>
      </c>
      <c r="E838" s="9" t="s">
        <v>6</v>
      </c>
      <c r="F838" s="18">
        <v>1</v>
      </c>
      <c r="G838" s="19">
        <v>425</v>
      </c>
      <c r="H838" s="32">
        <v>2</v>
      </c>
      <c r="I838" s="25">
        <f t="shared" si="50"/>
        <v>850</v>
      </c>
      <c r="J838" s="40"/>
      <c r="K838" s="39"/>
      <c r="L838" s="39"/>
      <c r="M838" s="39"/>
      <c r="N838" s="23"/>
      <c r="O838" s="39"/>
      <c r="P838" s="39"/>
      <c r="Q838" s="39"/>
      <c r="R838" s="39"/>
    </row>
    <row r="839" spans="1:18" s="2" customFormat="1" ht="14.4">
      <c r="A839" s="20">
        <f t="shared" si="52"/>
        <v>781</v>
      </c>
      <c r="B839" s="17" t="s">
        <v>1061</v>
      </c>
      <c r="C839" s="17" t="s">
        <v>1062</v>
      </c>
      <c r="D839" s="20" t="s">
        <v>5</v>
      </c>
      <c r="E839" s="20" t="s">
        <v>6</v>
      </c>
      <c r="F839" s="18">
        <v>1</v>
      </c>
      <c r="G839" s="19">
        <v>4000</v>
      </c>
      <c r="H839" s="32">
        <v>2</v>
      </c>
      <c r="I839" s="25">
        <f t="shared" si="50"/>
        <v>8000</v>
      </c>
      <c r="J839" s="40"/>
      <c r="K839" s="39"/>
      <c r="L839" s="39"/>
      <c r="M839" s="39"/>
      <c r="N839" s="23"/>
      <c r="O839" s="39"/>
      <c r="P839" s="39"/>
      <c r="Q839" s="39"/>
      <c r="R839" s="39"/>
    </row>
    <row r="840" spans="1:18" s="2" customFormat="1" ht="26.4">
      <c r="A840" s="20">
        <f t="shared" si="52"/>
        <v>782</v>
      </c>
      <c r="B840" s="17" t="s">
        <v>1042</v>
      </c>
      <c r="C840" s="17" t="s">
        <v>1043</v>
      </c>
      <c r="D840" s="20" t="s">
        <v>890</v>
      </c>
      <c r="E840" s="20" t="s">
        <v>65</v>
      </c>
      <c r="F840" s="18">
        <v>1</v>
      </c>
      <c r="G840" s="19">
        <f>1.633198857*228.23</f>
        <v>372.74497513310996</v>
      </c>
      <c r="H840" s="32">
        <v>2</v>
      </c>
      <c r="I840" s="25">
        <f t="shared" si="50"/>
        <v>745.48995026621992</v>
      </c>
      <c r="J840" s="40"/>
      <c r="K840" s="39"/>
      <c r="L840" s="39"/>
      <c r="M840" s="39"/>
      <c r="N840" s="23"/>
      <c r="O840" s="39"/>
      <c r="P840" s="39"/>
      <c r="Q840" s="39"/>
      <c r="R840" s="39"/>
    </row>
    <row r="841" spans="1:18" s="2" customFormat="1" ht="26.4">
      <c r="A841" s="20">
        <f t="shared" si="52"/>
        <v>783</v>
      </c>
      <c r="B841" s="17" t="s">
        <v>1063</v>
      </c>
      <c r="C841" s="17" t="s">
        <v>1064</v>
      </c>
      <c r="D841" s="20" t="s">
        <v>5</v>
      </c>
      <c r="E841" s="20" t="s">
        <v>6</v>
      </c>
      <c r="F841" s="18">
        <v>1</v>
      </c>
      <c r="G841" s="19">
        <v>243.47</v>
      </c>
      <c r="H841" s="32">
        <v>1</v>
      </c>
      <c r="I841" s="25">
        <f t="shared" si="50"/>
        <v>243.47</v>
      </c>
      <c r="J841" s="40"/>
      <c r="K841" s="39"/>
      <c r="L841" s="39"/>
      <c r="M841" s="39"/>
      <c r="N841" s="23"/>
      <c r="O841" s="39"/>
      <c r="P841" s="39"/>
      <c r="Q841" s="39"/>
      <c r="R841" s="39"/>
    </row>
    <row r="842" spans="1:18" s="2" customFormat="1" ht="26.4">
      <c r="A842" s="20">
        <f t="shared" si="52"/>
        <v>784</v>
      </c>
      <c r="B842" s="17" t="s">
        <v>1065</v>
      </c>
      <c r="C842" s="17" t="s">
        <v>1066</v>
      </c>
      <c r="D842" s="20" t="s">
        <v>5</v>
      </c>
      <c r="E842" s="20" t="s">
        <v>6</v>
      </c>
      <c r="F842" s="18">
        <v>1</v>
      </c>
      <c r="G842" s="19">
        <v>220</v>
      </c>
      <c r="H842" s="32">
        <v>1</v>
      </c>
      <c r="I842" s="25">
        <f t="shared" si="50"/>
        <v>220</v>
      </c>
      <c r="J842" s="40"/>
      <c r="K842" s="39"/>
      <c r="L842" s="39"/>
      <c r="M842" s="39"/>
      <c r="N842" s="23"/>
      <c r="O842" s="39"/>
      <c r="P842" s="39"/>
      <c r="Q842" s="39"/>
      <c r="R842" s="39"/>
    </row>
    <row r="843" spans="1:18" s="2" customFormat="1" ht="39.6">
      <c r="A843" s="20">
        <f t="shared" si="52"/>
        <v>785</v>
      </c>
      <c r="B843" s="17" t="s">
        <v>861</v>
      </c>
      <c r="C843" s="17" t="s">
        <v>908</v>
      </c>
      <c r="D843" s="9" t="s">
        <v>8</v>
      </c>
      <c r="E843" s="20" t="s">
        <v>9</v>
      </c>
      <c r="F843" s="18">
        <v>1</v>
      </c>
      <c r="G843" s="19">
        <f>1.633198857*1065.76</f>
        <v>1740.59801383632</v>
      </c>
      <c r="H843" s="32">
        <v>10.92</v>
      </c>
      <c r="I843" s="25">
        <f t="shared" ref="I843:I906" si="53">G843*H843</f>
        <v>19007.330311092614</v>
      </c>
      <c r="J843" s="40"/>
      <c r="K843" s="39"/>
      <c r="L843" s="39"/>
      <c r="M843" s="39"/>
      <c r="N843" s="23"/>
      <c r="O843" s="39"/>
      <c r="P843" s="39"/>
      <c r="Q843" s="39"/>
      <c r="R843" s="39"/>
    </row>
    <row r="844" spans="1:18" s="2" customFormat="1" ht="26.4">
      <c r="A844" s="20">
        <f t="shared" si="52"/>
        <v>786</v>
      </c>
      <c r="B844" s="17" t="s">
        <v>955</v>
      </c>
      <c r="C844" s="17" t="s">
        <v>882</v>
      </c>
      <c r="D844" s="20" t="s">
        <v>8</v>
      </c>
      <c r="E844" s="20" t="s">
        <v>9</v>
      </c>
      <c r="F844" s="18">
        <v>1</v>
      </c>
      <c r="G844" s="19">
        <f>1.633198857*118.8</f>
        <v>194.02402421159999</v>
      </c>
      <c r="H844" s="32">
        <v>3</v>
      </c>
      <c r="I844" s="25">
        <f t="shared" si="53"/>
        <v>582.07207263479995</v>
      </c>
      <c r="J844" s="40"/>
      <c r="K844" s="39"/>
      <c r="L844" s="39"/>
      <c r="M844" s="39"/>
      <c r="N844" s="23"/>
      <c r="O844" s="39"/>
      <c r="P844" s="39"/>
      <c r="Q844" s="39"/>
      <c r="R844" s="39"/>
    </row>
    <row r="845" spans="1:18" s="2" customFormat="1" ht="14.4">
      <c r="A845" s="20">
        <f t="shared" si="52"/>
        <v>787</v>
      </c>
      <c r="B845" s="17" t="s">
        <v>218</v>
      </c>
      <c r="C845" s="17" t="s">
        <v>219</v>
      </c>
      <c r="D845" s="20" t="s">
        <v>48</v>
      </c>
      <c r="E845" s="20" t="s">
        <v>49</v>
      </c>
      <c r="F845" s="18">
        <v>1</v>
      </c>
      <c r="G845" s="19"/>
      <c r="H845" s="32">
        <v>1</v>
      </c>
      <c r="I845" s="25">
        <f>SUM(I826:I844)*0.05</f>
        <v>5102.9007337041321</v>
      </c>
      <c r="J845" s="40"/>
      <c r="K845" s="39"/>
      <c r="L845" s="39"/>
      <c r="M845" s="39"/>
      <c r="N845" s="23"/>
      <c r="O845" s="39"/>
      <c r="P845" s="39"/>
      <c r="Q845" s="39"/>
      <c r="R845" s="39"/>
    </row>
    <row r="846" spans="1:18" ht="14.4">
      <c r="A846" s="9" t="s">
        <v>61</v>
      </c>
      <c r="B846" s="20" t="s">
        <v>1067</v>
      </c>
      <c r="C846" s="20" t="s">
        <v>1068</v>
      </c>
      <c r="D846" s="9"/>
      <c r="E846" s="9"/>
      <c r="F846" s="18"/>
      <c r="G846" s="19"/>
      <c r="H846" s="18"/>
      <c r="I846" s="25"/>
      <c r="J846" s="24"/>
      <c r="K846" s="22"/>
      <c r="L846" s="22"/>
      <c r="M846" s="22"/>
      <c r="N846" s="23"/>
      <c r="O846" s="22"/>
      <c r="P846" s="22"/>
      <c r="Q846" s="22"/>
      <c r="R846" s="22"/>
    </row>
    <row r="847" spans="1:18" s="2" customFormat="1" ht="26.4">
      <c r="A847" s="20">
        <f>A845+1</f>
        <v>788</v>
      </c>
      <c r="B847" s="17" t="s">
        <v>1069</v>
      </c>
      <c r="C847" s="17" t="s">
        <v>1070</v>
      </c>
      <c r="D847" s="20" t="s">
        <v>5</v>
      </c>
      <c r="E847" s="20" t="s">
        <v>6</v>
      </c>
      <c r="F847" s="18">
        <v>1</v>
      </c>
      <c r="G847" s="19">
        <f>1.633198857*1544.43</f>
        <v>2522.3613107165102</v>
      </c>
      <c r="H847" s="32">
        <v>1</v>
      </c>
      <c r="I847" s="25">
        <f t="shared" si="53"/>
        <v>2522.3613107165102</v>
      </c>
      <c r="J847" s="40"/>
      <c r="K847" s="39"/>
      <c r="L847" s="39"/>
      <c r="M847" s="39"/>
      <c r="N847" s="23"/>
      <c r="O847" s="39"/>
      <c r="P847" s="39"/>
      <c r="Q847" s="39"/>
      <c r="R847" s="39"/>
    </row>
    <row r="848" spans="1:18" s="2" customFormat="1" ht="14.4">
      <c r="A848" s="20">
        <f t="shared" ref="A848:A859" si="54">A847+1</f>
        <v>789</v>
      </c>
      <c r="B848" s="17" t="s">
        <v>1071</v>
      </c>
      <c r="C848" s="17" t="s">
        <v>1072</v>
      </c>
      <c r="D848" s="20" t="s">
        <v>5</v>
      </c>
      <c r="E848" s="20" t="s">
        <v>6</v>
      </c>
      <c r="F848" s="18">
        <v>1</v>
      </c>
      <c r="G848" s="19">
        <f>16114.07</f>
        <v>16114.07</v>
      </c>
      <c r="H848" s="32">
        <v>1</v>
      </c>
      <c r="I848" s="25">
        <f t="shared" si="53"/>
        <v>16114.07</v>
      </c>
      <c r="J848" s="40"/>
      <c r="K848" s="39"/>
      <c r="L848" s="39"/>
      <c r="M848" s="39"/>
      <c r="N848" s="23"/>
      <c r="O848" s="39"/>
      <c r="P848" s="39"/>
      <c r="Q848" s="39"/>
      <c r="R848" s="39"/>
    </row>
    <row r="849" spans="1:18" s="2" customFormat="1" ht="26.4">
      <c r="A849" s="20">
        <f t="shared" si="54"/>
        <v>790</v>
      </c>
      <c r="B849" s="17" t="s">
        <v>1073</v>
      </c>
      <c r="C849" s="17" t="s">
        <v>1074</v>
      </c>
      <c r="D849" s="20" t="s">
        <v>5</v>
      </c>
      <c r="E849" s="20" t="s">
        <v>6</v>
      </c>
      <c r="F849" s="18">
        <v>1</v>
      </c>
      <c r="G849" s="19">
        <f>17290/1.2</f>
        <v>14408.333333333334</v>
      </c>
      <c r="H849" s="32">
        <v>1</v>
      </c>
      <c r="I849" s="25">
        <f t="shared" si="53"/>
        <v>14408.333333333334</v>
      </c>
      <c r="J849" s="40"/>
      <c r="K849" s="39"/>
      <c r="L849" s="39"/>
      <c r="M849" s="39"/>
      <c r="N849" s="23"/>
      <c r="O849" s="39"/>
      <c r="P849" s="39"/>
      <c r="Q849" s="39"/>
      <c r="R849" s="39"/>
    </row>
    <row r="850" spans="1:18" s="2" customFormat="1" ht="14.4">
      <c r="A850" s="20">
        <f t="shared" si="54"/>
        <v>791</v>
      </c>
      <c r="B850" s="17" t="s">
        <v>1057</v>
      </c>
      <c r="C850" s="17" t="s">
        <v>1058</v>
      </c>
      <c r="D850" s="9" t="s">
        <v>5</v>
      </c>
      <c r="E850" s="9" t="s">
        <v>6</v>
      </c>
      <c r="F850" s="18">
        <v>1</v>
      </c>
      <c r="G850" s="19">
        <v>350</v>
      </c>
      <c r="H850" s="32">
        <v>14</v>
      </c>
      <c r="I850" s="25">
        <f t="shared" si="53"/>
        <v>4900</v>
      </c>
      <c r="J850" s="74"/>
      <c r="K850" s="75"/>
      <c r="L850" s="75"/>
      <c r="M850" s="75"/>
      <c r="N850" s="76"/>
      <c r="O850" s="75"/>
      <c r="P850" s="75"/>
      <c r="Q850" s="75"/>
      <c r="R850" s="75"/>
    </row>
    <row r="851" spans="1:18" s="2" customFormat="1" ht="14.4">
      <c r="A851" s="20">
        <f t="shared" si="54"/>
        <v>792</v>
      </c>
      <c r="B851" s="17" t="s">
        <v>938</v>
      </c>
      <c r="C851" s="17" t="s">
        <v>939</v>
      </c>
      <c r="D851" s="9" t="s">
        <v>5</v>
      </c>
      <c r="E851" s="9" t="s">
        <v>6</v>
      </c>
      <c r="F851" s="18">
        <v>1</v>
      </c>
      <c r="G851" s="19">
        <v>121.4</v>
      </c>
      <c r="H851" s="32">
        <v>14</v>
      </c>
      <c r="I851" s="25">
        <f t="shared" si="53"/>
        <v>1699.6000000000001</v>
      </c>
      <c r="J851" s="74"/>
      <c r="K851" s="75"/>
      <c r="L851" s="75"/>
      <c r="M851" s="75"/>
      <c r="N851" s="76"/>
      <c r="O851" s="75"/>
      <c r="P851" s="75"/>
      <c r="Q851" s="75"/>
      <c r="R851" s="75"/>
    </row>
    <row r="852" spans="1:18" s="2" customFormat="1" ht="14.4">
      <c r="A852" s="20">
        <f t="shared" si="54"/>
        <v>793</v>
      </c>
      <c r="B852" s="17" t="s">
        <v>984</v>
      </c>
      <c r="C852" s="17" t="s">
        <v>985</v>
      </c>
      <c r="D852" s="20" t="s">
        <v>5</v>
      </c>
      <c r="E852" s="20" t="s">
        <v>6</v>
      </c>
      <c r="F852" s="18">
        <v>1</v>
      </c>
      <c r="G852" s="19">
        <f>253.6</f>
        <v>253.6</v>
      </c>
      <c r="H852" s="32">
        <v>14</v>
      </c>
      <c r="I852" s="25">
        <f t="shared" si="53"/>
        <v>3550.4</v>
      </c>
      <c r="J852" s="40"/>
      <c r="K852" s="39"/>
      <c r="L852" s="39"/>
      <c r="M852" s="39"/>
      <c r="N852" s="23"/>
      <c r="O852" s="39"/>
      <c r="P852" s="39"/>
      <c r="Q852" s="39"/>
      <c r="R852" s="39"/>
    </row>
    <row r="853" spans="1:18" s="2" customFormat="1" ht="39.6">
      <c r="A853" s="20">
        <f t="shared" si="54"/>
        <v>794</v>
      </c>
      <c r="B853" s="17" t="s">
        <v>861</v>
      </c>
      <c r="C853" s="17" t="s">
        <v>908</v>
      </c>
      <c r="D853" s="9" t="s">
        <v>8</v>
      </c>
      <c r="E853" s="20" t="s">
        <v>9</v>
      </c>
      <c r="F853" s="18">
        <v>1</v>
      </c>
      <c r="G853" s="19">
        <f>1.633198857*1072.33</f>
        <v>1751.32813032681</v>
      </c>
      <c r="H853" s="32">
        <v>11.24</v>
      </c>
      <c r="I853" s="25">
        <f t="shared" si="53"/>
        <v>19684.928184873344</v>
      </c>
      <c r="J853" s="40"/>
      <c r="K853" s="39"/>
      <c r="L853" s="39"/>
      <c r="M853" s="39"/>
      <c r="N853" s="23"/>
      <c r="O853" s="39"/>
      <c r="P853" s="39"/>
      <c r="Q853" s="39"/>
      <c r="R853" s="39"/>
    </row>
    <row r="854" spans="1:18" s="2" customFormat="1" ht="26.4">
      <c r="A854" s="20">
        <f t="shared" si="54"/>
        <v>795</v>
      </c>
      <c r="B854" s="17" t="s">
        <v>879</v>
      </c>
      <c r="C854" s="17" t="s">
        <v>880</v>
      </c>
      <c r="D854" s="9" t="s">
        <v>44</v>
      </c>
      <c r="E854" s="20" t="s">
        <v>45</v>
      </c>
      <c r="F854" s="18">
        <v>1</v>
      </c>
      <c r="G854" s="19">
        <f>34.47</f>
        <v>34.47</v>
      </c>
      <c r="H854" s="32">
        <v>10</v>
      </c>
      <c r="I854" s="25">
        <f t="shared" si="53"/>
        <v>344.7</v>
      </c>
      <c r="J854" s="40"/>
      <c r="K854" s="39"/>
      <c r="L854" s="39"/>
      <c r="M854" s="39"/>
      <c r="N854" s="23"/>
      <c r="O854" s="39"/>
      <c r="P854" s="39"/>
      <c r="Q854" s="39"/>
      <c r="R854" s="39"/>
    </row>
    <row r="855" spans="1:18" s="2" customFormat="1" ht="14.4">
      <c r="A855" s="20">
        <f t="shared" si="54"/>
        <v>796</v>
      </c>
      <c r="B855" s="17"/>
      <c r="C855" s="17" t="s">
        <v>989</v>
      </c>
      <c r="D855" s="9" t="s">
        <v>8</v>
      </c>
      <c r="E855" s="20" t="s">
        <v>9</v>
      </c>
      <c r="F855" s="18">
        <v>1</v>
      </c>
      <c r="G855" s="19">
        <f>1.633198857*1188.53</f>
        <v>1941.10583751021</v>
      </c>
      <c r="H855" s="32">
        <v>2.2000000000000002</v>
      </c>
      <c r="I855" s="25">
        <f t="shared" si="53"/>
        <v>4270.4328425224621</v>
      </c>
      <c r="J855" s="40"/>
      <c r="K855" s="39"/>
      <c r="L855" s="39"/>
      <c r="M855" s="39"/>
      <c r="N855" s="23"/>
      <c r="O855" s="39"/>
      <c r="P855" s="39"/>
      <c r="Q855" s="39"/>
      <c r="R855" s="39"/>
    </row>
    <row r="856" spans="1:18" s="2" customFormat="1" ht="26.4">
      <c r="A856" s="20">
        <f t="shared" si="54"/>
        <v>797</v>
      </c>
      <c r="B856" s="17" t="s">
        <v>856</v>
      </c>
      <c r="C856" s="17" t="s">
        <v>940</v>
      </c>
      <c r="D856" s="20" t="s">
        <v>858</v>
      </c>
      <c r="E856" s="20" t="s">
        <v>64</v>
      </c>
      <c r="F856" s="18">
        <v>1</v>
      </c>
      <c r="G856" s="19">
        <f>1.633198857*905.7</f>
        <v>1479.1882047849001</v>
      </c>
      <c r="H856" s="32">
        <v>1</v>
      </c>
      <c r="I856" s="25">
        <f t="shared" si="53"/>
        <v>1479.1882047849001</v>
      </c>
      <c r="J856" s="40"/>
      <c r="K856" s="39"/>
      <c r="L856" s="39"/>
      <c r="M856" s="39"/>
      <c r="N856" s="23"/>
      <c r="O856" s="39"/>
      <c r="P856" s="39"/>
      <c r="Q856" s="39"/>
      <c r="R856" s="39"/>
    </row>
    <row r="857" spans="1:18" s="2" customFormat="1" ht="26.4">
      <c r="A857" s="20">
        <f t="shared" si="54"/>
        <v>798</v>
      </c>
      <c r="B857" s="17" t="s">
        <v>1075</v>
      </c>
      <c r="C857" s="17" t="s">
        <v>1076</v>
      </c>
      <c r="D857" s="20" t="s">
        <v>5</v>
      </c>
      <c r="E857" s="20" t="s">
        <v>6</v>
      </c>
      <c r="F857" s="18">
        <v>1</v>
      </c>
      <c r="G857" s="19">
        <f>10288.28</f>
        <v>10288.280000000001</v>
      </c>
      <c r="H857" s="32">
        <v>1</v>
      </c>
      <c r="I857" s="25">
        <f t="shared" si="53"/>
        <v>10288.280000000001</v>
      </c>
      <c r="J857" s="40"/>
      <c r="K857" s="39"/>
      <c r="L857" s="39"/>
      <c r="M857" s="39"/>
      <c r="N857" s="23"/>
      <c r="O857" s="39"/>
      <c r="P857" s="39"/>
      <c r="Q857" s="39"/>
      <c r="R857" s="39"/>
    </row>
    <row r="858" spans="1:18" s="2" customFormat="1" ht="26.4">
      <c r="A858" s="20">
        <f t="shared" si="54"/>
        <v>799</v>
      </c>
      <c r="B858" s="17" t="s">
        <v>955</v>
      </c>
      <c r="C858" s="17" t="s">
        <v>882</v>
      </c>
      <c r="D858" s="20" t="s">
        <v>8</v>
      </c>
      <c r="E858" s="20" t="s">
        <v>9</v>
      </c>
      <c r="F858" s="18">
        <v>1</v>
      </c>
      <c r="G858" s="19">
        <f>1.633198857*118.8</f>
        <v>194.02402421159999</v>
      </c>
      <c r="H858" s="32">
        <v>3</v>
      </c>
      <c r="I858" s="25">
        <f t="shared" si="53"/>
        <v>582.07207263479995</v>
      </c>
      <c r="J858" s="40"/>
      <c r="K858" s="39"/>
      <c r="L858" s="39"/>
      <c r="M858" s="39"/>
      <c r="N858" s="23"/>
      <c r="O858" s="39"/>
      <c r="P858" s="39"/>
      <c r="Q858" s="39"/>
      <c r="R858" s="39"/>
    </row>
    <row r="859" spans="1:18" s="2" customFormat="1" ht="14.4">
      <c r="A859" s="20">
        <f t="shared" si="54"/>
        <v>800</v>
      </c>
      <c r="B859" s="17" t="s">
        <v>1077</v>
      </c>
      <c r="C859" s="17" t="s">
        <v>219</v>
      </c>
      <c r="D859" s="20" t="s">
        <v>48</v>
      </c>
      <c r="E859" s="20" t="s">
        <v>49</v>
      </c>
      <c r="F859" s="18">
        <v>1</v>
      </c>
      <c r="G859" s="19"/>
      <c r="H859" s="32">
        <v>1</v>
      </c>
      <c r="I859" s="25">
        <f>SUM(I847:I858)*0.05</f>
        <v>3992.2182974432676</v>
      </c>
      <c r="J859" s="40"/>
      <c r="K859" s="39"/>
      <c r="L859" s="39"/>
      <c r="M859" s="39"/>
      <c r="N859" s="23"/>
      <c r="O859" s="39"/>
      <c r="P859" s="39"/>
      <c r="Q859" s="39"/>
      <c r="R859" s="39"/>
    </row>
    <row r="860" spans="1:18" ht="14.4">
      <c r="A860" s="9" t="s">
        <v>61</v>
      </c>
      <c r="B860" s="20" t="s">
        <v>1078</v>
      </c>
      <c r="C860" s="20" t="s">
        <v>1079</v>
      </c>
      <c r="D860" s="9"/>
      <c r="E860" s="9"/>
      <c r="F860" s="18"/>
      <c r="G860" s="19"/>
      <c r="H860" s="18"/>
      <c r="I860" s="25"/>
      <c r="J860" s="24"/>
      <c r="K860" s="22"/>
      <c r="L860" s="22"/>
      <c r="M860" s="22"/>
      <c r="N860" s="23"/>
      <c r="O860" s="22"/>
      <c r="P860" s="22"/>
      <c r="Q860" s="22"/>
      <c r="R860" s="22"/>
    </row>
    <row r="861" spans="1:18" s="2" customFormat="1" ht="26.4">
      <c r="A861" s="20">
        <f>A859+1</f>
        <v>801</v>
      </c>
      <c r="B861" s="17" t="s">
        <v>1024</v>
      </c>
      <c r="C861" s="17" t="s">
        <v>1025</v>
      </c>
      <c r="D861" s="20" t="s">
        <v>5</v>
      </c>
      <c r="E861" s="20" t="s">
        <v>6</v>
      </c>
      <c r="F861" s="18">
        <v>1</v>
      </c>
      <c r="G861" s="19">
        <f>1.633198857*853.26</f>
        <v>1393.5432567238199</v>
      </c>
      <c r="H861" s="32">
        <v>3</v>
      </c>
      <c r="I861" s="25">
        <f t="shared" si="53"/>
        <v>4180.6297701714593</v>
      </c>
      <c r="J861" s="40"/>
      <c r="K861" s="39"/>
      <c r="L861" s="39"/>
      <c r="M861" s="39"/>
      <c r="N861" s="23"/>
      <c r="O861" s="39"/>
      <c r="P861" s="39"/>
      <c r="Q861" s="39"/>
      <c r="R861" s="39"/>
    </row>
    <row r="862" spans="1:18" s="2" customFormat="1" ht="26.4">
      <c r="A862" s="20">
        <f t="shared" ref="A862:A883" si="55">A861+1</f>
        <v>802</v>
      </c>
      <c r="B862" s="17" t="s">
        <v>1080</v>
      </c>
      <c r="C862" s="17" t="s">
        <v>1081</v>
      </c>
      <c r="D862" s="20" t="s">
        <v>5</v>
      </c>
      <c r="E862" s="20" t="s">
        <v>6</v>
      </c>
      <c r="F862" s="18">
        <v>1</v>
      </c>
      <c r="G862" s="19">
        <f>19708.73</f>
        <v>19708.73</v>
      </c>
      <c r="H862" s="32">
        <v>3</v>
      </c>
      <c r="I862" s="25">
        <f t="shared" si="53"/>
        <v>59126.19</v>
      </c>
      <c r="J862" s="40"/>
      <c r="K862" s="39"/>
      <c r="L862" s="39"/>
      <c r="M862" s="39"/>
      <c r="N862" s="23"/>
      <c r="O862" s="39"/>
      <c r="P862" s="39"/>
      <c r="Q862" s="39"/>
      <c r="R862" s="39"/>
    </row>
    <row r="863" spans="1:18" s="2" customFormat="1" ht="26.4">
      <c r="A863" s="20">
        <f t="shared" si="55"/>
        <v>803</v>
      </c>
      <c r="B863" s="17" t="s">
        <v>1038</v>
      </c>
      <c r="C863" s="17" t="s">
        <v>1039</v>
      </c>
      <c r="D863" s="20" t="s">
        <v>5</v>
      </c>
      <c r="E863" s="20" t="s">
        <v>6</v>
      </c>
      <c r="F863" s="18">
        <v>1</v>
      </c>
      <c r="G863" s="19">
        <f>1.633198857*204.62</f>
        <v>334.18515011933999</v>
      </c>
      <c r="H863" s="32">
        <v>3</v>
      </c>
      <c r="I863" s="25">
        <f t="shared" si="53"/>
        <v>1002.5554503580199</v>
      </c>
      <c r="J863" s="40"/>
      <c r="K863" s="39"/>
      <c r="L863" s="39"/>
      <c r="M863" s="39"/>
      <c r="N863" s="23"/>
      <c r="O863" s="39"/>
      <c r="P863" s="39"/>
      <c r="Q863" s="39"/>
      <c r="R863" s="39"/>
    </row>
    <row r="864" spans="1:18" s="2" customFormat="1" ht="26.4">
      <c r="A864" s="20">
        <f t="shared" si="55"/>
        <v>804</v>
      </c>
      <c r="B864" s="17" t="s">
        <v>1082</v>
      </c>
      <c r="C864" s="17" t="s">
        <v>1083</v>
      </c>
      <c r="D864" s="20" t="s">
        <v>5</v>
      </c>
      <c r="E864" s="20" t="s">
        <v>6</v>
      </c>
      <c r="F864" s="18">
        <v>1</v>
      </c>
      <c r="G864" s="19">
        <v>3957.48</v>
      </c>
      <c r="H864" s="32">
        <v>3</v>
      </c>
      <c r="I864" s="25">
        <f t="shared" si="53"/>
        <v>11872.44</v>
      </c>
      <c r="J864" s="40"/>
      <c r="K864" s="39"/>
      <c r="L864" s="39"/>
      <c r="M864" s="39"/>
      <c r="N864" s="23"/>
      <c r="O864" s="39"/>
      <c r="P864" s="39"/>
      <c r="Q864" s="39"/>
      <c r="R864" s="39"/>
    </row>
    <row r="865" spans="1:18" s="2" customFormat="1" ht="26.4">
      <c r="A865" s="20">
        <f t="shared" si="55"/>
        <v>805</v>
      </c>
      <c r="B865" s="17" t="s">
        <v>856</v>
      </c>
      <c r="C865" s="17" t="s">
        <v>940</v>
      </c>
      <c r="D865" s="20" t="s">
        <v>858</v>
      </c>
      <c r="E865" s="20" t="s">
        <v>64</v>
      </c>
      <c r="F865" s="18">
        <v>1</v>
      </c>
      <c r="G865" s="19">
        <f>1.633198857*905.17</f>
        <v>1478.3226093906899</v>
      </c>
      <c r="H865" s="32">
        <v>2</v>
      </c>
      <c r="I865" s="25">
        <f t="shared" si="53"/>
        <v>2956.6452187813798</v>
      </c>
      <c r="J865" s="40"/>
      <c r="K865" s="39"/>
      <c r="L865" s="39"/>
      <c r="M865" s="39"/>
      <c r="N865" s="23"/>
      <c r="O865" s="39"/>
      <c r="P865" s="39"/>
      <c r="Q865" s="39"/>
      <c r="R865" s="39"/>
    </row>
    <row r="866" spans="1:18" s="2" customFormat="1" ht="26.4">
      <c r="A866" s="20">
        <f t="shared" si="55"/>
        <v>806</v>
      </c>
      <c r="B866" s="17" t="s">
        <v>1084</v>
      </c>
      <c r="C866" s="17" t="s">
        <v>1085</v>
      </c>
      <c r="D866" s="20" t="s">
        <v>5</v>
      </c>
      <c r="E866" s="20" t="s">
        <v>6</v>
      </c>
      <c r="F866" s="18">
        <v>1</v>
      </c>
      <c r="G866" s="19">
        <f>10288.28</f>
        <v>10288.280000000001</v>
      </c>
      <c r="H866" s="32">
        <v>2</v>
      </c>
      <c r="I866" s="25">
        <f t="shared" si="53"/>
        <v>20576.560000000001</v>
      </c>
      <c r="J866" s="40"/>
      <c r="K866" s="39"/>
      <c r="L866" s="39"/>
      <c r="M866" s="39"/>
      <c r="N866" s="23"/>
      <c r="O866" s="39"/>
      <c r="P866" s="39"/>
      <c r="Q866" s="39"/>
      <c r="R866" s="39"/>
    </row>
    <row r="867" spans="1:18" s="2" customFormat="1" ht="26.4">
      <c r="A867" s="20">
        <f t="shared" si="55"/>
        <v>807</v>
      </c>
      <c r="B867" s="17" t="s">
        <v>1032</v>
      </c>
      <c r="C867" s="17" t="s">
        <v>1033</v>
      </c>
      <c r="D867" s="20" t="s">
        <v>5</v>
      </c>
      <c r="E867" s="20" t="s">
        <v>6</v>
      </c>
      <c r="F867" s="18">
        <v>1</v>
      </c>
      <c r="G867" s="19">
        <f>1.633198857*273.48</f>
        <v>446.64722341236001</v>
      </c>
      <c r="H867" s="32">
        <v>2</v>
      </c>
      <c r="I867" s="25">
        <f t="shared" si="53"/>
        <v>893.29444682472001</v>
      </c>
      <c r="J867" s="40"/>
      <c r="K867" s="39"/>
      <c r="L867" s="39"/>
      <c r="M867" s="39"/>
      <c r="N867" s="23"/>
      <c r="O867" s="39"/>
      <c r="P867" s="39"/>
      <c r="Q867" s="39"/>
      <c r="R867" s="39"/>
    </row>
    <row r="868" spans="1:18" s="2" customFormat="1" ht="14.4">
      <c r="A868" s="20">
        <f t="shared" si="55"/>
        <v>808</v>
      </c>
      <c r="B868" s="17" t="s">
        <v>1086</v>
      </c>
      <c r="C868" s="17" t="s">
        <v>1087</v>
      </c>
      <c r="D868" s="20" t="s">
        <v>5</v>
      </c>
      <c r="E868" s="20" t="s">
        <v>6</v>
      </c>
      <c r="F868" s="18">
        <v>1</v>
      </c>
      <c r="G868" s="19">
        <f>327.49</f>
        <v>327.49</v>
      </c>
      <c r="H868" s="32">
        <v>2</v>
      </c>
      <c r="I868" s="25">
        <f t="shared" si="53"/>
        <v>654.98</v>
      </c>
      <c r="J868" s="40"/>
      <c r="K868" s="39"/>
      <c r="L868" s="39"/>
      <c r="M868" s="39"/>
      <c r="N868" s="23"/>
      <c r="O868" s="39"/>
      <c r="P868" s="39"/>
      <c r="Q868" s="39"/>
      <c r="R868" s="39"/>
    </row>
    <row r="869" spans="1:18" s="2" customFormat="1" ht="14.4">
      <c r="A869" s="20">
        <f t="shared" si="55"/>
        <v>809</v>
      </c>
      <c r="B869" s="17" t="s">
        <v>1057</v>
      </c>
      <c r="C869" s="17" t="s">
        <v>1058</v>
      </c>
      <c r="D869" s="9" t="s">
        <v>5</v>
      </c>
      <c r="E869" s="9" t="s">
        <v>6</v>
      </c>
      <c r="F869" s="18">
        <v>1</v>
      </c>
      <c r="G869" s="19">
        <v>350</v>
      </c>
      <c r="H869" s="32">
        <v>11</v>
      </c>
      <c r="I869" s="25">
        <f t="shared" si="53"/>
        <v>3850</v>
      </c>
      <c r="J869" s="74"/>
      <c r="K869" s="75"/>
      <c r="L869" s="75"/>
      <c r="M869" s="75"/>
      <c r="N869" s="76"/>
      <c r="O869" s="75"/>
      <c r="P869" s="75"/>
      <c r="Q869" s="75"/>
      <c r="R869" s="75"/>
    </row>
    <row r="870" spans="1:18" s="2" customFormat="1" ht="14.4">
      <c r="A870" s="20">
        <f t="shared" si="55"/>
        <v>810</v>
      </c>
      <c r="B870" s="17" t="s">
        <v>938</v>
      </c>
      <c r="C870" s="17" t="s">
        <v>939</v>
      </c>
      <c r="D870" s="9" t="s">
        <v>5</v>
      </c>
      <c r="E870" s="9" t="s">
        <v>6</v>
      </c>
      <c r="F870" s="18">
        <v>1</v>
      </c>
      <c r="G870" s="19">
        <v>121.4</v>
      </c>
      <c r="H870" s="32">
        <v>9</v>
      </c>
      <c r="I870" s="25">
        <f t="shared" si="53"/>
        <v>1092.6000000000001</v>
      </c>
      <c r="J870" s="74"/>
      <c r="K870" s="75"/>
      <c r="L870" s="75"/>
      <c r="M870" s="75"/>
      <c r="N870" s="76"/>
      <c r="O870" s="75"/>
      <c r="P870" s="75"/>
      <c r="Q870" s="75"/>
      <c r="R870" s="75"/>
    </row>
    <row r="871" spans="1:18" s="2" customFormat="1" ht="14.4">
      <c r="A871" s="20">
        <f t="shared" si="55"/>
        <v>811</v>
      </c>
      <c r="B871" s="17" t="s">
        <v>1088</v>
      </c>
      <c r="C871" s="17" t="s">
        <v>1089</v>
      </c>
      <c r="D871" s="9" t="s">
        <v>5</v>
      </c>
      <c r="E871" s="9" t="s">
        <v>6</v>
      </c>
      <c r="F871" s="18">
        <v>1</v>
      </c>
      <c r="G871" s="19">
        <v>121.4</v>
      </c>
      <c r="H871" s="32">
        <v>2</v>
      </c>
      <c r="I871" s="25">
        <f t="shared" si="53"/>
        <v>242.8</v>
      </c>
      <c r="J871" s="74"/>
      <c r="K871" s="75"/>
      <c r="L871" s="75"/>
      <c r="M871" s="75"/>
      <c r="N871" s="76"/>
      <c r="O871" s="75"/>
      <c r="P871" s="75"/>
      <c r="Q871" s="75"/>
      <c r="R871" s="75"/>
    </row>
    <row r="872" spans="1:18" s="2" customFormat="1" ht="14.4">
      <c r="A872" s="20">
        <f t="shared" si="55"/>
        <v>812</v>
      </c>
      <c r="B872" s="17" t="s">
        <v>984</v>
      </c>
      <c r="C872" s="17" t="s">
        <v>985</v>
      </c>
      <c r="D872" s="20" t="s">
        <v>5</v>
      </c>
      <c r="E872" s="20" t="s">
        <v>6</v>
      </c>
      <c r="F872" s="18">
        <v>1</v>
      </c>
      <c r="G872" s="19">
        <f>253.6</f>
        <v>253.6</v>
      </c>
      <c r="H872" s="32">
        <v>8</v>
      </c>
      <c r="I872" s="25">
        <f t="shared" si="53"/>
        <v>2028.8</v>
      </c>
      <c r="J872" s="40"/>
      <c r="K872" s="39"/>
      <c r="L872" s="39"/>
      <c r="M872" s="39"/>
      <c r="N872" s="23"/>
      <c r="O872" s="39"/>
      <c r="P872" s="39"/>
      <c r="Q872" s="39"/>
      <c r="R872" s="39"/>
    </row>
    <row r="873" spans="1:18" s="2" customFormat="1" ht="14.4">
      <c r="A873" s="20">
        <f t="shared" si="55"/>
        <v>813</v>
      </c>
      <c r="B873" s="17" t="s">
        <v>1090</v>
      </c>
      <c r="C873" s="17" t="s">
        <v>1002</v>
      </c>
      <c r="D873" s="20" t="s">
        <v>5</v>
      </c>
      <c r="E873" s="20" t="s">
        <v>6</v>
      </c>
      <c r="F873" s="18">
        <v>1</v>
      </c>
      <c r="G873" s="19">
        <f>287.03</f>
        <v>287.02999999999997</v>
      </c>
      <c r="H873" s="32">
        <v>1</v>
      </c>
      <c r="I873" s="25">
        <f t="shared" si="53"/>
        <v>287.02999999999997</v>
      </c>
      <c r="J873" s="40"/>
      <c r="K873" s="39"/>
      <c r="L873" s="39"/>
      <c r="M873" s="39"/>
      <c r="N873" s="23"/>
      <c r="O873" s="39"/>
      <c r="P873" s="39"/>
      <c r="Q873" s="39"/>
      <c r="R873" s="39"/>
    </row>
    <row r="874" spans="1:18" s="2" customFormat="1" ht="14.4">
      <c r="A874" s="20">
        <f t="shared" si="55"/>
        <v>814</v>
      </c>
      <c r="B874" s="17" t="s">
        <v>1091</v>
      </c>
      <c r="C874" s="17" t="s">
        <v>987</v>
      </c>
      <c r="D874" s="20" t="s">
        <v>5</v>
      </c>
      <c r="E874" s="20" t="s">
        <v>6</v>
      </c>
      <c r="F874" s="18">
        <v>1</v>
      </c>
      <c r="G874" s="19">
        <v>352.08</v>
      </c>
      <c r="H874" s="32">
        <v>1</v>
      </c>
      <c r="I874" s="25">
        <f t="shared" si="53"/>
        <v>352.08</v>
      </c>
      <c r="J874" s="40"/>
      <c r="K874" s="39"/>
      <c r="L874" s="39"/>
      <c r="M874" s="39"/>
      <c r="N874" s="23"/>
      <c r="O874" s="39"/>
      <c r="P874" s="39"/>
      <c r="Q874" s="39"/>
      <c r="R874" s="39"/>
    </row>
    <row r="875" spans="1:18" s="2" customFormat="1" ht="14.4">
      <c r="A875" s="20">
        <f t="shared" si="55"/>
        <v>815</v>
      </c>
      <c r="B875" s="17" t="s">
        <v>1059</v>
      </c>
      <c r="C875" s="17" t="s">
        <v>1060</v>
      </c>
      <c r="D875" s="9" t="s">
        <v>5</v>
      </c>
      <c r="E875" s="9" t="s">
        <v>6</v>
      </c>
      <c r="F875" s="18">
        <v>1</v>
      </c>
      <c r="G875" s="19">
        <v>425</v>
      </c>
      <c r="H875" s="32">
        <v>1</v>
      </c>
      <c r="I875" s="25">
        <f t="shared" si="53"/>
        <v>425</v>
      </c>
      <c r="J875" s="40"/>
      <c r="K875" s="39"/>
      <c r="L875" s="39"/>
      <c r="M875" s="39"/>
      <c r="N875" s="23"/>
      <c r="O875" s="39"/>
      <c r="P875" s="39"/>
      <c r="Q875" s="39"/>
      <c r="R875" s="39"/>
    </row>
    <row r="876" spans="1:18" s="2" customFormat="1" ht="14.4">
      <c r="A876" s="20">
        <f t="shared" si="55"/>
        <v>816</v>
      </c>
      <c r="B876" s="17" t="s">
        <v>1061</v>
      </c>
      <c r="C876" s="17" t="s">
        <v>1062</v>
      </c>
      <c r="D876" s="20" t="s">
        <v>5</v>
      </c>
      <c r="E876" s="20" t="s">
        <v>6</v>
      </c>
      <c r="F876" s="18">
        <v>1</v>
      </c>
      <c r="G876" s="19">
        <v>4000</v>
      </c>
      <c r="H876" s="32">
        <v>1</v>
      </c>
      <c r="I876" s="25">
        <f t="shared" si="53"/>
        <v>4000</v>
      </c>
      <c r="J876" s="40"/>
      <c r="K876" s="39"/>
      <c r="L876" s="39"/>
      <c r="M876" s="39"/>
      <c r="N876" s="23"/>
      <c r="O876" s="39"/>
      <c r="P876" s="39"/>
      <c r="Q876" s="39"/>
      <c r="R876" s="39"/>
    </row>
    <row r="877" spans="1:18" s="2" customFormat="1" ht="26.4">
      <c r="A877" s="20">
        <f t="shared" si="55"/>
        <v>817</v>
      </c>
      <c r="B877" s="17" t="s">
        <v>1042</v>
      </c>
      <c r="C877" s="17" t="s">
        <v>1043</v>
      </c>
      <c r="D877" s="20" t="s">
        <v>890</v>
      </c>
      <c r="E877" s="20" t="s">
        <v>65</v>
      </c>
      <c r="F877" s="18">
        <v>1</v>
      </c>
      <c r="G877" s="19">
        <f>1.633198857*228.63</f>
        <v>373.39825467590998</v>
      </c>
      <c r="H877" s="32">
        <v>1</v>
      </c>
      <c r="I877" s="25">
        <f t="shared" si="53"/>
        <v>373.39825467590998</v>
      </c>
      <c r="J877" s="40"/>
      <c r="K877" s="39"/>
      <c r="L877" s="39"/>
      <c r="M877" s="39"/>
      <c r="N877" s="23"/>
      <c r="O877" s="39"/>
      <c r="P877" s="39"/>
      <c r="Q877" s="39"/>
      <c r="R877" s="39"/>
    </row>
    <row r="878" spans="1:18" s="2" customFormat="1" ht="14.4">
      <c r="A878" s="20">
        <f t="shared" si="55"/>
        <v>818</v>
      </c>
      <c r="B878" s="17" t="s">
        <v>1092</v>
      </c>
      <c r="C878" s="17" t="s">
        <v>1093</v>
      </c>
      <c r="D878" s="20" t="s">
        <v>5</v>
      </c>
      <c r="E878" s="20" t="s">
        <v>6</v>
      </c>
      <c r="F878" s="18">
        <v>1</v>
      </c>
      <c r="G878" s="19">
        <f>483.2</f>
        <v>483.2</v>
      </c>
      <c r="H878" s="32">
        <v>1</v>
      </c>
      <c r="I878" s="25">
        <f t="shared" si="53"/>
        <v>483.2</v>
      </c>
      <c r="J878" s="40"/>
      <c r="K878" s="39"/>
      <c r="L878" s="39"/>
      <c r="M878" s="39"/>
      <c r="N878" s="23"/>
      <c r="O878" s="39"/>
      <c r="P878" s="39"/>
      <c r="Q878" s="39"/>
      <c r="R878" s="39"/>
    </row>
    <row r="879" spans="1:18" s="2" customFormat="1" ht="39.6">
      <c r="A879" s="20">
        <f t="shared" si="55"/>
        <v>819</v>
      </c>
      <c r="B879" s="17" t="s">
        <v>861</v>
      </c>
      <c r="C879" s="17" t="s">
        <v>908</v>
      </c>
      <c r="D879" s="9" t="s">
        <v>8</v>
      </c>
      <c r="E879" s="20" t="s">
        <v>9</v>
      </c>
      <c r="F879" s="18">
        <v>1</v>
      </c>
      <c r="G879" s="19">
        <f>1.633198857*1072.33</f>
        <v>1751.32813032681</v>
      </c>
      <c r="H879" s="32">
        <v>24.86</v>
      </c>
      <c r="I879" s="25">
        <f t="shared" si="53"/>
        <v>43538.017319924496</v>
      </c>
      <c r="J879" s="40"/>
      <c r="K879" s="39"/>
      <c r="L879" s="39"/>
      <c r="M879" s="39"/>
      <c r="N879" s="23"/>
      <c r="O879" s="39"/>
      <c r="P879" s="39"/>
      <c r="Q879" s="39"/>
      <c r="R879" s="39"/>
    </row>
    <row r="880" spans="1:18" s="2" customFormat="1" ht="26.4">
      <c r="A880" s="20">
        <f t="shared" si="55"/>
        <v>820</v>
      </c>
      <c r="B880" s="17" t="s">
        <v>879</v>
      </c>
      <c r="C880" s="17" t="s">
        <v>880</v>
      </c>
      <c r="D880" s="9" t="s">
        <v>44</v>
      </c>
      <c r="E880" s="20" t="s">
        <v>45</v>
      </c>
      <c r="F880" s="18">
        <v>1</v>
      </c>
      <c r="G880" s="19">
        <f>34.47</f>
        <v>34.47</v>
      </c>
      <c r="H880" s="32">
        <v>15</v>
      </c>
      <c r="I880" s="25">
        <f t="shared" si="53"/>
        <v>517.04999999999995</v>
      </c>
      <c r="J880" s="40"/>
      <c r="K880" s="39"/>
      <c r="L880" s="39"/>
      <c r="M880" s="39"/>
      <c r="N880" s="23"/>
      <c r="O880" s="39"/>
      <c r="P880" s="39"/>
      <c r="Q880" s="39"/>
      <c r="R880" s="39"/>
    </row>
    <row r="881" spans="1:18" s="2" customFormat="1" ht="14.4">
      <c r="A881" s="20">
        <f t="shared" si="55"/>
        <v>821</v>
      </c>
      <c r="B881" s="17" t="s">
        <v>988</v>
      </c>
      <c r="C881" s="17" t="s">
        <v>989</v>
      </c>
      <c r="D881" s="9" t="s">
        <v>8</v>
      </c>
      <c r="E881" s="20" t="s">
        <v>9</v>
      </c>
      <c r="F881" s="18">
        <v>1</v>
      </c>
      <c r="G881" s="19">
        <f>1.633198857*1188.53</f>
        <v>1941.10583751021</v>
      </c>
      <c r="H881" s="32">
        <v>4.08</v>
      </c>
      <c r="I881" s="25">
        <f t="shared" si="53"/>
        <v>7919.711817041657</v>
      </c>
      <c r="J881" s="40"/>
      <c r="K881" s="39"/>
      <c r="L881" s="39"/>
      <c r="M881" s="39"/>
      <c r="N881" s="23"/>
      <c r="O881" s="39"/>
      <c r="P881" s="39"/>
      <c r="Q881" s="39"/>
      <c r="R881" s="39"/>
    </row>
    <row r="882" spans="1:18" s="2" customFormat="1" ht="26.4">
      <c r="A882" s="20">
        <f t="shared" si="55"/>
        <v>822</v>
      </c>
      <c r="B882" s="17" t="s">
        <v>955</v>
      </c>
      <c r="C882" s="17" t="s">
        <v>882</v>
      </c>
      <c r="D882" s="20" t="s">
        <v>8</v>
      </c>
      <c r="E882" s="20" t="s">
        <v>9</v>
      </c>
      <c r="F882" s="18">
        <v>1</v>
      </c>
      <c r="G882" s="19">
        <f>1.633198857*118.8</f>
        <v>194.02402421159999</v>
      </c>
      <c r="H882" s="32">
        <v>2.5</v>
      </c>
      <c r="I882" s="25">
        <f t="shared" si="53"/>
        <v>485.060060529</v>
      </c>
      <c r="J882" s="40"/>
      <c r="K882" s="39"/>
      <c r="L882" s="39"/>
      <c r="M882" s="39"/>
      <c r="N882" s="23"/>
      <c r="O882" s="39"/>
      <c r="P882" s="39"/>
      <c r="Q882" s="39"/>
      <c r="R882" s="39"/>
    </row>
    <row r="883" spans="1:18" s="2" customFormat="1" ht="14.4">
      <c r="A883" s="20">
        <f t="shared" si="55"/>
        <v>823</v>
      </c>
      <c r="B883" s="17" t="s">
        <v>218</v>
      </c>
      <c r="C883" s="17" t="s">
        <v>219</v>
      </c>
      <c r="D883" s="20" t="s">
        <v>48</v>
      </c>
      <c r="E883" s="20" t="s">
        <v>49</v>
      </c>
      <c r="F883" s="18">
        <v>1</v>
      </c>
      <c r="G883" s="19">
        <f>1.633198857</f>
        <v>1.633198857</v>
      </c>
      <c r="H883" s="32">
        <v>1</v>
      </c>
      <c r="I883" s="25">
        <f>SUM(I861:I882)*0.05</f>
        <v>8342.902116915333</v>
      </c>
      <c r="J883" s="40"/>
      <c r="K883" s="39"/>
      <c r="L883" s="39"/>
      <c r="M883" s="39"/>
      <c r="N883" s="23"/>
      <c r="O883" s="39"/>
      <c r="P883" s="39"/>
      <c r="Q883" s="39"/>
      <c r="R883" s="39"/>
    </row>
    <row r="884" spans="1:18" s="2" customFormat="1" ht="14.4">
      <c r="A884" s="9" t="s">
        <v>61</v>
      </c>
      <c r="B884" s="20" t="s">
        <v>1094</v>
      </c>
      <c r="C884" s="20" t="s">
        <v>1095</v>
      </c>
      <c r="D884" s="9"/>
      <c r="E884" s="9"/>
      <c r="F884" s="18"/>
      <c r="G884" s="19"/>
      <c r="H884" s="18"/>
      <c r="I884" s="25"/>
      <c r="J884" s="24"/>
      <c r="K884" s="22"/>
      <c r="L884" s="22"/>
      <c r="M884" s="22"/>
      <c r="N884" s="23"/>
      <c r="O884" s="22"/>
      <c r="P884" s="22"/>
      <c r="Q884" s="22"/>
      <c r="R884" s="22"/>
    </row>
    <row r="885" spans="1:18" s="2" customFormat="1" ht="26.4">
      <c r="A885" s="20">
        <f>A883+1</f>
        <v>824</v>
      </c>
      <c r="B885" s="17" t="s">
        <v>1024</v>
      </c>
      <c r="C885" s="17" t="s">
        <v>1025</v>
      </c>
      <c r="D885" s="20" t="s">
        <v>5</v>
      </c>
      <c r="E885" s="20" t="s">
        <v>6</v>
      </c>
      <c r="F885" s="18">
        <v>1</v>
      </c>
      <c r="G885" s="19">
        <f>1.633198857*853.26</f>
        <v>1393.5432567238199</v>
      </c>
      <c r="H885" s="32">
        <v>4</v>
      </c>
      <c r="I885" s="25">
        <f t="shared" si="53"/>
        <v>5574.1730268952797</v>
      </c>
      <c r="J885" s="40"/>
      <c r="K885" s="39"/>
      <c r="L885" s="39"/>
      <c r="M885" s="39"/>
      <c r="N885" s="23"/>
      <c r="O885" s="39"/>
      <c r="P885" s="39"/>
      <c r="Q885" s="39"/>
      <c r="R885" s="39"/>
    </row>
    <row r="886" spans="1:18" s="2" customFormat="1" ht="26.4">
      <c r="A886" s="20">
        <f t="shared" ref="A886:A903" si="56">A885+1</f>
        <v>825</v>
      </c>
      <c r="B886" s="17" t="s">
        <v>1096</v>
      </c>
      <c r="C886" s="17" t="s">
        <v>1097</v>
      </c>
      <c r="D886" s="20" t="s">
        <v>5</v>
      </c>
      <c r="E886" s="20" t="s">
        <v>6</v>
      </c>
      <c r="F886" s="18">
        <v>1</v>
      </c>
      <c r="G886" s="19">
        <f>19708.73</f>
        <v>19708.73</v>
      </c>
      <c r="H886" s="32">
        <v>4</v>
      </c>
      <c r="I886" s="25">
        <f t="shared" si="53"/>
        <v>78834.92</v>
      </c>
      <c r="J886" s="40"/>
      <c r="K886" s="39"/>
      <c r="L886" s="39"/>
      <c r="M886" s="39"/>
      <c r="N886" s="23"/>
      <c r="O886" s="39"/>
      <c r="P886" s="39"/>
      <c r="Q886" s="39"/>
      <c r="R886" s="39"/>
    </row>
    <row r="887" spans="1:18" s="2" customFormat="1" ht="26.4">
      <c r="A887" s="20">
        <f t="shared" si="56"/>
        <v>826</v>
      </c>
      <c r="B887" s="17" t="s">
        <v>1038</v>
      </c>
      <c r="C887" s="17" t="s">
        <v>1039</v>
      </c>
      <c r="D887" s="20" t="s">
        <v>5</v>
      </c>
      <c r="E887" s="20" t="s">
        <v>6</v>
      </c>
      <c r="F887" s="18">
        <v>1</v>
      </c>
      <c r="G887" s="19">
        <f>1.633198857*204.62</f>
        <v>334.18515011933999</v>
      </c>
      <c r="H887" s="32">
        <v>3</v>
      </c>
      <c r="I887" s="25">
        <f t="shared" si="53"/>
        <v>1002.5554503580199</v>
      </c>
      <c r="J887" s="40"/>
      <c r="K887" s="39"/>
      <c r="L887" s="39"/>
      <c r="M887" s="39"/>
      <c r="N887" s="23"/>
      <c r="O887" s="39"/>
      <c r="P887" s="39"/>
      <c r="Q887" s="39"/>
      <c r="R887" s="39"/>
    </row>
    <row r="888" spans="1:18" s="2" customFormat="1" ht="26.4">
      <c r="A888" s="20">
        <f t="shared" si="56"/>
        <v>827</v>
      </c>
      <c r="B888" s="17" t="s">
        <v>1098</v>
      </c>
      <c r="C888" s="17" t="s">
        <v>1099</v>
      </c>
      <c r="D888" s="20" t="s">
        <v>5</v>
      </c>
      <c r="E888" s="20" t="s">
        <v>6</v>
      </c>
      <c r="F888" s="18">
        <v>1</v>
      </c>
      <c r="G888" s="19">
        <v>3957.48</v>
      </c>
      <c r="H888" s="32">
        <v>3</v>
      </c>
      <c r="I888" s="25">
        <f t="shared" si="53"/>
        <v>11872.44</v>
      </c>
      <c r="J888" s="40"/>
      <c r="K888" s="39"/>
      <c r="L888" s="39"/>
      <c r="M888" s="39"/>
      <c r="N888" s="23"/>
      <c r="O888" s="39"/>
      <c r="P888" s="39"/>
      <c r="Q888" s="39"/>
      <c r="R888" s="39"/>
    </row>
    <row r="889" spans="1:18" s="2" customFormat="1" ht="26.4">
      <c r="A889" s="20">
        <f t="shared" si="56"/>
        <v>828</v>
      </c>
      <c r="B889" s="17" t="s">
        <v>856</v>
      </c>
      <c r="C889" s="17" t="s">
        <v>940</v>
      </c>
      <c r="D889" s="20" t="s">
        <v>858</v>
      </c>
      <c r="E889" s="20" t="s">
        <v>64</v>
      </c>
      <c r="F889" s="18">
        <v>1</v>
      </c>
      <c r="G889" s="19">
        <f>1.633198857*905.17</f>
        <v>1478.3226093906899</v>
      </c>
      <c r="H889" s="32">
        <v>2</v>
      </c>
      <c r="I889" s="25">
        <f t="shared" si="53"/>
        <v>2956.6452187813798</v>
      </c>
      <c r="J889" s="40"/>
      <c r="K889" s="39"/>
      <c r="L889" s="39"/>
      <c r="M889" s="39"/>
      <c r="N889" s="23"/>
      <c r="O889" s="39"/>
      <c r="P889" s="39"/>
      <c r="Q889" s="39"/>
      <c r="R889" s="39"/>
    </row>
    <row r="890" spans="1:18" s="2" customFormat="1" ht="26.4">
      <c r="A890" s="20">
        <f t="shared" si="56"/>
        <v>829</v>
      </c>
      <c r="B890" s="17" t="s">
        <v>1075</v>
      </c>
      <c r="C890" s="17" t="s">
        <v>1076</v>
      </c>
      <c r="D890" s="20" t="s">
        <v>5</v>
      </c>
      <c r="E890" s="20" t="s">
        <v>6</v>
      </c>
      <c r="F890" s="18">
        <v>1</v>
      </c>
      <c r="G890" s="19">
        <f>10288.28</f>
        <v>10288.280000000001</v>
      </c>
      <c r="H890" s="32">
        <v>2</v>
      </c>
      <c r="I890" s="25">
        <f t="shared" si="53"/>
        <v>20576.560000000001</v>
      </c>
      <c r="J890" s="40"/>
      <c r="K890" s="39"/>
      <c r="L890" s="39"/>
      <c r="M890" s="39"/>
      <c r="N890" s="23"/>
      <c r="O890" s="39"/>
      <c r="P890" s="39"/>
      <c r="Q890" s="39"/>
      <c r="R890" s="39"/>
    </row>
    <row r="891" spans="1:18" s="2" customFormat="1" ht="26.4">
      <c r="A891" s="20">
        <f t="shared" si="56"/>
        <v>830</v>
      </c>
      <c r="B891" s="17" t="s">
        <v>1100</v>
      </c>
      <c r="C891" s="17" t="s">
        <v>1101</v>
      </c>
      <c r="D891" s="20" t="s">
        <v>5</v>
      </c>
      <c r="E891" s="20" t="s">
        <v>6</v>
      </c>
      <c r="F891" s="18">
        <v>1</v>
      </c>
      <c r="G891" s="19">
        <f>1.633198857*273.48</f>
        <v>446.64722341236001</v>
      </c>
      <c r="H891" s="32">
        <v>4</v>
      </c>
      <c r="I891" s="25">
        <f t="shared" si="53"/>
        <v>1786.58889364944</v>
      </c>
      <c r="J891" s="40"/>
      <c r="K891" s="39"/>
      <c r="L891" s="39"/>
      <c r="M891" s="39"/>
      <c r="N891" s="23"/>
      <c r="O891" s="39"/>
      <c r="P891" s="39"/>
      <c r="Q891" s="39"/>
      <c r="R891" s="39"/>
    </row>
    <row r="892" spans="1:18" s="2" customFormat="1" ht="14.4">
      <c r="A892" s="20">
        <f t="shared" si="56"/>
        <v>831</v>
      </c>
      <c r="B892" s="17" t="s">
        <v>1102</v>
      </c>
      <c r="C892" s="17" t="s">
        <v>1103</v>
      </c>
      <c r="D892" s="20" t="s">
        <v>5</v>
      </c>
      <c r="E892" s="20" t="s">
        <v>6</v>
      </c>
      <c r="F892" s="18">
        <v>1</v>
      </c>
      <c r="G892" s="19">
        <f>327.49</f>
        <v>327.49</v>
      </c>
      <c r="H892" s="32">
        <v>4</v>
      </c>
      <c r="I892" s="25">
        <f t="shared" si="53"/>
        <v>1309.96</v>
      </c>
      <c r="J892" s="40"/>
      <c r="K892" s="39"/>
      <c r="L892" s="39"/>
      <c r="M892" s="39"/>
      <c r="N892" s="23"/>
      <c r="O892" s="39"/>
      <c r="P892" s="39"/>
      <c r="Q892" s="39"/>
      <c r="R892" s="39"/>
    </row>
    <row r="893" spans="1:18" s="2" customFormat="1" ht="14.4">
      <c r="A893" s="20">
        <f t="shared" si="56"/>
        <v>832</v>
      </c>
      <c r="B893" s="17" t="s">
        <v>1057</v>
      </c>
      <c r="C893" s="17" t="s">
        <v>1058</v>
      </c>
      <c r="D893" s="9" t="s">
        <v>5</v>
      </c>
      <c r="E893" s="9" t="s">
        <v>6</v>
      </c>
      <c r="F893" s="18">
        <v>1</v>
      </c>
      <c r="G893" s="19">
        <v>350</v>
      </c>
      <c r="H893" s="32">
        <v>10</v>
      </c>
      <c r="I893" s="25">
        <f t="shared" si="53"/>
        <v>3500</v>
      </c>
      <c r="J893" s="74"/>
      <c r="K893" s="75"/>
      <c r="L893" s="75"/>
      <c r="M893" s="75"/>
      <c r="N893" s="76"/>
      <c r="O893" s="75"/>
      <c r="P893" s="75"/>
      <c r="Q893" s="75"/>
      <c r="R893" s="75"/>
    </row>
    <row r="894" spans="1:18" s="2" customFormat="1" ht="14.4">
      <c r="A894" s="20">
        <f t="shared" si="56"/>
        <v>833</v>
      </c>
      <c r="B894" s="17" t="s">
        <v>938</v>
      </c>
      <c r="C894" s="17" t="s">
        <v>939</v>
      </c>
      <c r="D894" s="9" t="s">
        <v>5</v>
      </c>
      <c r="E894" s="9" t="s">
        <v>6</v>
      </c>
      <c r="F894" s="18">
        <v>1</v>
      </c>
      <c r="G894" s="19">
        <v>121.4</v>
      </c>
      <c r="H894" s="32">
        <v>10</v>
      </c>
      <c r="I894" s="25">
        <f t="shared" si="53"/>
        <v>1214</v>
      </c>
      <c r="J894" s="74"/>
      <c r="K894" s="75"/>
      <c r="L894" s="75"/>
      <c r="M894" s="75"/>
      <c r="N894" s="76"/>
      <c r="O894" s="75"/>
      <c r="P894" s="75"/>
      <c r="Q894" s="75"/>
      <c r="R894" s="75"/>
    </row>
    <row r="895" spans="1:18" s="2" customFormat="1" ht="26.4">
      <c r="A895" s="20">
        <f t="shared" si="56"/>
        <v>834</v>
      </c>
      <c r="B895" s="17" t="s">
        <v>1042</v>
      </c>
      <c r="C895" s="17" t="s">
        <v>1043</v>
      </c>
      <c r="D895" s="20" t="s">
        <v>890</v>
      </c>
      <c r="E895" s="20" t="s">
        <v>65</v>
      </c>
      <c r="F895" s="18">
        <v>1</v>
      </c>
      <c r="G895" s="19">
        <f>1.633198857*228.63</f>
        <v>373.39825467590998</v>
      </c>
      <c r="H895" s="32">
        <v>4</v>
      </c>
      <c r="I895" s="25">
        <f t="shared" si="53"/>
        <v>1493.5930187036399</v>
      </c>
      <c r="J895" s="40"/>
      <c r="K895" s="39"/>
      <c r="L895" s="39"/>
      <c r="M895" s="39"/>
      <c r="N895" s="23"/>
      <c r="O895" s="39"/>
      <c r="P895" s="39"/>
      <c r="Q895" s="39"/>
      <c r="R895" s="39"/>
    </row>
    <row r="896" spans="1:18" s="2" customFormat="1" ht="14.4">
      <c r="A896" s="20">
        <f t="shared" si="56"/>
        <v>835</v>
      </c>
      <c r="B896" s="17" t="s">
        <v>1063</v>
      </c>
      <c r="C896" s="17" t="s">
        <v>1104</v>
      </c>
      <c r="D896" s="20" t="s">
        <v>5</v>
      </c>
      <c r="E896" s="20" t="s">
        <v>6</v>
      </c>
      <c r="F896" s="18">
        <v>1</v>
      </c>
      <c r="G896" s="19">
        <v>243.47</v>
      </c>
      <c r="H896" s="32">
        <v>1</v>
      </c>
      <c r="I896" s="25">
        <f t="shared" si="53"/>
        <v>243.47</v>
      </c>
      <c r="J896" s="40"/>
      <c r="K896" s="39"/>
      <c r="L896" s="39"/>
      <c r="M896" s="39"/>
      <c r="N896" s="23"/>
      <c r="O896" s="39"/>
      <c r="P896" s="39"/>
      <c r="Q896" s="39"/>
      <c r="R896" s="39"/>
    </row>
    <row r="897" spans="1:18" s="2" customFormat="1" ht="14.4">
      <c r="A897" s="20">
        <f t="shared" si="56"/>
        <v>836</v>
      </c>
      <c r="B897" s="17" t="s">
        <v>1105</v>
      </c>
      <c r="C897" s="17" t="s">
        <v>1106</v>
      </c>
      <c r="D897" s="20" t="s">
        <v>5</v>
      </c>
      <c r="E897" s="20" t="s">
        <v>6</v>
      </c>
      <c r="F897" s="18">
        <v>1</v>
      </c>
      <c r="G897" s="19">
        <v>220</v>
      </c>
      <c r="H897" s="32">
        <v>1</v>
      </c>
      <c r="I897" s="25">
        <f t="shared" si="53"/>
        <v>220</v>
      </c>
      <c r="J897" s="40"/>
      <c r="K897" s="39"/>
      <c r="L897" s="39"/>
      <c r="M897" s="39"/>
      <c r="N897" s="23"/>
      <c r="O897" s="39"/>
      <c r="P897" s="39"/>
      <c r="Q897" s="39"/>
      <c r="R897" s="39"/>
    </row>
    <row r="898" spans="1:18" s="2" customFormat="1" ht="14.4">
      <c r="A898" s="20">
        <f t="shared" si="56"/>
        <v>837</v>
      </c>
      <c r="B898" s="17" t="s">
        <v>1107</v>
      </c>
      <c r="C898" s="17" t="s">
        <v>1108</v>
      </c>
      <c r="D898" s="20" t="s">
        <v>5</v>
      </c>
      <c r="E898" s="20" t="s">
        <v>6</v>
      </c>
      <c r="F898" s="18">
        <v>1</v>
      </c>
      <c r="G898" s="19">
        <f>483.2</f>
        <v>483.2</v>
      </c>
      <c r="H898" s="32">
        <v>2</v>
      </c>
      <c r="I898" s="25">
        <f t="shared" si="53"/>
        <v>966.4</v>
      </c>
      <c r="J898" s="40"/>
      <c r="K898" s="39"/>
      <c r="L898" s="39"/>
      <c r="M898" s="39"/>
      <c r="N898" s="23"/>
      <c r="O898" s="39"/>
      <c r="P898" s="39"/>
      <c r="Q898" s="39"/>
      <c r="R898" s="39"/>
    </row>
    <row r="899" spans="1:18" ht="39.6">
      <c r="A899" s="20">
        <f t="shared" si="56"/>
        <v>838</v>
      </c>
      <c r="B899" s="17" t="s">
        <v>861</v>
      </c>
      <c r="C899" s="17" t="s">
        <v>908</v>
      </c>
      <c r="D899" s="9" t="s">
        <v>8</v>
      </c>
      <c r="E899" s="20" t="s">
        <v>9</v>
      </c>
      <c r="F899" s="18">
        <v>1</v>
      </c>
      <c r="G899" s="19">
        <f>1.633198857*1072.33</f>
        <v>1751.32813032681</v>
      </c>
      <c r="H899" s="32">
        <v>29.21</v>
      </c>
      <c r="I899" s="25">
        <f t="shared" si="53"/>
        <v>51156.294686846122</v>
      </c>
      <c r="J899" s="40"/>
      <c r="K899" s="39"/>
      <c r="L899" s="39"/>
      <c r="M899" s="39"/>
      <c r="N899" s="23"/>
      <c r="O899" s="39"/>
      <c r="P899" s="39"/>
      <c r="Q899" s="39"/>
      <c r="R899" s="39"/>
    </row>
    <row r="900" spans="1:18" s="2" customFormat="1" ht="26.4">
      <c r="A900" s="20">
        <f t="shared" si="56"/>
        <v>839</v>
      </c>
      <c r="B900" s="17" t="s">
        <v>879</v>
      </c>
      <c r="C900" s="17" t="s">
        <v>880</v>
      </c>
      <c r="D900" s="9" t="s">
        <v>44</v>
      </c>
      <c r="E900" s="20" t="s">
        <v>45</v>
      </c>
      <c r="F900" s="18">
        <v>1</v>
      </c>
      <c r="G900" s="19">
        <v>34.369999999999997</v>
      </c>
      <c r="H900" s="32">
        <v>15</v>
      </c>
      <c r="I900" s="25">
        <f t="shared" si="53"/>
        <v>515.54999999999995</v>
      </c>
      <c r="J900" s="40"/>
      <c r="K900" s="39"/>
      <c r="L900" s="39"/>
      <c r="M900" s="39"/>
      <c r="N900" s="23"/>
      <c r="O900" s="39"/>
      <c r="P900" s="39"/>
      <c r="Q900" s="39"/>
      <c r="R900" s="39"/>
    </row>
    <row r="901" spans="1:18" s="2" customFormat="1" ht="14.4">
      <c r="A901" s="20">
        <f t="shared" si="56"/>
        <v>840</v>
      </c>
      <c r="B901" s="17" t="s">
        <v>988</v>
      </c>
      <c r="C901" s="17" t="s">
        <v>989</v>
      </c>
      <c r="D901" s="9" t="s">
        <v>8</v>
      </c>
      <c r="E901" s="20" t="s">
        <v>9</v>
      </c>
      <c r="F901" s="18">
        <v>1</v>
      </c>
      <c r="G901" s="19">
        <f>1.633198857*1188.53</f>
        <v>1941.10583751021</v>
      </c>
      <c r="H901" s="32">
        <v>2.2000000000000002</v>
      </c>
      <c r="I901" s="25">
        <f t="shared" si="53"/>
        <v>4270.4328425224621</v>
      </c>
      <c r="J901" s="40"/>
      <c r="K901" s="39"/>
      <c r="L901" s="39"/>
      <c r="M901" s="39"/>
      <c r="N901" s="23"/>
      <c r="O901" s="39"/>
      <c r="P901" s="39"/>
      <c r="Q901" s="39"/>
      <c r="R901" s="39"/>
    </row>
    <row r="902" spans="1:18" s="2" customFormat="1" ht="26.4">
      <c r="A902" s="20">
        <f t="shared" si="56"/>
        <v>841</v>
      </c>
      <c r="B902" s="17" t="s">
        <v>955</v>
      </c>
      <c r="C902" s="17" t="s">
        <v>882</v>
      </c>
      <c r="D902" s="20" t="s">
        <v>8</v>
      </c>
      <c r="E902" s="20" t="s">
        <v>9</v>
      </c>
      <c r="F902" s="18">
        <v>1</v>
      </c>
      <c r="G902" s="19">
        <f>1.633198857*118.8</f>
        <v>194.02402421159999</v>
      </c>
      <c r="H902" s="32">
        <v>1.25</v>
      </c>
      <c r="I902" s="25">
        <f t="shared" si="53"/>
        <v>242.5300302645</v>
      </c>
      <c r="J902" s="40"/>
      <c r="K902" s="39"/>
      <c r="L902" s="39"/>
      <c r="M902" s="39"/>
      <c r="N902" s="23"/>
      <c r="O902" s="39"/>
      <c r="P902" s="39"/>
      <c r="Q902" s="39"/>
      <c r="R902" s="39"/>
    </row>
    <row r="903" spans="1:18" s="2" customFormat="1" ht="14.4">
      <c r="A903" s="20">
        <f t="shared" si="56"/>
        <v>842</v>
      </c>
      <c r="B903" s="17" t="s">
        <v>218</v>
      </c>
      <c r="C903" s="17" t="s">
        <v>219</v>
      </c>
      <c r="D903" s="20" t="s">
        <v>48</v>
      </c>
      <c r="E903" s="20" t="s">
        <v>49</v>
      </c>
      <c r="F903" s="18">
        <v>1</v>
      </c>
      <c r="G903" s="19"/>
      <c r="H903" s="32">
        <v>1</v>
      </c>
      <c r="I903" s="25">
        <f>SUM(I885:I902)*0.05</f>
        <v>9386.805658401041</v>
      </c>
      <c r="J903" s="40"/>
      <c r="K903" s="39"/>
      <c r="L903" s="39"/>
      <c r="M903" s="39"/>
      <c r="N903" s="23"/>
      <c r="O903" s="39"/>
      <c r="P903" s="39"/>
      <c r="Q903" s="39"/>
      <c r="R903" s="39"/>
    </row>
    <row r="904" spans="1:18" ht="14.4">
      <c r="A904" s="9" t="s">
        <v>61</v>
      </c>
      <c r="B904" s="20" t="s">
        <v>1109</v>
      </c>
      <c r="C904" s="20" t="s">
        <v>1110</v>
      </c>
      <c r="D904" s="9"/>
      <c r="E904" s="9"/>
      <c r="F904" s="18"/>
      <c r="G904" s="19"/>
      <c r="H904" s="18"/>
      <c r="I904" s="25"/>
      <c r="J904" s="24"/>
      <c r="K904" s="22"/>
      <c r="L904" s="22"/>
      <c r="M904" s="22"/>
      <c r="N904" s="23"/>
      <c r="O904" s="22"/>
      <c r="P904" s="22"/>
      <c r="Q904" s="22"/>
      <c r="R904" s="22"/>
    </row>
    <row r="905" spans="1:18" s="2" customFormat="1" ht="26.4">
      <c r="A905" s="20">
        <f>A903+1</f>
        <v>843</v>
      </c>
      <c r="B905" s="17" t="s">
        <v>1111</v>
      </c>
      <c r="C905" s="17" t="s">
        <v>1112</v>
      </c>
      <c r="D905" s="20" t="s">
        <v>5</v>
      </c>
      <c r="E905" s="20" t="s">
        <v>6</v>
      </c>
      <c r="F905" s="18">
        <v>1</v>
      </c>
      <c r="G905" s="19">
        <f>1.633198857*1544.53</f>
        <v>2522.52463060221</v>
      </c>
      <c r="H905" s="32">
        <v>3</v>
      </c>
      <c r="I905" s="25">
        <f t="shared" si="53"/>
        <v>7567.5738918066299</v>
      </c>
      <c r="J905" s="40"/>
      <c r="K905" s="39"/>
      <c r="L905" s="39"/>
      <c r="M905" s="39"/>
      <c r="N905" s="23"/>
      <c r="O905" s="39"/>
      <c r="P905" s="39"/>
      <c r="Q905" s="39"/>
      <c r="R905" s="39"/>
    </row>
    <row r="906" spans="1:18" s="2" customFormat="1" ht="52.8">
      <c r="A906" s="20">
        <f t="shared" ref="A906:A924" si="57">A905+1</f>
        <v>844</v>
      </c>
      <c r="B906" s="17" t="s">
        <v>1113</v>
      </c>
      <c r="C906" s="17" t="s">
        <v>1114</v>
      </c>
      <c r="D906" s="20" t="s">
        <v>5</v>
      </c>
      <c r="E906" s="20" t="s">
        <v>6</v>
      </c>
      <c r="F906" s="18">
        <v>1</v>
      </c>
      <c r="G906" s="19">
        <v>36207</v>
      </c>
      <c r="H906" s="32">
        <v>1</v>
      </c>
      <c r="I906" s="25">
        <f t="shared" si="53"/>
        <v>36207</v>
      </c>
      <c r="J906" s="40"/>
      <c r="K906" s="39"/>
      <c r="L906" s="39"/>
      <c r="M906" s="39"/>
      <c r="N906" s="23"/>
      <c r="O906" s="39"/>
      <c r="P906" s="39"/>
      <c r="Q906" s="39"/>
      <c r="R906" s="39"/>
    </row>
    <row r="907" spans="1:18" s="2" customFormat="1" ht="52.8">
      <c r="A907" s="20">
        <f t="shared" si="57"/>
        <v>845</v>
      </c>
      <c r="B907" s="17" t="s">
        <v>1115</v>
      </c>
      <c r="C907" s="17" t="s">
        <v>1116</v>
      </c>
      <c r="D907" s="20" t="s">
        <v>5</v>
      </c>
      <c r="E907" s="20" t="s">
        <v>6</v>
      </c>
      <c r="F907" s="18">
        <v>1</v>
      </c>
      <c r="G907" s="19">
        <v>37543.5</v>
      </c>
      <c r="H907" s="32">
        <v>1</v>
      </c>
      <c r="I907" s="25">
        <f t="shared" ref="I907:I970" si="58">G907*H907</f>
        <v>37543.5</v>
      </c>
      <c r="J907" s="40"/>
      <c r="K907" s="39"/>
      <c r="L907" s="39"/>
      <c r="M907" s="39"/>
      <c r="N907" s="23"/>
      <c r="O907" s="39"/>
      <c r="P907" s="39"/>
      <c r="Q907" s="39"/>
      <c r="R907" s="39"/>
    </row>
    <row r="908" spans="1:18" s="2" customFormat="1" ht="52.8">
      <c r="A908" s="20">
        <f t="shared" si="57"/>
        <v>846</v>
      </c>
      <c r="B908" s="17" t="s">
        <v>1117</v>
      </c>
      <c r="C908" s="17" t="s">
        <v>1118</v>
      </c>
      <c r="D908" s="20" t="s">
        <v>5</v>
      </c>
      <c r="E908" s="20" t="s">
        <v>6</v>
      </c>
      <c r="F908" s="18">
        <v>1</v>
      </c>
      <c r="G908" s="19">
        <v>49709</v>
      </c>
      <c r="H908" s="32">
        <v>1</v>
      </c>
      <c r="I908" s="25">
        <f t="shared" si="58"/>
        <v>49709</v>
      </c>
      <c r="J908" s="40"/>
      <c r="K908" s="39"/>
      <c r="L908" s="39"/>
      <c r="M908" s="39"/>
      <c r="N908" s="23"/>
      <c r="O908" s="39"/>
      <c r="P908" s="39"/>
      <c r="Q908" s="39"/>
      <c r="R908" s="39"/>
    </row>
    <row r="909" spans="1:18" s="2" customFormat="1" ht="14.4">
      <c r="A909" s="20">
        <f t="shared" si="57"/>
        <v>847</v>
      </c>
      <c r="B909" s="17" t="s">
        <v>1119</v>
      </c>
      <c r="C909" s="17" t="s">
        <v>1120</v>
      </c>
      <c r="D909" s="20" t="s">
        <v>5</v>
      </c>
      <c r="E909" s="20" t="s">
        <v>6</v>
      </c>
      <c r="F909" s="18">
        <v>1</v>
      </c>
      <c r="G909" s="19">
        <v>483</v>
      </c>
      <c r="H909" s="32">
        <v>6</v>
      </c>
      <c r="I909" s="25">
        <f t="shared" si="58"/>
        <v>2898</v>
      </c>
      <c r="J909" s="40"/>
      <c r="K909" s="39"/>
      <c r="L909" s="39"/>
      <c r="M909" s="39"/>
      <c r="N909" s="23"/>
      <c r="O909" s="39"/>
      <c r="P909" s="39"/>
      <c r="Q909" s="39"/>
      <c r="R909" s="39"/>
    </row>
    <row r="910" spans="1:18" s="2" customFormat="1" ht="14.4">
      <c r="A910" s="20">
        <f t="shared" si="57"/>
        <v>848</v>
      </c>
      <c r="B910" s="17" t="s">
        <v>1121</v>
      </c>
      <c r="C910" s="17" t="s">
        <v>1122</v>
      </c>
      <c r="D910" s="20" t="s">
        <v>5</v>
      </c>
      <c r="E910" s="20" t="s">
        <v>6</v>
      </c>
      <c r="F910" s="18">
        <v>1</v>
      </c>
      <c r="G910" s="19">
        <f>358.4</f>
        <v>358.4</v>
      </c>
      <c r="H910" s="32">
        <v>2</v>
      </c>
      <c r="I910" s="25">
        <f t="shared" si="58"/>
        <v>716.8</v>
      </c>
      <c r="J910" s="40"/>
      <c r="K910" s="39"/>
      <c r="L910" s="39"/>
      <c r="M910" s="39"/>
      <c r="N910" s="23"/>
      <c r="O910" s="39"/>
      <c r="P910" s="39"/>
      <c r="Q910" s="39"/>
      <c r="R910" s="39"/>
    </row>
    <row r="911" spans="1:18" s="2" customFormat="1" ht="39.6">
      <c r="A911" s="20">
        <f t="shared" si="57"/>
        <v>849</v>
      </c>
      <c r="B911" s="17" t="s">
        <v>1123</v>
      </c>
      <c r="C911" s="17" t="s">
        <v>1124</v>
      </c>
      <c r="D911" s="9" t="s">
        <v>8</v>
      </c>
      <c r="E911" s="20" t="s">
        <v>9</v>
      </c>
      <c r="F911" s="18">
        <v>1</v>
      </c>
      <c r="G911" s="19">
        <f>1.633198857*294.47</f>
        <v>480.92806742079006</v>
      </c>
      <c r="H911" s="32">
        <v>7.6</v>
      </c>
      <c r="I911" s="25">
        <f t="shared" si="58"/>
        <v>3655.0533123980044</v>
      </c>
      <c r="J911" s="40"/>
      <c r="K911" s="39"/>
      <c r="L911" s="39"/>
      <c r="M911" s="39"/>
      <c r="N911" s="23"/>
      <c r="O911" s="39"/>
      <c r="P911" s="39"/>
      <c r="Q911" s="39"/>
      <c r="R911" s="39"/>
    </row>
    <row r="912" spans="1:18" s="2" customFormat="1" ht="39.6">
      <c r="A912" s="20">
        <f t="shared" si="57"/>
        <v>850</v>
      </c>
      <c r="B912" s="17" t="s">
        <v>1125</v>
      </c>
      <c r="C912" s="17" t="s">
        <v>1126</v>
      </c>
      <c r="D912" s="9" t="s">
        <v>8</v>
      </c>
      <c r="E912" s="20" t="s">
        <v>9</v>
      </c>
      <c r="F912" s="18">
        <v>1</v>
      </c>
      <c r="G912" s="19">
        <f t="shared" ref="G912:G917" si="59">1.633198857*321.93</f>
        <v>525.77570803400999</v>
      </c>
      <c r="H912" s="32">
        <v>6</v>
      </c>
      <c r="I912" s="25">
        <f t="shared" si="58"/>
        <v>3154.65424820406</v>
      </c>
      <c r="J912" s="40"/>
      <c r="K912" s="39"/>
      <c r="L912" s="39"/>
      <c r="M912" s="39"/>
      <c r="N912" s="23"/>
      <c r="O912" s="39"/>
      <c r="P912" s="39"/>
      <c r="Q912" s="39"/>
      <c r="R912" s="39"/>
    </row>
    <row r="913" spans="1:18" s="2" customFormat="1" ht="39.6">
      <c r="A913" s="20">
        <f t="shared" si="57"/>
        <v>851</v>
      </c>
      <c r="B913" s="17" t="s">
        <v>1127</v>
      </c>
      <c r="C913" s="17" t="s">
        <v>1128</v>
      </c>
      <c r="D913" s="9" t="s">
        <v>8</v>
      </c>
      <c r="E913" s="20" t="s">
        <v>9</v>
      </c>
      <c r="F913" s="18">
        <v>1</v>
      </c>
      <c r="G913" s="19">
        <f t="shared" si="59"/>
        <v>525.77570803400999</v>
      </c>
      <c r="H913" s="32">
        <v>5.2</v>
      </c>
      <c r="I913" s="25">
        <f t="shared" si="58"/>
        <v>2734.0336817768521</v>
      </c>
      <c r="J913" s="40"/>
      <c r="K913" s="39"/>
      <c r="L913" s="39"/>
      <c r="M913" s="39"/>
      <c r="N913" s="23"/>
      <c r="O913" s="39"/>
      <c r="P913" s="39"/>
      <c r="Q913" s="39"/>
      <c r="R913" s="39"/>
    </row>
    <row r="914" spans="1:18" s="2" customFormat="1" ht="39.6">
      <c r="A914" s="20">
        <f t="shared" si="57"/>
        <v>852</v>
      </c>
      <c r="B914" s="17" t="s">
        <v>1129</v>
      </c>
      <c r="C914" s="17" t="s">
        <v>1130</v>
      </c>
      <c r="D914" s="9" t="s">
        <v>8</v>
      </c>
      <c r="E914" s="20" t="s">
        <v>9</v>
      </c>
      <c r="F914" s="18">
        <v>1</v>
      </c>
      <c r="G914" s="19">
        <f t="shared" si="59"/>
        <v>525.77570803400999</v>
      </c>
      <c r="H914" s="32">
        <v>11.31</v>
      </c>
      <c r="I914" s="25">
        <f t="shared" si="58"/>
        <v>5946.5232578646537</v>
      </c>
      <c r="J914" s="40"/>
      <c r="K914" s="39"/>
      <c r="L914" s="39"/>
      <c r="M914" s="39"/>
      <c r="N914" s="23"/>
      <c r="O914" s="39"/>
      <c r="P914" s="39"/>
      <c r="Q914" s="39"/>
      <c r="R914" s="39"/>
    </row>
    <row r="915" spans="1:18" s="2" customFormat="1" ht="39.6">
      <c r="A915" s="20">
        <f t="shared" si="57"/>
        <v>853</v>
      </c>
      <c r="B915" s="17" t="s">
        <v>1131</v>
      </c>
      <c r="C915" s="17" t="s">
        <v>1132</v>
      </c>
      <c r="D915" s="9" t="s">
        <v>8</v>
      </c>
      <c r="E915" s="20" t="s">
        <v>9</v>
      </c>
      <c r="F915" s="18">
        <v>1</v>
      </c>
      <c r="G915" s="19">
        <f t="shared" si="59"/>
        <v>525.77570803400999</v>
      </c>
      <c r="H915" s="32">
        <v>10.89</v>
      </c>
      <c r="I915" s="25">
        <f t="shared" si="58"/>
        <v>5725.6974604903689</v>
      </c>
      <c r="J915" s="40"/>
      <c r="K915" s="39"/>
      <c r="L915" s="39"/>
      <c r="M915" s="39"/>
      <c r="N915" s="23"/>
      <c r="O915" s="39"/>
      <c r="P915" s="39"/>
      <c r="Q915" s="39"/>
      <c r="R915" s="39"/>
    </row>
    <row r="916" spans="1:18" s="2" customFormat="1" ht="39.6">
      <c r="A916" s="20">
        <f t="shared" si="57"/>
        <v>854</v>
      </c>
      <c r="B916" s="17" t="s">
        <v>1133</v>
      </c>
      <c r="C916" s="17" t="s">
        <v>1134</v>
      </c>
      <c r="D916" s="9" t="s">
        <v>8</v>
      </c>
      <c r="E916" s="20" t="s">
        <v>9</v>
      </c>
      <c r="F916" s="18">
        <v>1</v>
      </c>
      <c r="G916" s="19">
        <f t="shared" si="59"/>
        <v>525.77570803400999</v>
      </c>
      <c r="H916" s="32">
        <v>11.78</v>
      </c>
      <c r="I916" s="25">
        <f t="shared" si="58"/>
        <v>6193.6378406406375</v>
      </c>
      <c r="J916" s="40"/>
      <c r="K916" s="39"/>
      <c r="L916" s="39"/>
      <c r="M916" s="39"/>
      <c r="N916" s="23"/>
      <c r="O916" s="39"/>
      <c r="P916" s="39"/>
      <c r="Q916" s="39"/>
      <c r="R916" s="39"/>
    </row>
    <row r="917" spans="1:18" s="2" customFormat="1" ht="39.6">
      <c r="A917" s="20">
        <f t="shared" si="57"/>
        <v>855</v>
      </c>
      <c r="B917" s="17" t="s">
        <v>1135</v>
      </c>
      <c r="C917" s="17" t="s">
        <v>1136</v>
      </c>
      <c r="D917" s="9" t="s">
        <v>8</v>
      </c>
      <c r="E917" s="20" t="s">
        <v>9</v>
      </c>
      <c r="F917" s="18">
        <v>1</v>
      </c>
      <c r="G917" s="19">
        <f t="shared" si="59"/>
        <v>525.77570803400999</v>
      </c>
      <c r="H917" s="32">
        <v>8.8000000000000007</v>
      </c>
      <c r="I917" s="25">
        <f t="shared" si="58"/>
        <v>4626.8262306992883</v>
      </c>
      <c r="J917" s="40"/>
      <c r="K917" s="39"/>
      <c r="L917" s="39"/>
      <c r="M917" s="39"/>
      <c r="N917" s="23"/>
      <c r="O917" s="39"/>
      <c r="P917" s="39"/>
      <c r="Q917" s="39"/>
      <c r="R917" s="39"/>
    </row>
    <row r="918" spans="1:18" s="2" customFormat="1" ht="26.4">
      <c r="A918" s="20">
        <f t="shared" si="57"/>
        <v>856</v>
      </c>
      <c r="B918" s="17" t="s">
        <v>1137</v>
      </c>
      <c r="C918" s="17" t="s">
        <v>1138</v>
      </c>
      <c r="D918" s="20" t="s">
        <v>5</v>
      </c>
      <c r="E918" s="20" t="s">
        <v>6</v>
      </c>
      <c r="F918" s="18">
        <v>1</v>
      </c>
      <c r="G918" s="19">
        <f>1.633198857</f>
        <v>1.633198857</v>
      </c>
      <c r="H918" s="32">
        <v>10</v>
      </c>
      <c r="I918" s="25">
        <f t="shared" si="58"/>
        <v>16.33198857</v>
      </c>
      <c r="J918" s="40"/>
      <c r="K918" s="39"/>
      <c r="L918" s="39"/>
      <c r="M918" s="39"/>
      <c r="N918" s="23"/>
      <c r="O918" s="39"/>
      <c r="P918" s="39"/>
      <c r="Q918" s="39"/>
      <c r="R918" s="39"/>
    </row>
    <row r="919" spans="1:18" s="2" customFormat="1" ht="26.4">
      <c r="A919" s="20">
        <f t="shared" si="57"/>
        <v>857</v>
      </c>
      <c r="B919" s="17" t="s">
        <v>856</v>
      </c>
      <c r="C919" s="17" t="s">
        <v>940</v>
      </c>
      <c r="D919" s="20" t="s">
        <v>858</v>
      </c>
      <c r="E919" s="20" t="s">
        <v>64</v>
      </c>
      <c r="F919" s="18">
        <v>1</v>
      </c>
      <c r="G919" s="19">
        <f>1.633198857</f>
        <v>1.633198857</v>
      </c>
      <c r="H919" s="32">
        <v>3</v>
      </c>
      <c r="I919" s="25">
        <f t="shared" si="58"/>
        <v>4.899596571</v>
      </c>
      <c r="J919" s="40"/>
      <c r="K919" s="39"/>
      <c r="L919" s="39"/>
      <c r="M919" s="39"/>
      <c r="N919" s="23"/>
      <c r="O919" s="39"/>
      <c r="P919" s="39"/>
      <c r="Q919" s="39"/>
      <c r="R919" s="39"/>
    </row>
    <row r="920" spans="1:18" s="2" customFormat="1" ht="26.4">
      <c r="A920" s="20">
        <f t="shared" si="57"/>
        <v>858</v>
      </c>
      <c r="B920" s="17" t="s">
        <v>1139</v>
      </c>
      <c r="C920" s="17" t="s">
        <v>1140</v>
      </c>
      <c r="D920" s="20" t="s">
        <v>5</v>
      </c>
      <c r="E920" s="20" t="s">
        <v>6</v>
      </c>
      <c r="F920" s="18">
        <v>1</v>
      </c>
      <c r="G920" s="19">
        <f>10288.28</f>
        <v>10288.280000000001</v>
      </c>
      <c r="H920" s="32">
        <v>2</v>
      </c>
      <c r="I920" s="25">
        <f t="shared" si="58"/>
        <v>20576.560000000001</v>
      </c>
      <c r="J920" s="40"/>
      <c r="K920" s="39"/>
      <c r="L920" s="39"/>
      <c r="M920" s="39"/>
      <c r="N920" s="23"/>
      <c r="O920" s="39"/>
      <c r="P920" s="39"/>
      <c r="Q920" s="39"/>
      <c r="R920" s="39"/>
    </row>
    <row r="921" spans="1:18" s="2" customFormat="1" ht="26.4">
      <c r="A921" s="20">
        <f t="shared" si="57"/>
        <v>859</v>
      </c>
      <c r="B921" s="17" t="s">
        <v>1141</v>
      </c>
      <c r="C921" s="17" t="s">
        <v>1142</v>
      </c>
      <c r="D921" s="20" t="s">
        <v>5</v>
      </c>
      <c r="E921" s="20" t="s">
        <v>6</v>
      </c>
      <c r="F921" s="18">
        <v>1</v>
      </c>
      <c r="G921" s="19">
        <f>10288.28</f>
        <v>10288.280000000001</v>
      </c>
      <c r="H921" s="32">
        <v>1</v>
      </c>
      <c r="I921" s="25">
        <f t="shared" si="58"/>
        <v>10288.280000000001</v>
      </c>
      <c r="J921" s="40"/>
      <c r="K921" s="39"/>
      <c r="L921" s="39"/>
      <c r="M921" s="39"/>
      <c r="N921" s="23"/>
      <c r="O921" s="39"/>
      <c r="P921" s="39"/>
      <c r="Q921" s="39"/>
      <c r="R921" s="39"/>
    </row>
    <row r="922" spans="1:18" s="2" customFormat="1" ht="14.4">
      <c r="A922" s="20">
        <f t="shared" si="57"/>
        <v>860</v>
      </c>
      <c r="B922" s="17" t="s">
        <v>929</v>
      </c>
      <c r="C922" s="17" t="s">
        <v>874</v>
      </c>
      <c r="D922" s="9" t="s">
        <v>8</v>
      </c>
      <c r="E922" s="20" t="s">
        <v>9</v>
      </c>
      <c r="F922" s="18">
        <v>1</v>
      </c>
      <c r="G922" s="19">
        <v>483.2</v>
      </c>
      <c r="H922" s="32">
        <v>2</v>
      </c>
      <c r="I922" s="25">
        <f t="shared" si="58"/>
        <v>966.4</v>
      </c>
      <c r="J922" s="40"/>
      <c r="K922" s="39"/>
      <c r="L922" s="39"/>
      <c r="M922" s="39"/>
      <c r="N922" s="23"/>
      <c r="O922" s="39"/>
      <c r="P922" s="39"/>
      <c r="Q922" s="39"/>
      <c r="R922" s="39"/>
    </row>
    <row r="923" spans="1:18" s="2" customFormat="1" ht="26.4">
      <c r="A923" s="20">
        <f t="shared" si="57"/>
        <v>861</v>
      </c>
      <c r="B923" s="17" t="s">
        <v>955</v>
      </c>
      <c r="C923" s="17" t="s">
        <v>882</v>
      </c>
      <c r="D923" s="20" t="s">
        <v>8</v>
      </c>
      <c r="E923" s="20" t="s">
        <v>9</v>
      </c>
      <c r="F923" s="18">
        <v>1</v>
      </c>
      <c r="G923" s="19">
        <f>1.633198857*118.8</f>
        <v>194.02402421159999</v>
      </c>
      <c r="H923" s="32">
        <v>20</v>
      </c>
      <c r="I923" s="25">
        <f t="shared" si="58"/>
        <v>3880.480484232</v>
      </c>
      <c r="J923" s="40"/>
      <c r="K923" s="39"/>
      <c r="L923" s="39"/>
      <c r="M923" s="39"/>
      <c r="N923" s="23"/>
      <c r="O923" s="39"/>
      <c r="P923" s="39"/>
      <c r="Q923" s="39"/>
      <c r="R923" s="39"/>
    </row>
    <row r="924" spans="1:18" s="2" customFormat="1" ht="14.4">
      <c r="A924" s="20">
        <f t="shared" si="57"/>
        <v>862</v>
      </c>
      <c r="B924" s="17" t="s">
        <v>218</v>
      </c>
      <c r="C924" s="17" t="s">
        <v>219</v>
      </c>
      <c r="D924" s="20" t="s">
        <v>48</v>
      </c>
      <c r="E924" s="20" t="s">
        <v>49</v>
      </c>
      <c r="F924" s="18">
        <v>1</v>
      </c>
      <c r="G924" s="19"/>
      <c r="H924" s="32">
        <v>1</v>
      </c>
      <c r="I924" s="25">
        <f>SUM(I905:I923)*0.05</f>
        <v>10120.562599662671</v>
      </c>
      <c r="J924" s="40"/>
      <c r="K924" s="39"/>
      <c r="L924" s="39"/>
      <c r="M924" s="39"/>
      <c r="N924" s="23"/>
      <c r="O924" s="39"/>
      <c r="P924" s="39"/>
      <c r="Q924" s="39"/>
      <c r="R924" s="39"/>
    </row>
    <row r="925" spans="1:18" ht="14.4">
      <c r="A925" s="9" t="s">
        <v>61</v>
      </c>
      <c r="B925" s="13" t="s">
        <v>1143</v>
      </c>
      <c r="C925" s="13" t="s">
        <v>1144</v>
      </c>
      <c r="D925" s="14"/>
      <c r="E925" s="14"/>
      <c r="F925" s="18"/>
      <c r="G925" s="19"/>
      <c r="H925" s="15"/>
      <c r="I925" s="25"/>
      <c r="J925" s="24"/>
      <c r="K925" s="22"/>
      <c r="L925" s="22"/>
      <c r="M925" s="22"/>
      <c r="N925" s="23"/>
      <c r="O925" s="22"/>
      <c r="P925" s="22"/>
      <c r="Q925" s="22"/>
      <c r="R925" s="22"/>
    </row>
    <row r="926" spans="1:18" s="2" customFormat="1" ht="26.4">
      <c r="A926" s="20">
        <f>A924+1</f>
        <v>863</v>
      </c>
      <c r="B926" s="17" t="s">
        <v>1145</v>
      </c>
      <c r="C926" s="17" t="s">
        <v>1146</v>
      </c>
      <c r="D926" s="20" t="s">
        <v>5</v>
      </c>
      <c r="E926" s="20" t="s">
        <v>6</v>
      </c>
      <c r="F926" s="18">
        <v>1</v>
      </c>
      <c r="G926" s="19">
        <f>1.633198857*7994.3</f>
        <v>13056.2816225151</v>
      </c>
      <c r="H926" s="32">
        <v>2</v>
      </c>
      <c r="I926" s="25">
        <f t="shared" si="58"/>
        <v>26112.5632450302</v>
      </c>
      <c r="J926" s="40"/>
      <c r="K926" s="39"/>
      <c r="L926" s="39"/>
      <c r="M926" s="39"/>
      <c r="N926" s="23"/>
      <c r="O926" s="39"/>
      <c r="P926" s="39"/>
      <c r="Q926" s="39"/>
      <c r="R926" s="39"/>
    </row>
    <row r="927" spans="1:18" s="2" customFormat="1" ht="26.4">
      <c r="A927" s="20">
        <f t="shared" ref="A927:A938" si="60">A926+1</f>
        <v>864</v>
      </c>
      <c r="B927" s="17" t="s">
        <v>1147</v>
      </c>
      <c r="C927" s="17" t="s">
        <v>1148</v>
      </c>
      <c r="D927" s="20" t="s">
        <v>44</v>
      </c>
      <c r="E927" s="20" t="s">
        <v>45</v>
      </c>
      <c r="F927" s="18">
        <v>1</v>
      </c>
      <c r="G927" s="19">
        <f>1.633198857*28.85</f>
        <v>47.117787024450003</v>
      </c>
      <c r="H927" s="32">
        <v>4</v>
      </c>
      <c r="I927" s="25">
        <f t="shared" si="58"/>
        <v>188.47114809780001</v>
      </c>
      <c r="J927" s="40"/>
      <c r="K927" s="39"/>
      <c r="L927" s="39"/>
      <c r="M927" s="39"/>
      <c r="N927" s="23"/>
      <c r="O927" s="39"/>
      <c r="P927" s="39"/>
      <c r="Q927" s="39"/>
      <c r="R927" s="39"/>
    </row>
    <row r="928" spans="1:18" s="2" customFormat="1" ht="14.4">
      <c r="A928" s="20">
        <f t="shared" si="60"/>
        <v>865</v>
      </c>
      <c r="B928" s="17" t="s">
        <v>1149</v>
      </c>
      <c r="C928" s="17" t="s">
        <v>1150</v>
      </c>
      <c r="D928" s="20"/>
      <c r="E928" s="20"/>
      <c r="F928" s="18"/>
      <c r="G928" s="19"/>
      <c r="H928" s="32"/>
      <c r="I928" s="25"/>
      <c r="J928" s="40"/>
      <c r="K928" s="39"/>
      <c r="L928" s="39"/>
      <c r="M928" s="39"/>
      <c r="N928" s="23"/>
      <c r="O928" s="39"/>
      <c r="P928" s="39"/>
      <c r="Q928" s="39"/>
      <c r="R928" s="39"/>
    </row>
    <row r="929" spans="1:18" s="2" customFormat="1" ht="39.6">
      <c r="A929" s="20">
        <f t="shared" si="60"/>
        <v>866</v>
      </c>
      <c r="B929" s="17" t="s">
        <v>1151</v>
      </c>
      <c r="C929" s="17" t="s">
        <v>1152</v>
      </c>
      <c r="D929" s="9" t="s">
        <v>25</v>
      </c>
      <c r="E929" s="20" t="s">
        <v>26</v>
      </c>
      <c r="F929" s="18">
        <v>1</v>
      </c>
      <c r="G929" s="19">
        <f>1.633198857*175.55</f>
        <v>286.70805934635001</v>
      </c>
      <c r="H929" s="32">
        <v>15</v>
      </c>
      <c r="I929" s="25">
        <f t="shared" si="58"/>
        <v>4300.6208901952505</v>
      </c>
      <c r="J929" s="40"/>
      <c r="K929" s="39"/>
      <c r="L929" s="39"/>
      <c r="M929" s="39"/>
      <c r="N929" s="23"/>
      <c r="O929" s="39"/>
      <c r="P929" s="39"/>
      <c r="Q929" s="39"/>
      <c r="R929" s="39"/>
    </row>
    <row r="930" spans="1:18" s="2" customFormat="1" ht="39.6">
      <c r="A930" s="20">
        <f t="shared" si="60"/>
        <v>867</v>
      </c>
      <c r="B930" s="17" t="s">
        <v>1153</v>
      </c>
      <c r="C930" s="17" t="s">
        <v>1154</v>
      </c>
      <c r="D930" s="9" t="s">
        <v>25</v>
      </c>
      <c r="E930" s="20" t="s">
        <v>26</v>
      </c>
      <c r="F930" s="18">
        <v>1</v>
      </c>
      <c r="G930" s="19">
        <f>1.633198857*222.6</f>
        <v>363.55006556820001</v>
      </c>
      <c r="H930" s="32">
        <v>15</v>
      </c>
      <c r="I930" s="25">
        <f t="shared" si="58"/>
        <v>5453.2509835230003</v>
      </c>
      <c r="J930" s="40"/>
      <c r="K930" s="39"/>
      <c r="L930" s="39"/>
      <c r="M930" s="39"/>
      <c r="N930" s="23"/>
      <c r="O930" s="39"/>
      <c r="P930" s="39"/>
      <c r="Q930" s="39"/>
      <c r="R930" s="39"/>
    </row>
    <row r="931" spans="1:18" s="2" customFormat="1" ht="14.4">
      <c r="A931" s="20">
        <f t="shared" si="60"/>
        <v>868</v>
      </c>
      <c r="B931" s="17" t="s">
        <v>1155</v>
      </c>
      <c r="C931" s="17" t="s">
        <v>1156</v>
      </c>
      <c r="D931" s="9" t="s">
        <v>25</v>
      </c>
      <c r="E931" s="20" t="s">
        <v>26</v>
      </c>
      <c r="F931" s="18">
        <v>1</v>
      </c>
      <c r="G931" s="19">
        <f>151.67</f>
        <v>151.66999999999999</v>
      </c>
      <c r="H931" s="32">
        <v>15</v>
      </c>
      <c r="I931" s="25">
        <f t="shared" si="58"/>
        <v>2275.0499999999997</v>
      </c>
      <c r="J931" s="40"/>
      <c r="K931" s="39"/>
      <c r="L931" s="39"/>
      <c r="M931" s="39"/>
      <c r="N931" s="23"/>
      <c r="O931" s="39"/>
      <c r="P931" s="39"/>
      <c r="Q931" s="39"/>
      <c r="R931" s="39"/>
    </row>
    <row r="932" spans="1:18" s="2" customFormat="1" ht="14.4">
      <c r="A932" s="20">
        <f t="shared" si="60"/>
        <v>869</v>
      </c>
      <c r="B932" s="17" t="s">
        <v>1157</v>
      </c>
      <c r="C932" s="17" t="s">
        <v>1158</v>
      </c>
      <c r="D932" s="9" t="s">
        <v>25</v>
      </c>
      <c r="E932" s="20" t="s">
        <v>26</v>
      </c>
      <c r="F932" s="18">
        <v>1</v>
      </c>
      <c r="G932" s="19">
        <f>442.58</f>
        <v>442.58</v>
      </c>
      <c r="H932" s="32">
        <v>15</v>
      </c>
      <c r="I932" s="25">
        <f t="shared" si="58"/>
        <v>6638.7</v>
      </c>
      <c r="J932" s="40"/>
      <c r="K932" s="39"/>
      <c r="L932" s="39"/>
      <c r="M932" s="39"/>
      <c r="N932" s="23"/>
      <c r="O932" s="39"/>
      <c r="P932" s="39"/>
      <c r="Q932" s="39"/>
      <c r="R932" s="39"/>
    </row>
    <row r="933" spans="1:18" s="2" customFormat="1" ht="26.4">
      <c r="A933" s="20">
        <f t="shared" si="60"/>
        <v>870</v>
      </c>
      <c r="B933" s="17" t="s">
        <v>1159</v>
      </c>
      <c r="C933" s="17" t="s">
        <v>1160</v>
      </c>
      <c r="D933" s="9" t="s">
        <v>25</v>
      </c>
      <c r="E933" s="20" t="s">
        <v>26</v>
      </c>
      <c r="F933" s="18">
        <v>1</v>
      </c>
      <c r="G933" s="19">
        <f>1.633198857*97.14</f>
        <v>158.64893696898</v>
      </c>
      <c r="H933" s="32">
        <v>30</v>
      </c>
      <c r="I933" s="25">
        <f t="shared" si="58"/>
        <v>4759.4681090694003</v>
      </c>
      <c r="J933" s="40"/>
      <c r="K933" s="39"/>
      <c r="L933" s="39"/>
      <c r="M933" s="39"/>
      <c r="N933" s="23"/>
      <c r="O933" s="39"/>
      <c r="P933" s="39"/>
      <c r="Q933" s="39"/>
      <c r="R933" s="39"/>
    </row>
    <row r="934" spans="1:18" s="2" customFormat="1" ht="26.4">
      <c r="A934" s="20">
        <f t="shared" si="60"/>
        <v>871</v>
      </c>
      <c r="B934" s="17" t="s">
        <v>1161</v>
      </c>
      <c r="C934" s="17" t="s">
        <v>1162</v>
      </c>
      <c r="D934" s="9" t="s">
        <v>25</v>
      </c>
      <c r="E934" s="20" t="s">
        <v>26</v>
      </c>
      <c r="F934" s="18">
        <v>1</v>
      </c>
      <c r="G934" s="19">
        <f>20.28</f>
        <v>20.28</v>
      </c>
      <c r="H934" s="32">
        <v>15</v>
      </c>
      <c r="I934" s="25">
        <f t="shared" si="58"/>
        <v>304.20000000000005</v>
      </c>
      <c r="J934" s="40"/>
      <c r="K934" s="39"/>
      <c r="L934" s="39"/>
      <c r="M934" s="39"/>
      <c r="N934" s="23"/>
      <c r="O934" s="39"/>
      <c r="P934" s="39"/>
      <c r="Q934" s="39"/>
      <c r="R934" s="39"/>
    </row>
    <row r="935" spans="1:18" s="2" customFormat="1" ht="26.4">
      <c r="A935" s="20">
        <f t="shared" si="60"/>
        <v>872</v>
      </c>
      <c r="B935" s="17" t="s">
        <v>1163</v>
      </c>
      <c r="C935" s="17" t="s">
        <v>1164</v>
      </c>
      <c r="D935" s="9" t="s">
        <v>25</v>
      </c>
      <c r="E935" s="20" t="s">
        <v>26</v>
      </c>
      <c r="F935" s="18">
        <v>1</v>
      </c>
      <c r="G935" s="19">
        <f>120.63</f>
        <v>120.63</v>
      </c>
      <c r="H935" s="32">
        <v>15</v>
      </c>
      <c r="I935" s="25">
        <f t="shared" si="58"/>
        <v>1809.4499999999998</v>
      </c>
      <c r="J935" s="40"/>
      <c r="K935" s="39"/>
      <c r="L935" s="39"/>
      <c r="M935" s="39"/>
      <c r="N935" s="23"/>
      <c r="O935" s="39"/>
      <c r="P935" s="39"/>
      <c r="Q935" s="39"/>
      <c r="R935" s="39"/>
    </row>
    <row r="936" spans="1:18" s="2" customFormat="1" ht="14.4">
      <c r="A936" s="20">
        <f t="shared" si="60"/>
        <v>873</v>
      </c>
      <c r="B936" s="17" t="s">
        <v>1165</v>
      </c>
      <c r="C936" s="17" t="s">
        <v>1166</v>
      </c>
      <c r="D936" s="9"/>
      <c r="E936" s="20" t="s">
        <v>53</v>
      </c>
      <c r="F936" s="18">
        <v>1</v>
      </c>
      <c r="G936" s="19">
        <f>1494.5</f>
        <v>1494.5</v>
      </c>
      <c r="H936" s="32">
        <v>7</v>
      </c>
      <c r="I936" s="25">
        <f t="shared" si="58"/>
        <v>10461.5</v>
      </c>
      <c r="J936" s="40"/>
      <c r="K936" s="39"/>
      <c r="L936" s="39"/>
      <c r="M936" s="39"/>
      <c r="N936" s="23"/>
      <c r="O936" s="39"/>
      <c r="P936" s="39"/>
      <c r="Q936" s="39"/>
      <c r="R936" s="39"/>
    </row>
    <row r="937" spans="1:18" s="2" customFormat="1" ht="14.4">
      <c r="A937" s="20">
        <f t="shared" si="60"/>
        <v>874</v>
      </c>
      <c r="B937" s="17" t="s">
        <v>1167</v>
      </c>
      <c r="C937" s="17" t="s">
        <v>1168</v>
      </c>
      <c r="D937" s="9"/>
      <c r="E937" s="20" t="s">
        <v>53</v>
      </c>
      <c r="F937" s="18">
        <v>1</v>
      </c>
      <c r="G937" s="19">
        <f>1494.5</f>
        <v>1494.5</v>
      </c>
      <c r="H937" s="32">
        <v>7</v>
      </c>
      <c r="I937" s="25">
        <f t="shared" si="58"/>
        <v>10461.5</v>
      </c>
      <c r="J937" s="40"/>
      <c r="K937" s="39"/>
      <c r="L937" s="39"/>
      <c r="M937" s="39"/>
      <c r="N937" s="23"/>
      <c r="O937" s="39"/>
      <c r="P937" s="39"/>
      <c r="Q937" s="39"/>
      <c r="R937" s="39"/>
    </row>
    <row r="938" spans="1:18" s="2" customFormat="1" ht="14.4">
      <c r="A938" s="20">
        <f t="shared" si="60"/>
        <v>875</v>
      </c>
      <c r="B938" s="17" t="s">
        <v>218</v>
      </c>
      <c r="C938" s="17" t="s">
        <v>219</v>
      </c>
      <c r="D938" s="20" t="s">
        <v>48</v>
      </c>
      <c r="E938" s="20" t="s">
        <v>49</v>
      </c>
      <c r="F938" s="18">
        <v>1</v>
      </c>
      <c r="G938" s="19"/>
      <c r="H938" s="32">
        <v>1</v>
      </c>
      <c r="I938" s="25">
        <f>SUM(I926:I936)*0.05</f>
        <v>3115.1637187957822</v>
      </c>
      <c r="J938" s="40"/>
      <c r="K938" s="39"/>
      <c r="L938" s="39"/>
      <c r="M938" s="39"/>
      <c r="N938" s="23"/>
      <c r="O938" s="39"/>
      <c r="P938" s="39"/>
      <c r="Q938" s="39"/>
      <c r="R938" s="39"/>
    </row>
    <row r="939" spans="1:18" ht="14.4">
      <c r="A939" s="9" t="s">
        <v>61</v>
      </c>
      <c r="B939" s="20" t="s">
        <v>1169</v>
      </c>
      <c r="C939" s="20" t="s">
        <v>1170</v>
      </c>
      <c r="D939" s="9"/>
      <c r="E939" s="9"/>
      <c r="F939" s="18"/>
      <c r="G939" s="19"/>
      <c r="H939" s="18"/>
      <c r="I939" s="25"/>
      <c r="J939" s="24"/>
      <c r="K939" s="22"/>
      <c r="L939" s="22"/>
      <c r="M939" s="22"/>
      <c r="N939" s="23"/>
      <c r="O939" s="22"/>
      <c r="P939" s="22"/>
      <c r="Q939" s="22"/>
      <c r="R939" s="22"/>
    </row>
    <row r="940" spans="1:18" s="2" customFormat="1" ht="52.8">
      <c r="A940" s="20">
        <f>A938+1</f>
        <v>876</v>
      </c>
      <c r="B940" s="17" t="s">
        <v>1171</v>
      </c>
      <c r="C940" s="17" t="s">
        <v>1172</v>
      </c>
      <c r="D940" s="9" t="s">
        <v>25</v>
      </c>
      <c r="E940" s="20" t="s">
        <v>26</v>
      </c>
      <c r="F940" s="18">
        <v>1</v>
      </c>
      <c r="G940" s="19">
        <f>1.633198857*77.02</f>
        <v>125.78897596614</v>
      </c>
      <c r="H940" s="32">
        <v>0.2</v>
      </c>
      <c r="I940" s="25">
        <f t="shared" si="58"/>
        <v>25.157795193228001</v>
      </c>
      <c r="J940" s="40"/>
      <c r="K940" s="39"/>
      <c r="L940" s="39"/>
      <c r="M940" s="39"/>
      <c r="N940" s="23"/>
      <c r="O940" s="39"/>
      <c r="P940" s="39"/>
      <c r="Q940" s="39"/>
      <c r="R940" s="39"/>
    </row>
    <row r="941" spans="1:18" s="2" customFormat="1" ht="26.4">
      <c r="A941" s="20">
        <f t="shared" ref="A941:A946" si="61">A940+1</f>
        <v>877</v>
      </c>
      <c r="B941" s="17" t="s">
        <v>1173</v>
      </c>
      <c r="C941" s="17" t="s">
        <v>1174</v>
      </c>
      <c r="D941" s="9" t="s">
        <v>25</v>
      </c>
      <c r="E941" s="20" t="s">
        <v>26</v>
      </c>
      <c r="F941" s="18">
        <v>1</v>
      </c>
      <c r="G941" s="19">
        <v>34.799999999999997</v>
      </c>
      <c r="H941" s="32">
        <v>17.98</v>
      </c>
      <c r="I941" s="25">
        <f t="shared" si="58"/>
        <v>625.70399999999995</v>
      </c>
      <c r="J941" s="40"/>
      <c r="K941" s="39"/>
      <c r="L941" s="39"/>
      <c r="M941" s="39"/>
      <c r="N941" s="23"/>
      <c r="O941" s="39"/>
      <c r="P941" s="39"/>
      <c r="Q941" s="39"/>
      <c r="R941" s="39"/>
    </row>
    <row r="942" spans="1:18" s="2" customFormat="1" ht="52.8">
      <c r="A942" s="20">
        <f t="shared" si="61"/>
        <v>878</v>
      </c>
      <c r="B942" s="17" t="s">
        <v>1175</v>
      </c>
      <c r="C942" s="17" t="s">
        <v>1176</v>
      </c>
      <c r="D942" s="9" t="s">
        <v>25</v>
      </c>
      <c r="E942" s="20" t="s">
        <v>26</v>
      </c>
      <c r="F942" s="18">
        <v>1</v>
      </c>
      <c r="G942" s="19">
        <f>1.633198857*88.56</f>
        <v>144.63609077592</v>
      </c>
      <c r="H942" s="32">
        <v>0.31</v>
      </c>
      <c r="I942" s="25">
        <f t="shared" si="58"/>
        <v>44.837188140535197</v>
      </c>
      <c r="J942" s="40"/>
      <c r="K942" s="39"/>
      <c r="L942" s="39"/>
      <c r="M942" s="39"/>
      <c r="N942" s="23"/>
      <c r="O942" s="39"/>
      <c r="P942" s="39"/>
      <c r="Q942" s="39"/>
      <c r="R942" s="39"/>
    </row>
    <row r="943" spans="1:18" s="2" customFormat="1" ht="26.4">
      <c r="A943" s="20">
        <f t="shared" si="61"/>
        <v>879</v>
      </c>
      <c r="B943" s="17" t="s">
        <v>1177</v>
      </c>
      <c r="C943" s="17" t="s">
        <v>1178</v>
      </c>
      <c r="D943" s="9" t="s">
        <v>25</v>
      </c>
      <c r="E943" s="20" t="s">
        <v>26</v>
      </c>
      <c r="F943" s="18">
        <v>1</v>
      </c>
      <c r="G943" s="19">
        <f>91.77</f>
        <v>91.77</v>
      </c>
      <c r="H943" s="32">
        <v>29.077999999999999</v>
      </c>
      <c r="I943" s="25">
        <f t="shared" si="58"/>
        <v>2668.4880599999997</v>
      </c>
      <c r="J943" s="40"/>
      <c r="K943" s="39"/>
      <c r="L943" s="39"/>
      <c r="M943" s="39"/>
      <c r="N943" s="23"/>
      <c r="O943" s="39"/>
      <c r="P943" s="39"/>
      <c r="Q943" s="39"/>
      <c r="R943" s="39"/>
    </row>
    <row r="944" spans="1:18" s="2" customFormat="1" ht="52.8">
      <c r="A944" s="20">
        <f t="shared" si="61"/>
        <v>880</v>
      </c>
      <c r="B944" s="17" t="s">
        <v>1179</v>
      </c>
      <c r="C944" s="17" t="s">
        <v>1180</v>
      </c>
      <c r="D944" s="9" t="s">
        <v>25</v>
      </c>
      <c r="E944" s="20" t="s">
        <v>26</v>
      </c>
      <c r="F944" s="18">
        <v>1</v>
      </c>
      <c r="G944" s="19">
        <f>1.633198857*94.29</f>
        <v>153.99432022653002</v>
      </c>
      <c r="H944" s="32">
        <v>0.3</v>
      </c>
      <c r="I944" s="25">
        <f t="shared" si="58"/>
        <v>46.198296067959006</v>
      </c>
      <c r="J944" s="40"/>
      <c r="K944" s="39"/>
      <c r="L944" s="39"/>
      <c r="M944" s="39"/>
      <c r="N944" s="23"/>
      <c r="O944" s="39"/>
      <c r="P944" s="39"/>
      <c r="Q944" s="39"/>
      <c r="R944" s="39"/>
    </row>
    <row r="945" spans="1:18" s="2" customFormat="1" ht="26.4">
      <c r="A945" s="20">
        <f t="shared" si="61"/>
        <v>881</v>
      </c>
      <c r="B945" s="17" t="s">
        <v>1181</v>
      </c>
      <c r="C945" s="17" t="s">
        <v>1182</v>
      </c>
      <c r="D945" s="9" t="s">
        <v>25</v>
      </c>
      <c r="E945" s="20" t="s">
        <v>26</v>
      </c>
      <c r="F945" s="18">
        <v>1</v>
      </c>
      <c r="G945" s="19">
        <f>149.13</f>
        <v>149.13</v>
      </c>
      <c r="H945" s="32">
        <v>28.11</v>
      </c>
      <c r="I945" s="25">
        <f t="shared" si="58"/>
        <v>4192.0442999999996</v>
      </c>
      <c r="J945" s="40"/>
      <c r="K945" s="39"/>
      <c r="L945" s="39"/>
      <c r="M945" s="39"/>
      <c r="N945" s="23"/>
      <c r="O945" s="39"/>
      <c r="P945" s="39"/>
      <c r="Q945" s="39"/>
      <c r="R945" s="39"/>
    </row>
    <row r="946" spans="1:18" s="2" customFormat="1" ht="14.4">
      <c r="A946" s="20">
        <f t="shared" si="61"/>
        <v>882</v>
      </c>
      <c r="B946" s="17" t="s">
        <v>218</v>
      </c>
      <c r="C946" s="17" t="s">
        <v>219</v>
      </c>
      <c r="D946" s="20" t="s">
        <v>48</v>
      </c>
      <c r="E946" s="20" t="s">
        <v>49</v>
      </c>
      <c r="F946" s="18">
        <v>1</v>
      </c>
      <c r="G946" s="19"/>
      <c r="H946" s="32">
        <v>1</v>
      </c>
      <c r="I946" s="25">
        <f>SUM(I940:I945)*0.05</f>
        <v>380.12148197008605</v>
      </c>
      <c r="J946" s="40"/>
      <c r="K946" s="39"/>
      <c r="L946" s="39"/>
      <c r="M946" s="39"/>
      <c r="N946" s="23"/>
      <c r="O946" s="39"/>
      <c r="P946" s="39"/>
      <c r="Q946" s="39"/>
      <c r="R946" s="39"/>
    </row>
    <row r="947" spans="1:18" ht="39.6">
      <c r="A947" s="9" t="s">
        <v>61</v>
      </c>
      <c r="B947" s="13" t="s">
        <v>1183</v>
      </c>
      <c r="C947" s="14" t="s">
        <v>1184</v>
      </c>
      <c r="D947" s="14"/>
      <c r="E947" s="14"/>
      <c r="F947" s="18"/>
      <c r="G947" s="19"/>
      <c r="H947" s="15"/>
      <c r="I947" s="25"/>
      <c r="J947" s="24"/>
      <c r="K947" s="22"/>
      <c r="L947" s="22"/>
      <c r="M947" s="22"/>
      <c r="N947" s="23"/>
      <c r="O947" s="22"/>
      <c r="P947" s="22"/>
      <c r="Q947" s="22"/>
      <c r="R947" s="22"/>
    </row>
    <row r="948" spans="1:18" s="2" customFormat="1" ht="26.4">
      <c r="A948" s="20">
        <f>A946+1</f>
        <v>883</v>
      </c>
      <c r="B948" s="17" t="s">
        <v>1185</v>
      </c>
      <c r="C948" s="17" t="s">
        <v>1186</v>
      </c>
      <c r="D948" s="20" t="s">
        <v>5</v>
      </c>
      <c r="E948" s="20" t="s">
        <v>6</v>
      </c>
      <c r="F948" s="18">
        <v>1</v>
      </c>
      <c r="G948" s="19">
        <v>486408.83</v>
      </c>
      <c r="H948" s="32">
        <v>1</v>
      </c>
      <c r="I948" s="25">
        <f t="shared" si="58"/>
        <v>486408.83</v>
      </c>
      <c r="J948" s="40"/>
      <c r="K948" s="39"/>
      <c r="L948" s="39"/>
      <c r="M948" s="39"/>
      <c r="N948" s="23"/>
      <c r="O948" s="39"/>
      <c r="P948" s="39"/>
      <c r="Q948" s="39"/>
      <c r="R948" s="39"/>
    </row>
    <row r="949" spans="1:18" s="2" customFormat="1" ht="14.4">
      <c r="A949" s="20">
        <f>A948+1</f>
        <v>884</v>
      </c>
      <c r="B949" s="17" t="s">
        <v>1187</v>
      </c>
      <c r="C949" s="17" t="s">
        <v>1188</v>
      </c>
      <c r="D949" s="20" t="s">
        <v>5</v>
      </c>
      <c r="E949" s="20" t="s">
        <v>6</v>
      </c>
      <c r="F949" s="18">
        <v>1</v>
      </c>
      <c r="G949" s="19">
        <v>102673.25</v>
      </c>
      <c r="H949" s="32">
        <v>1</v>
      </c>
      <c r="I949" s="25">
        <f t="shared" si="58"/>
        <v>102673.25</v>
      </c>
      <c r="J949" s="40"/>
      <c r="K949" s="39"/>
      <c r="L949" s="39"/>
      <c r="M949" s="39"/>
      <c r="N949" s="23"/>
      <c r="O949" s="39"/>
      <c r="P949" s="39"/>
      <c r="Q949" s="39"/>
      <c r="R949" s="39"/>
    </row>
    <row r="950" spans="1:18" s="2" customFormat="1" ht="26.4">
      <c r="A950" s="20">
        <f t="shared" ref="A950:A976" si="62">A949+1</f>
        <v>885</v>
      </c>
      <c r="B950" s="17" t="s">
        <v>1189</v>
      </c>
      <c r="C950" s="17" t="s">
        <v>1190</v>
      </c>
      <c r="D950" s="20" t="s">
        <v>5</v>
      </c>
      <c r="E950" s="20" t="s">
        <v>6</v>
      </c>
      <c r="F950" s="18">
        <v>1</v>
      </c>
      <c r="G950" s="19">
        <v>486408.83</v>
      </c>
      <c r="H950" s="32">
        <v>1</v>
      </c>
      <c r="I950" s="25">
        <f t="shared" si="58"/>
        <v>486408.83</v>
      </c>
      <c r="J950" s="40"/>
      <c r="K950" s="39"/>
      <c r="L950" s="39"/>
      <c r="M950" s="39"/>
      <c r="N950" s="23"/>
      <c r="O950" s="39"/>
      <c r="P950" s="39"/>
      <c r="Q950" s="39"/>
      <c r="R950" s="39"/>
    </row>
    <row r="951" spans="1:18" s="2" customFormat="1" ht="14.4">
      <c r="A951" s="20">
        <f t="shared" si="62"/>
        <v>886</v>
      </c>
      <c r="B951" s="17" t="s">
        <v>1191</v>
      </c>
      <c r="C951" s="17" t="s">
        <v>1192</v>
      </c>
      <c r="D951" s="20" t="s">
        <v>5</v>
      </c>
      <c r="E951" s="20" t="s">
        <v>6</v>
      </c>
      <c r="F951" s="18">
        <v>1</v>
      </c>
      <c r="G951" s="19">
        <v>102673.25</v>
      </c>
      <c r="H951" s="32">
        <v>1</v>
      </c>
      <c r="I951" s="25">
        <f t="shared" si="58"/>
        <v>102673.25</v>
      </c>
      <c r="J951" s="40"/>
      <c r="K951" s="39"/>
      <c r="L951" s="39"/>
      <c r="M951" s="39"/>
      <c r="N951" s="23"/>
      <c r="O951" s="39"/>
      <c r="P951" s="39"/>
      <c r="Q951" s="39"/>
      <c r="R951" s="39"/>
    </row>
    <row r="952" spans="1:18" s="2" customFormat="1" ht="26.4">
      <c r="A952" s="20">
        <f t="shared" si="62"/>
        <v>887</v>
      </c>
      <c r="B952" s="17" t="s">
        <v>1193</v>
      </c>
      <c r="C952" s="17" t="s">
        <v>1194</v>
      </c>
      <c r="D952" s="20" t="s">
        <v>5</v>
      </c>
      <c r="E952" s="20" t="s">
        <v>6</v>
      </c>
      <c r="F952" s="18">
        <v>1</v>
      </c>
      <c r="G952" s="19">
        <v>194610.83</v>
      </c>
      <c r="H952" s="32">
        <v>1</v>
      </c>
      <c r="I952" s="25">
        <f t="shared" si="58"/>
        <v>194610.83</v>
      </c>
      <c r="J952" s="40"/>
      <c r="K952" s="39"/>
      <c r="L952" s="39"/>
      <c r="M952" s="39"/>
      <c r="N952" s="23"/>
      <c r="O952" s="39"/>
      <c r="P952" s="39"/>
      <c r="Q952" s="39"/>
      <c r="R952" s="39"/>
    </row>
    <row r="953" spans="1:18" s="2" customFormat="1" ht="26.4">
      <c r="A953" s="20">
        <f t="shared" si="62"/>
        <v>888</v>
      </c>
      <c r="B953" s="17" t="s">
        <v>1195</v>
      </c>
      <c r="C953" s="17" t="s">
        <v>1196</v>
      </c>
      <c r="D953" s="20" t="s">
        <v>5</v>
      </c>
      <c r="E953" s="20" t="s">
        <v>6</v>
      </c>
      <c r="F953" s="18">
        <v>1</v>
      </c>
      <c r="G953" s="19">
        <v>5876.67</v>
      </c>
      <c r="H953" s="32">
        <v>1</v>
      </c>
      <c r="I953" s="25">
        <f t="shared" si="58"/>
        <v>5876.67</v>
      </c>
      <c r="J953" s="40"/>
      <c r="K953" s="39"/>
      <c r="L953" s="39"/>
      <c r="M953" s="39"/>
      <c r="N953" s="23"/>
      <c r="O953" s="39"/>
      <c r="P953" s="39"/>
      <c r="Q953" s="39"/>
      <c r="R953" s="39"/>
    </row>
    <row r="954" spans="1:18" s="2" customFormat="1" ht="14.4">
      <c r="A954" s="20">
        <f t="shared" si="62"/>
        <v>889</v>
      </c>
      <c r="B954" s="17" t="s">
        <v>1197</v>
      </c>
      <c r="C954" s="17" t="s">
        <v>1198</v>
      </c>
      <c r="D954" s="20" t="s">
        <v>5</v>
      </c>
      <c r="E954" s="20" t="s">
        <v>6</v>
      </c>
      <c r="F954" s="18">
        <v>1</v>
      </c>
      <c r="G954" s="19">
        <v>49163.33</v>
      </c>
      <c r="H954" s="32">
        <v>1</v>
      </c>
      <c r="I954" s="25">
        <f t="shared" si="58"/>
        <v>49163.33</v>
      </c>
      <c r="J954" s="40"/>
      <c r="K954" s="39"/>
      <c r="L954" s="39"/>
      <c r="M954" s="39"/>
      <c r="N954" s="23"/>
      <c r="O954" s="39"/>
      <c r="P954" s="39"/>
      <c r="Q954" s="39"/>
      <c r="R954" s="39"/>
    </row>
    <row r="955" spans="1:18" s="2" customFormat="1" ht="26.4">
      <c r="A955" s="20">
        <f t="shared" si="62"/>
        <v>890</v>
      </c>
      <c r="B955" s="17" t="s">
        <v>1199</v>
      </c>
      <c r="C955" s="17" t="s">
        <v>1200</v>
      </c>
      <c r="D955" s="20" t="s">
        <v>5</v>
      </c>
      <c r="E955" s="20" t="s">
        <v>6</v>
      </c>
      <c r="F955" s="18">
        <v>1</v>
      </c>
      <c r="G955" s="19">
        <v>486408.83</v>
      </c>
      <c r="H955" s="32">
        <v>1</v>
      </c>
      <c r="I955" s="25">
        <f t="shared" si="58"/>
        <v>486408.83</v>
      </c>
      <c r="J955" s="40"/>
      <c r="K955" s="39"/>
      <c r="L955" s="39"/>
      <c r="M955" s="39"/>
      <c r="N955" s="23"/>
      <c r="O955" s="39"/>
      <c r="P955" s="39"/>
      <c r="Q955" s="39"/>
      <c r="R955" s="39"/>
    </row>
    <row r="956" spans="1:18" s="2" customFormat="1" ht="14.4">
      <c r="A956" s="20">
        <f t="shared" si="62"/>
        <v>891</v>
      </c>
      <c r="B956" s="17" t="s">
        <v>1201</v>
      </c>
      <c r="C956" s="17" t="s">
        <v>1202</v>
      </c>
      <c r="D956" s="20" t="s">
        <v>5</v>
      </c>
      <c r="E956" s="20" t="s">
        <v>6</v>
      </c>
      <c r="F956" s="18">
        <v>1</v>
      </c>
      <c r="G956" s="19">
        <v>102673.25</v>
      </c>
      <c r="H956" s="32">
        <v>1</v>
      </c>
      <c r="I956" s="25">
        <f t="shared" si="58"/>
        <v>102673.25</v>
      </c>
      <c r="J956" s="40"/>
      <c r="K956" s="39"/>
      <c r="L956" s="39"/>
      <c r="M956" s="39"/>
      <c r="N956" s="23"/>
      <c r="O956" s="39"/>
      <c r="P956" s="39"/>
      <c r="Q956" s="39"/>
      <c r="R956" s="39"/>
    </row>
    <row r="957" spans="1:18" s="2" customFormat="1" ht="26.4">
      <c r="A957" s="20">
        <f t="shared" si="62"/>
        <v>892</v>
      </c>
      <c r="B957" s="17" t="s">
        <v>1203</v>
      </c>
      <c r="C957" s="17" t="s">
        <v>1204</v>
      </c>
      <c r="D957" s="20" t="s">
        <v>5</v>
      </c>
      <c r="E957" s="20" t="s">
        <v>6</v>
      </c>
      <c r="F957" s="18">
        <v>1</v>
      </c>
      <c r="G957" s="19">
        <v>486408.83</v>
      </c>
      <c r="H957" s="32">
        <v>1</v>
      </c>
      <c r="I957" s="25">
        <f t="shared" si="58"/>
        <v>486408.83</v>
      </c>
      <c r="J957" s="40"/>
      <c r="K957" s="39"/>
      <c r="L957" s="39"/>
      <c r="M957" s="39"/>
      <c r="N957" s="23"/>
      <c r="O957" s="39"/>
      <c r="P957" s="39"/>
      <c r="Q957" s="39"/>
      <c r="R957" s="39"/>
    </row>
    <row r="958" spans="1:18" s="2" customFormat="1" ht="14.4">
      <c r="A958" s="20">
        <f t="shared" si="62"/>
        <v>893</v>
      </c>
      <c r="B958" s="17" t="s">
        <v>1205</v>
      </c>
      <c r="C958" s="17" t="s">
        <v>1206</v>
      </c>
      <c r="D958" s="20" t="s">
        <v>5</v>
      </c>
      <c r="E958" s="20" t="s">
        <v>6</v>
      </c>
      <c r="F958" s="18">
        <v>1</v>
      </c>
      <c r="G958" s="19">
        <v>102673.25</v>
      </c>
      <c r="H958" s="32">
        <v>1</v>
      </c>
      <c r="I958" s="25">
        <f t="shared" si="58"/>
        <v>102673.25</v>
      </c>
      <c r="J958" s="40"/>
      <c r="K958" s="39"/>
      <c r="L958" s="39"/>
      <c r="M958" s="39"/>
      <c r="N958" s="23"/>
      <c r="O958" s="39"/>
      <c r="P958" s="39"/>
      <c r="Q958" s="39"/>
      <c r="R958" s="39"/>
    </row>
    <row r="959" spans="1:18" s="2" customFormat="1" ht="26.4">
      <c r="A959" s="20">
        <f t="shared" si="62"/>
        <v>894</v>
      </c>
      <c r="B959" s="17" t="s">
        <v>1207</v>
      </c>
      <c r="C959" s="17" t="s">
        <v>1208</v>
      </c>
      <c r="D959" s="20" t="s">
        <v>5</v>
      </c>
      <c r="E959" s="20" t="s">
        <v>6</v>
      </c>
      <c r="F959" s="18">
        <v>1</v>
      </c>
      <c r="G959" s="19">
        <v>486408.83</v>
      </c>
      <c r="H959" s="32">
        <v>1</v>
      </c>
      <c r="I959" s="25">
        <f t="shared" si="58"/>
        <v>486408.83</v>
      </c>
      <c r="J959" s="40"/>
      <c r="K959" s="39"/>
      <c r="L959" s="39"/>
      <c r="M959" s="39"/>
      <c r="N959" s="23"/>
      <c r="O959" s="39"/>
      <c r="P959" s="39"/>
      <c r="Q959" s="39"/>
      <c r="R959" s="39"/>
    </row>
    <row r="960" spans="1:18" s="2" customFormat="1" ht="14.4">
      <c r="A960" s="20">
        <f t="shared" si="62"/>
        <v>895</v>
      </c>
      <c r="B960" s="17" t="s">
        <v>1209</v>
      </c>
      <c r="C960" s="17" t="s">
        <v>1210</v>
      </c>
      <c r="D960" s="20" t="s">
        <v>5</v>
      </c>
      <c r="E960" s="20" t="s">
        <v>6</v>
      </c>
      <c r="F960" s="18">
        <v>1</v>
      </c>
      <c r="G960" s="19">
        <v>102673.25</v>
      </c>
      <c r="H960" s="32">
        <v>1</v>
      </c>
      <c r="I960" s="25">
        <f t="shared" si="58"/>
        <v>102673.25</v>
      </c>
      <c r="J960" s="40"/>
      <c r="K960" s="39"/>
      <c r="L960" s="39"/>
      <c r="M960" s="39"/>
      <c r="N960" s="23"/>
      <c r="O960" s="39"/>
      <c r="P960" s="39"/>
      <c r="Q960" s="39"/>
      <c r="R960" s="39"/>
    </row>
    <row r="961" spans="1:18" s="2" customFormat="1" ht="26.4">
      <c r="A961" s="20">
        <f t="shared" si="62"/>
        <v>896</v>
      </c>
      <c r="B961" s="17" t="s">
        <v>1211</v>
      </c>
      <c r="C961" s="17" t="s">
        <v>1212</v>
      </c>
      <c r="D961" s="20" t="s">
        <v>5</v>
      </c>
      <c r="E961" s="20" t="s">
        <v>6</v>
      </c>
      <c r="F961" s="18">
        <v>1</v>
      </c>
      <c r="G961" s="19">
        <v>486408.83</v>
      </c>
      <c r="H961" s="32">
        <v>1</v>
      </c>
      <c r="I961" s="25">
        <f t="shared" si="58"/>
        <v>486408.83</v>
      </c>
      <c r="J961" s="40"/>
      <c r="K961" s="39"/>
      <c r="L961" s="39"/>
      <c r="M961" s="39"/>
      <c r="N961" s="23"/>
      <c r="O961" s="39"/>
      <c r="P961" s="39"/>
      <c r="Q961" s="39"/>
      <c r="R961" s="39"/>
    </row>
    <row r="962" spans="1:18" s="2" customFormat="1" ht="14.4">
      <c r="A962" s="20">
        <f t="shared" si="62"/>
        <v>897</v>
      </c>
      <c r="B962" s="17" t="s">
        <v>1213</v>
      </c>
      <c r="C962" s="17" t="s">
        <v>1214</v>
      </c>
      <c r="D962" s="20" t="s">
        <v>5</v>
      </c>
      <c r="E962" s="20" t="s">
        <v>6</v>
      </c>
      <c r="F962" s="18">
        <v>1</v>
      </c>
      <c r="G962" s="19">
        <v>102673.25</v>
      </c>
      <c r="H962" s="32">
        <v>1</v>
      </c>
      <c r="I962" s="25">
        <f t="shared" si="58"/>
        <v>102673.25</v>
      </c>
      <c r="J962" s="40"/>
      <c r="K962" s="39"/>
      <c r="L962" s="39"/>
      <c r="M962" s="39"/>
      <c r="N962" s="23"/>
      <c r="O962" s="39"/>
      <c r="P962" s="39"/>
      <c r="Q962" s="39"/>
      <c r="R962" s="39"/>
    </row>
    <row r="963" spans="1:18" s="2" customFormat="1" ht="26.4">
      <c r="A963" s="20">
        <f t="shared" si="62"/>
        <v>898</v>
      </c>
      <c r="B963" s="17" t="s">
        <v>1215</v>
      </c>
      <c r="C963" s="17" t="s">
        <v>1216</v>
      </c>
      <c r="D963" s="20" t="s">
        <v>5</v>
      </c>
      <c r="E963" s="20" t="s">
        <v>6</v>
      </c>
      <c r="F963" s="18">
        <v>1</v>
      </c>
      <c r="G963" s="19">
        <v>169442.22</v>
      </c>
      <c r="H963" s="32">
        <v>1</v>
      </c>
      <c r="I963" s="25">
        <f t="shared" si="58"/>
        <v>169442.22</v>
      </c>
      <c r="J963" s="40"/>
      <c r="K963" s="39"/>
      <c r="L963" s="39"/>
      <c r="M963" s="39"/>
      <c r="N963" s="23"/>
      <c r="O963" s="39"/>
      <c r="P963" s="39"/>
      <c r="Q963" s="39"/>
      <c r="R963" s="39"/>
    </row>
    <row r="964" spans="1:18" s="2" customFormat="1" ht="14.4">
      <c r="A964" s="20">
        <f t="shared" si="62"/>
        <v>899</v>
      </c>
      <c r="B964" s="17" t="s">
        <v>1217</v>
      </c>
      <c r="C964" s="17" t="s">
        <v>1218</v>
      </c>
      <c r="D964" s="20" t="s">
        <v>5</v>
      </c>
      <c r="E964" s="20" t="s">
        <v>6</v>
      </c>
      <c r="F964" s="18">
        <v>1</v>
      </c>
      <c r="G964" s="19">
        <v>102673.25</v>
      </c>
      <c r="H964" s="32">
        <v>1</v>
      </c>
      <c r="I964" s="25">
        <f t="shared" si="58"/>
        <v>102673.25</v>
      </c>
      <c r="J964" s="40"/>
      <c r="K964" s="39"/>
      <c r="L964" s="39"/>
      <c r="M964" s="39"/>
      <c r="N964" s="23"/>
      <c r="O964" s="39"/>
      <c r="P964" s="39"/>
      <c r="Q964" s="39"/>
      <c r="R964" s="39"/>
    </row>
    <row r="965" spans="1:18" s="2" customFormat="1" ht="26.4">
      <c r="A965" s="20">
        <f t="shared" si="62"/>
        <v>900</v>
      </c>
      <c r="B965" s="17" t="s">
        <v>1219</v>
      </c>
      <c r="C965" s="17" t="s">
        <v>1220</v>
      </c>
      <c r="D965" s="20" t="s">
        <v>5</v>
      </c>
      <c r="E965" s="20" t="s">
        <v>6</v>
      </c>
      <c r="F965" s="18">
        <v>1</v>
      </c>
      <c r="G965" s="19">
        <v>169442.22</v>
      </c>
      <c r="H965" s="32">
        <v>1</v>
      </c>
      <c r="I965" s="25">
        <f t="shared" si="58"/>
        <v>169442.22</v>
      </c>
      <c r="J965" s="40"/>
      <c r="K965" s="39"/>
      <c r="L965" s="39"/>
      <c r="M965" s="39"/>
      <c r="N965" s="23"/>
      <c r="O965" s="39"/>
      <c r="P965" s="39"/>
      <c r="Q965" s="39"/>
      <c r="R965" s="39"/>
    </row>
    <row r="966" spans="1:18" s="2" customFormat="1" ht="14.4">
      <c r="A966" s="20">
        <f t="shared" si="62"/>
        <v>901</v>
      </c>
      <c r="B966" s="17" t="s">
        <v>1221</v>
      </c>
      <c r="C966" s="17" t="s">
        <v>1222</v>
      </c>
      <c r="D966" s="20" t="s">
        <v>5</v>
      </c>
      <c r="E966" s="20" t="s">
        <v>6</v>
      </c>
      <c r="F966" s="18">
        <v>1</v>
      </c>
      <c r="G966" s="19">
        <v>102673.22</v>
      </c>
      <c r="H966" s="32">
        <v>1</v>
      </c>
      <c r="I966" s="25">
        <f t="shared" si="58"/>
        <v>102673.22</v>
      </c>
      <c r="J966" s="40"/>
      <c r="K966" s="39"/>
      <c r="L966" s="39"/>
      <c r="M966" s="39"/>
      <c r="N966" s="23"/>
      <c r="O966" s="39"/>
      <c r="P966" s="39"/>
      <c r="Q966" s="39"/>
      <c r="R966" s="39"/>
    </row>
    <row r="967" spans="1:18" s="2" customFormat="1" ht="14.4">
      <c r="A967" s="20">
        <f t="shared" si="62"/>
        <v>902</v>
      </c>
      <c r="B967" s="17" t="s">
        <v>1223</v>
      </c>
      <c r="C967" s="17" t="s">
        <v>1224</v>
      </c>
      <c r="D967" s="20" t="s">
        <v>5</v>
      </c>
      <c r="E967" s="20" t="s">
        <v>6</v>
      </c>
      <c r="F967" s="18">
        <v>1</v>
      </c>
      <c r="G967" s="19">
        <v>169442.22</v>
      </c>
      <c r="H967" s="32">
        <v>1</v>
      </c>
      <c r="I967" s="25">
        <f t="shared" si="58"/>
        <v>169442.22</v>
      </c>
      <c r="J967" s="40"/>
      <c r="K967" s="39"/>
      <c r="L967" s="39"/>
      <c r="M967" s="39"/>
      <c r="N967" s="23"/>
      <c r="O967" s="39"/>
      <c r="P967" s="39"/>
      <c r="Q967" s="39"/>
      <c r="R967" s="39"/>
    </row>
    <row r="968" spans="1:18" s="2" customFormat="1" ht="14.4">
      <c r="A968" s="20">
        <f t="shared" si="62"/>
        <v>903</v>
      </c>
      <c r="B968" s="17" t="s">
        <v>1225</v>
      </c>
      <c r="C968" s="17" t="s">
        <v>1226</v>
      </c>
      <c r="D968" s="20" t="s">
        <v>5</v>
      </c>
      <c r="E968" s="20" t="s">
        <v>6</v>
      </c>
      <c r="F968" s="18">
        <v>1</v>
      </c>
      <c r="G968" s="19">
        <v>102673.22</v>
      </c>
      <c r="H968" s="32">
        <v>1</v>
      </c>
      <c r="I968" s="25">
        <f t="shared" si="58"/>
        <v>102673.22</v>
      </c>
      <c r="J968" s="40"/>
      <c r="K968" s="39"/>
      <c r="L968" s="39"/>
      <c r="M968" s="39"/>
      <c r="N968" s="23"/>
      <c r="O968" s="39"/>
      <c r="P968" s="39"/>
      <c r="Q968" s="39"/>
      <c r="R968" s="39"/>
    </row>
    <row r="969" spans="1:18" s="2" customFormat="1" ht="14.4">
      <c r="A969" s="20">
        <f t="shared" si="62"/>
        <v>904</v>
      </c>
      <c r="B969" s="17" t="s">
        <v>1227</v>
      </c>
      <c r="C969" s="17" t="s">
        <v>1228</v>
      </c>
      <c r="D969" s="20" t="s">
        <v>5</v>
      </c>
      <c r="E969" s="20" t="s">
        <v>6</v>
      </c>
      <c r="F969" s="18">
        <v>1</v>
      </c>
      <c r="G969" s="19">
        <v>169442.22</v>
      </c>
      <c r="H969" s="32">
        <v>1</v>
      </c>
      <c r="I969" s="25">
        <f t="shared" si="58"/>
        <v>169442.22</v>
      </c>
      <c r="J969" s="40"/>
      <c r="K969" s="39"/>
      <c r="L969" s="39"/>
      <c r="M969" s="39"/>
      <c r="N969" s="23"/>
      <c r="O969" s="39"/>
      <c r="P969" s="39"/>
      <c r="Q969" s="39"/>
      <c r="R969" s="39"/>
    </row>
    <row r="970" spans="1:18" s="2" customFormat="1" ht="14.4">
      <c r="A970" s="20">
        <f t="shared" si="62"/>
        <v>905</v>
      </c>
      <c r="B970" s="17" t="s">
        <v>1229</v>
      </c>
      <c r="C970" s="17" t="s">
        <v>1230</v>
      </c>
      <c r="D970" s="20" t="s">
        <v>5</v>
      </c>
      <c r="E970" s="20" t="s">
        <v>6</v>
      </c>
      <c r="F970" s="18">
        <v>1</v>
      </c>
      <c r="G970" s="19">
        <v>102673.22</v>
      </c>
      <c r="H970" s="32">
        <v>1</v>
      </c>
      <c r="I970" s="25">
        <f t="shared" si="58"/>
        <v>102673.22</v>
      </c>
      <c r="J970" s="40"/>
      <c r="K970" s="39"/>
      <c r="L970" s="39"/>
      <c r="M970" s="39"/>
      <c r="N970" s="23"/>
      <c r="O970" s="39"/>
      <c r="P970" s="39"/>
      <c r="Q970" s="39"/>
      <c r="R970" s="39"/>
    </row>
    <row r="971" spans="1:18" s="2" customFormat="1" ht="26.4">
      <c r="A971" s="20">
        <f t="shared" si="62"/>
        <v>906</v>
      </c>
      <c r="B971" s="17" t="s">
        <v>1231</v>
      </c>
      <c r="C971" s="17" t="s">
        <v>1232</v>
      </c>
      <c r="D971" s="20" t="s">
        <v>5</v>
      </c>
      <c r="E971" s="20" t="s">
        <v>6</v>
      </c>
      <c r="F971" s="18">
        <v>1</v>
      </c>
      <c r="G971" s="19">
        <v>194610.83</v>
      </c>
      <c r="H971" s="32">
        <v>1</v>
      </c>
      <c r="I971" s="25">
        <f t="shared" ref="I971:I1034" si="63">G971*H971</f>
        <v>194610.83</v>
      </c>
      <c r="J971" s="40"/>
      <c r="K971" s="39"/>
      <c r="L971" s="39"/>
      <c r="M971" s="39"/>
      <c r="N971" s="23"/>
      <c r="O971" s="39"/>
      <c r="P971" s="39"/>
      <c r="Q971" s="39"/>
      <c r="R971" s="39"/>
    </row>
    <row r="972" spans="1:18" s="2" customFormat="1" ht="26.4">
      <c r="A972" s="20">
        <f t="shared" si="62"/>
        <v>907</v>
      </c>
      <c r="B972" s="17" t="s">
        <v>1195</v>
      </c>
      <c r="C972" s="17" t="s">
        <v>1196</v>
      </c>
      <c r="D972" s="20" t="s">
        <v>5</v>
      </c>
      <c r="E972" s="20" t="s">
        <v>6</v>
      </c>
      <c r="F972" s="18">
        <v>1</v>
      </c>
      <c r="G972" s="19">
        <v>5876.67</v>
      </c>
      <c r="H972" s="32">
        <v>1</v>
      </c>
      <c r="I972" s="25">
        <f t="shared" si="63"/>
        <v>5876.67</v>
      </c>
      <c r="J972" s="40"/>
      <c r="K972" s="39"/>
      <c r="L972" s="39"/>
      <c r="M972" s="39"/>
      <c r="N972" s="23"/>
      <c r="O972" s="39"/>
      <c r="P972" s="39"/>
      <c r="Q972" s="39"/>
      <c r="R972" s="39"/>
    </row>
    <row r="973" spans="1:18" s="2" customFormat="1" ht="14.4">
      <c r="A973" s="20">
        <f t="shared" si="62"/>
        <v>908</v>
      </c>
      <c r="B973" s="17" t="s">
        <v>1197</v>
      </c>
      <c r="C973" s="17" t="s">
        <v>1198</v>
      </c>
      <c r="D973" s="20" t="s">
        <v>5</v>
      </c>
      <c r="E973" s="20" t="s">
        <v>6</v>
      </c>
      <c r="F973" s="18">
        <v>1</v>
      </c>
      <c r="G973" s="19">
        <v>49163.33</v>
      </c>
      <c r="H973" s="32">
        <v>1</v>
      </c>
      <c r="I973" s="25">
        <f t="shared" si="63"/>
        <v>49163.33</v>
      </c>
      <c r="J973" s="40"/>
      <c r="K973" s="39"/>
      <c r="L973" s="39"/>
      <c r="M973" s="39"/>
      <c r="N973" s="23"/>
      <c r="O973" s="39"/>
      <c r="P973" s="39"/>
      <c r="Q973" s="39"/>
      <c r="R973" s="39"/>
    </row>
    <row r="974" spans="1:18" s="2" customFormat="1" ht="26.4">
      <c r="A974" s="20">
        <f t="shared" si="62"/>
        <v>909</v>
      </c>
      <c r="B974" s="17" t="s">
        <v>1233</v>
      </c>
      <c r="C974" s="17" t="s">
        <v>1234</v>
      </c>
      <c r="D974" s="20" t="s">
        <v>5</v>
      </c>
      <c r="E974" s="20" t="s">
        <v>6</v>
      </c>
      <c r="F974" s="18">
        <v>1</v>
      </c>
      <c r="G974" s="19">
        <v>54610.83</v>
      </c>
      <c r="H974" s="32">
        <v>2</v>
      </c>
      <c r="I974" s="25">
        <f t="shared" si="63"/>
        <v>109221.66</v>
      </c>
      <c r="J974" s="40"/>
      <c r="K974" s="39"/>
      <c r="L974" s="39"/>
      <c r="M974" s="39"/>
      <c r="N974" s="23"/>
      <c r="O974" s="39"/>
      <c r="P974" s="39"/>
      <c r="Q974" s="39"/>
      <c r="R974" s="39"/>
    </row>
    <row r="975" spans="1:18" s="2" customFormat="1" ht="26.4">
      <c r="A975" s="20">
        <f t="shared" si="62"/>
        <v>910</v>
      </c>
      <c r="B975" s="17" t="s">
        <v>1235</v>
      </c>
      <c r="C975" s="17" t="s">
        <v>1236</v>
      </c>
      <c r="D975" s="20" t="s">
        <v>5</v>
      </c>
      <c r="E975" s="20" t="s">
        <v>6</v>
      </c>
      <c r="F975" s="18">
        <v>1</v>
      </c>
      <c r="G975" s="19">
        <f>46371/1.2</f>
        <v>38642.5</v>
      </c>
      <c r="H975" s="32">
        <v>2</v>
      </c>
      <c r="I975" s="25">
        <f t="shared" si="63"/>
        <v>77285</v>
      </c>
      <c r="J975" s="40"/>
      <c r="K975" s="39"/>
      <c r="L975" s="39"/>
      <c r="M975" s="39"/>
      <c r="N975" s="23"/>
      <c r="O975" s="39"/>
      <c r="P975" s="39"/>
      <c r="Q975" s="39"/>
      <c r="R975" s="39"/>
    </row>
    <row r="976" spans="1:18" s="2" customFormat="1" ht="14.4">
      <c r="A976" s="20">
        <f t="shared" si="62"/>
        <v>911</v>
      </c>
      <c r="B976" s="30" t="s">
        <v>1237</v>
      </c>
      <c r="C976" s="30" t="s">
        <v>1238</v>
      </c>
      <c r="D976" s="20" t="s">
        <v>5</v>
      </c>
      <c r="E976" s="20" t="s">
        <v>6</v>
      </c>
      <c r="F976" s="18">
        <v>1</v>
      </c>
      <c r="G976" s="77">
        <f>16086/1.2</f>
        <v>13405</v>
      </c>
      <c r="H976" s="78">
        <v>2</v>
      </c>
      <c r="I976" s="25">
        <f t="shared" si="63"/>
        <v>26810</v>
      </c>
      <c r="J976" s="40"/>
      <c r="K976" s="39"/>
      <c r="L976" s="39"/>
      <c r="M976" s="39"/>
      <c r="N976" s="23"/>
      <c r="O976" s="39"/>
      <c r="P976" s="39"/>
      <c r="Q976" s="39"/>
      <c r="R976" s="39"/>
    </row>
    <row r="977" spans="1:18" ht="26.4">
      <c r="A977" s="9" t="s">
        <v>61</v>
      </c>
      <c r="B977" s="13" t="s">
        <v>1239</v>
      </c>
      <c r="C977" s="14" t="s">
        <v>1240</v>
      </c>
      <c r="D977" s="14"/>
      <c r="E977" s="14"/>
      <c r="F977" s="18"/>
      <c r="G977" s="19"/>
      <c r="H977" s="15"/>
      <c r="I977" s="25"/>
      <c r="J977" s="24"/>
      <c r="K977" s="22"/>
      <c r="L977" s="22"/>
      <c r="M977" s="22"/>
      <c r="N977" s="23"/>
      <c r="O977" s="22"/>
      <c r="P977" s="22"/>
      <c r="Q977" s="22"/>
      <c r="R977" s="22"/>
    </row>
    <row r="978" spans="1:18" ht="14.4">
      <c r="A978" s="9" t="s">
        <v>61</v>
      </c>
      <c r="B978" s="13" t="s">
        <v>1241</v>
      </c>
      <c r="C978" s="14" t="s">
        <v>1242</v>
      </c>
      <c r="D978" s="14"/>
      <c r="E978" s="14"/>
      <c r="F978" s="18"/>
      <c r="G978" s="19"/>
      <c r="H978" s="15"/>
      <c r="I978" s="25"/>
      <c r="J978" s="24"/>
      <c r="K978" s="22"/>
      <c r="L978" s="22"/>
      <c r="M978" s="22"/>
      <c r="N978" s="23"/>
      <c r="O978" s="22"/>
      <c r="P978" s="22"/>
      <c r="Q978" s="22"/>
      <c r="R978" s="22"/>
    </row>
    <row r="979" spans="1:18" s="2" customFormat="1" ht="14.4">
      <c r="A979" s="20">
        <f>A976+1</f>
        <v>912</v>
      </c>
      <c r="B979" s="17" t="s">
        <v>1243</v>
      </c>
      <c r="C979" s="17" t="s">
        <v>1244</v>
      </c>
      <c r="D979" s="9" t="s">
        <v>5</v>
      </c>
      <c r="E979" s="20" t="s">
        <v>6</v>
      </c>
      <c r="F979" s="18">
        <v>1</v>
      </c>
      <c r="G979" s="19">
        <f>1.633198857*51.27</f>
        <v>83.73410539839</v>
      </c>
      <c r="H979" s="32">
        <v>0.06</v>
      </c>
      <c r="I979" s="25">
        <f t="shared" si="63"/>
        <v>5.0240463239033994</v>
      </c>
      <c r="J979" s="40"/>
      <c r="K979" s="39"/>
      <c r="L979" s="39"/>
      <c r="M979" s="39"/>
      <c r="N979" s="23"/>
      <c r="O979" s="39"/>
      <c r="P979" s="39"/>
      <c r="Q979" s="39"/>
      <c r="R979" s="39"/>
    </row>
    <row r="980" spans="1:18" s="2" customFormat="1" ht="14.4">
      <c r="A980" s="20">
        <f>A979+1</f>
        <v>913</v>
      </c>
      <c r="B980" s="17" t="s">
        <v>1245</v>
      </c>
      <c r="C980" s="17" t="s">
        <v>1246</v>
      </c>
      <c r="D980" s="9" t="s">
        <v>5</v>
      </c>
      <c r="E980" s="20" t="s">
        <v>6</v>
      </c>
      <c r="F980" s="18">
        <v>1</v>
      </c>
      <c r="G980" s="19">
        <f>1.633198857*9.27</f>
        <v>15.13975340439</v>
      </c>
      <c r="H980" s="32">
        <v>0.08</v>
      </c>
      <c r="I980" s="25">
        <f t="shared" si="63"/>
        <v>1.2111802723512</v>
      </c>
      <c r="J980" s="40"/>
      <c r="K980" s="39"/>
      <c r="L980" s="39"/>
      <c r="M980" s="39"/>
      <c r="N980" s="23"/>
      <c r="O980" s="39"/>
      <c r="P980" s="39"/>
      <c r="Q980" s="39"/>
      <c r="R980" s="39"/>
    </row>
    <row r="981" spans="1:18" s="2" customFormat="1" ht="26.4">
      <c r="A981" s="20">
        <f t="shared" ref="A981:A1026" si="64">A980+1</f>
        <v>914</v>
      </c>
      <c r="B981" s="17" t="s">
        <v>1247</v>
      </c>
      <c r="C981" s="17" t="s">
        <v>1248</v>
      </c>
      <c r="D981" s="9" t="s">
        <v>5</v>
      </c>
      <c r="E981" s="20" t="s">
        <v>6</v>
      </c>
      <c r="F981" s="18">
        <v>1</v>
      </c>
      <c r="G981" s="19">
        <f>1.633198857*10.5</f>
        <v>17.148587998499998</v>
      </c>
      <c r="H981" s="32">
        <v>0.16</v>
      </c>
      <c r="I981" s="25">
        <f t="shared" si="63"/>
        <v>2.7437740797599997</v>
      </c>
      <c r="J981" s="40"/>
      <c r="K981" s="39"/>
      <c r="L981" s="39"/>
      <c r="M981" s="39"/>
      <c r="N981" s="23"/>
      <c r="O981" s="39"/>
      <c r="P981" s="39"/>
      <c r="Q981" s="39"/>
      <c r="R981" s="39"/>
    </row>
    <row r="982" spans="1:18" s="2" customFormat="1" ht="14.4">
      <c r="A982" s="20">
        <f t="shared" si="64"/>
        <v>915</v>
      </c>
      <c r="B982" s="17" t="s">
        <v>1249</v>
      </c>
      <c r="C982" s="17" t="s">
        <v>1250</v>
      </c>
      <c r="D982" s="9" t="s">
        <v>25</v>
      </c>
      <c r="E982" s="20" t="s">
        <v>26</v>
      </c>
      <c r="F982" s="18">
        <v>1</v>
      </c>
      <c r="G982" s="19">
        <f>1.633198857*5.81</f>
        <v>9.4888853591700002</v>
      </c>
      <c r="H982" s="32">
        <v>3.7</v>
      </c>
      <c r="I982" s="25">
        <f t="shared" si="63"/>
        <v>35.108875828929001</v>
      </c>
      <c r="J982" s="40"/>
      <c r="K982" s="39"/>
      <c r="L982" s="39"/>
      <c r="M982" s="39"/>
      <c r="N982" s="23"/>
      <c r="O982" s="39"/>
      <c r="P982" s="39"/>
      <c r="Q982" s="39"/>
      <c r="R982" s="39"/>
    </row>
    <row r="983" spans="1:18" s="2" customFormat="1" ht="14.4">
      <c r="A983" s="20">
        <f t="shared" si="64"/>
        <v>916</v>
      </c>
      <c r="B983" s="17" t="s">
        <v>1251</v>
      </c>
      <c r="C983" s="17" t="s">
        <v>1252</v>
      </c>
      <c r="D983" s="9" t="s">
        <v>25</v>
      </c>
      <c r="E983" s="20" t="s">
        <v>26</v>
      </c>
      <c r="F983" s="18">
        <v>1</v>
      </c>
      <c r="G983" s="19">
        <f>1.633198857*6.29</f>
        <v>10.27282081053</v>
      </c>
      <c r="H983" s="32">
        <v>1.7</v>
      </c>
      <c r="I983" s="25">
        <f t="shared" si="63"/>
        <v>17.463795377901</v>
      </c>
      <c r="J983" s="40"/>
      <c r="K983" s="39"/>
      <c r="L983" s="39"/>
      <c r="M983" s="39"/>
      <c r="N983" s="23"/>
      <c r="O983" s="39"/>
      <c r="P983" s="39"/>
      <c r="Q983" s="39"/>
      <c r="R983" s="39"/>
    </row>
    <row r="984" spans="1:18" s="2" customFormat="1" ht="26.4">
      <c r="A984" s="20">
        <f t="shared" si="64"/>
        <v>917</v>
      </c>
      <c r="B984" s="17" t="s">
        <v>1253</v>
      </c>
      <c r="C984" s="17" t="s">
        <v>1254</v>
      </c>
      <c r="D984" s="9" t="s">
        <v>25</v>
      </c>
      <c r="E984" s="20" t="s">
        <v>26</v>
      </c>
      <c r="F984" s="18">
        <v>1</v>
      </c>
      <c r="G984" s="19">
        <f>1.633198857*50.32</f>
        <v>82.182566484239999</v>
      </c>
      <c r="H984" s="32">
        <v>0.7</v>
      </c>
      <c r="I984" s="25">
        <f t="shared" si="63"/>
        <v>57.527796538967998</v>
      </c>
      <c r="J984" s="40"/>
      <c r="K984" s="39"/>
      <c r="L984" s="39"/>
      <c r="M984" s="39"/>
      <c r="N984" s="23"/>
      <c r="O984" s="39"/>
      <c r="P984" s="39"/>
      <c r="Q984" s="39"/>
      <c r="R984" s="39"/>
    </row>
    <row r="985" spans="1:18" s="2" customFormat="1" ht="14.4">
      <c r="A985" s="20">
        <f t="shared" si="64"/>
        <v>918</v>
      </c>
      <c r="B985" s="17" t="s">
        <v>166</v>
      </c>
      <c r="C985" s="17" t="s">
        <v>167</v>
      </c>
      <c r="D985" s="9" t="s">
        <v>56</v>
      </c>
      <c r="E985" s="20" t="s">
        <v>57</v>
      </c>
      <c r="F985" s="18">
        <v>1</v>
      </c>
      <c r="G985" s="19">
        <f>1.633198857*188.21</f>
        <v>307.38435687597001</v>
      </c>
      <c r="H985" s="32">
        <v>0.38711000000000001</v>
      </c>
      <c r="I985" s="25">
        <f t="shared" si="63"/>
        <v>118.99155839025676</v>
      </c>
      <c r="J985" s="40"/>
      <c r="K985" s="39"/>
      <c r="L985" s="39"/>
      <c r="M985" s="39"/>
      <c r="N985" s="23"/>
      <c r="O985" s="39"/>
      <c r="P985" s="39"/>
      <c r="Q985" s="39"/>
      <c r="R985" s="39"/>
    </row>
    <row r="986" spans="1:18" s="2" customFormat="1" ht="14.4">
      <c r="A986" s="20">
        <f t="shared" si="64"/>
        <v>919</v>
      </c>
      <c r="B986" s="17" t="s">
        <v>1255</v>
      </c>
      <c r="C986" s="17" t="s">
        <v>1256</v>
      </c>
      <c r="D986" s="9" t="s">
        <v>56</v>
      </c>
      <c r="E986" s="20" t="s">
        <v>42</v>
      </c>
      <c r="F986" s="18">
        <v>1</v>
      </c>
      <c r="G986" s="19">
        <f>1.633198857*383.33</f>
        <v>626.05411785381</v>
      </c>
      <c r="H986" s="32">
        <v>0.38711000000000001</v>
      </c>
      <c r="I986" s="25">
        <f t="shared" si="63"/>
        <v>242.35180956238838</v>
      </c>
      <c r="J986" s="40"/>
      <c r="K986" s="39"/>
      <c r="L986" s="39"/>
      <c r="M986" s="39"/>
      <c r="N986" s="23"/>
      <c r="O986" s="39"/>
      <c r="P986" s="39"/>
      <c r="Q986" s="39"/>
      <c r="R986" s="39"/>
    </row>
    <row r="987" spans="1:18" ht="14.4">
      <c r="A987" s="20"/>
      <c r="B987" s="13" t="s">
        <v>1257</v>
      </c>
      <c r="C987" s="13" t="s">
        <v>1258</v>
      </c>
      <c r="D987" s="14"/>
      <c r="E987" s="14"/>
      <c r="F987" s="18"/>
      <c r="G987" s="19"/>
      <c r="H987" s="15"/>
      <c r="I987" s="25"/>
      <c r="J987" s="24"/>
      <c r="K987" s="22"/>
      <c r="L987" s="22"/>
      <c r="M987" s="22"/>
      <c r="N987" s="23"/>
      <c r="O987" s="22"/>
      <c r="P987" s="22"/>
      <c r="Q987" s="22"/>
      <c r="R987" s="22"/>
    </row>
    <row r="988" spans="1:18" s="2" customFormat="1" ht="52.8">
      <c r="A988" s="20">
        <f>A986+1</f>
        <v>920</v>
      </c>
      <c r="B988" s="17" t="s">
        <v>1259</v>
      </c>
      <c r="C988" s="17" t="s">
        <v>1260</v>
      </c>
      <c r="D988" s="20" t="s">
        <v>1261</v>
      </c>
      <c r="E988" s="20" t="s">
        <v>1262</v>
      </c>
      <c r="F988" s="18">
        <v>1</v>
      </c>
      <c r="G988" s="19">
        <f>1.633198857*51.28</f>
        <v>83.750437386960002</v>
      </c>
      <c r="H988" s="32">
        <v>3</v>
      </c>
      <c r="I988" s="25">
        <f t="shared" si="63"/>
        <v>251.25131216087999</v>
      </c>
      <c r="J988" s="40"/>
      <c r="K988" s="39"/>
      <c r="L988" s="39"/>
      <c r="M988" s="39"/>
      <c r="N988" s="23"/>
      <c r="O988" s="39"/>
      <c r="P988" s="39"/>
      <c r="Q988" s="39"/>
      <c r="R988" s="39"/>
    </row>
    <row r="989" spans="1:18" s="2" customFormat="1" ht="14.4">
      <c r="A989" s="20">
        <f t="shared" si="64"/>
        <v>921</v>
      </c>
      <c r="B989" s="17" t="s">
        <v>1263</v>
      </c>
      <c r="C989" s="17" t="s">
        <v>1264</v>
      </c>
      <c r="D989" s="20" t="s">
        <v>5</v>
      </c>
      <c r="E989" s="20" t="s">
        <v>6</v>
      </c>
      <c r="F989" s="18">
        <v>1</v>
      </c>
      <c r="G989" s="19">
        <f>75569.29</f>
        <v>75569.289999999994</v>
      </c>
      <c r="H989" s="32">
        <v>1</v>
      </c>
      <c r="I989" s="25">
        <f t="shared" si="63"/>
        <v>75569.289999999994</v>
      </c>
      <c r="J989" s="40"/>
      <c r="K989" s="39"/>
      <c r="L989" s="39"/>
      <c r="M989" s="39"/>
      <c r="N989" s="23"/>
      <c r="O989" s="39"/>
      <c r="P989" s="39"/>
      <c r="Q989" s="39"/>
      <c r="R989" s="39"/>
    </row>
    <row r="990" spans="1:18" s="2" customFormat="1" ht="14.4">
      <c r="A990" s="20">
        <f t="shared" si="64"/>
        <v>922</v>
      </c>
      <c r="B990" s="17" t="s">
        <v>1265</v>
      </c>
      <c r="C990" s="17" t="s">
        <v>1266</v>
      </c>
      <c r="D990" s="20" t="s">
        <v>5</v>
      </c>
      <c r="E990" s="20" t="s">
        <v>6</v>
      </c>
      <c r="F990" s="18">
        <v>1</v>
      </c>
      <c r="G990" s="19">
        <v>75569.289999999994</v>
      </c>
      <c r="H990" s="32">
        <v>1</v>
      </c>
      <c r="I990" s="25">
        <f t="shared" si="63"/>
        <v>75569.289999999994</v>
      </c>
      <c r="J990" s="40"/>
      <c r="K990" s="39"/>
      <c r="L990" s="39"/>
      <c r="M990" s="39"/>
      <c r="N990" s="23"/>
      <c r="O990" s="39"/>
      <c r="P990" s="39"/>
      <c r="Q990" s="39"/>
      <c r="R990" s="39"/>
    </row>
    <row r="991" spans="1:18" s="2" customFormat="1" ht="14.4">
      <c r="A991" s="20">
        <f t="shared" si="64"/>
        <v>923</v>
      </c>
      <c r="B991" s="17" t="s">
        <v>1267</v>
      </c>
      <c r="C991" s="17" t="s">
        <v>1268</v>
      </c>
      <c r="D991" s="20" t="s">
        <v>5</v>
      </c>
      <c r="E991" s="20" t="s">
        <v>6</v>
      </c>
      <c r="F991" s="18">
        <v>1</v>
      </c>
      <c r="G991" s="19">
        <v>75569.289999999994</v>
      </c>
      <c r="H991" s="32">
        <v>1</v>
      </c>
      <c r="I991" s="25">
        <f t="shared" si="63"/>
        <v>75569.289999999994</v>
      </c>
      <c r="J991" s="40"/>
      <c r="K991" s="39"/>
      <c r="L991" s="39"/>
      <c r="M991" s="39"/>
      <c r="N991" s="23"/>
      <c r="O991" s="39"/>
      <c r="P991" s="39"/>
      <c r="Q991" s="39"/>
      <c r="R991" s="39"/>
    </row>
    <row r="992" spans="1:18" s="2" customFormat="1" ht="14.4">
      <c r="A992" s="20">
        <f t="shared" si="64"/>
        <v>924</v>
      </c>
      <c r="B992" s="17" t="s">
        <v>1269</v>
      </c>
      <c r="C992" s="17" t="s">
        <v>1270</v>
      </c>
      <c r="D992" s="20" t="s">
        <v>1261</v>
      </c>
      <c r="E992" s="20" t="s">
        <v>1262</v>
      </c>
      <c r="F992" s="18">
        <v>1</v>
      </c>
      <c r="G992" s="19">
        <v>4701.83</v>
      </c>
      <c r="H992" s="32">
        <f>H993+H994+H995+H996+H997+H998+H999+H1000+H1001+H1002+H1003+H1004+H1005+H1006+H991+H990+H989</f>
        <v>33</v>
      </c>
      <c r="I992" s="25">
        <f t="shared" si="63"/>
        <v>155160.38999999998</v>
      </c>
      <c r="J992" s="40"/>
      <c r="K992" s="39"/>
      <c r="L992" s="39"/>
      <c r="M992" s="39"/>
      <c r="N992" s="23"/>
      <c r="O992" s="39"/>
      <c r="P992" s="39"/>
      <c r="Q992" s="39"/>
      <c r="R992" s="39"/>
    </row>
    <row r="993" spans="1:18" s="2" customFormat="1" ht="26.4">
      <c r="A993" s="20">
        <f t="shared" si="64"/>
        <v>925</v>
      </c>
      <c r="B993" s="17" t="s">
        <v>1271</v>
      </c>
      <c r="C993" s="17" t="s">
        <v>1272</v>
      </c>
      <c r="D993" s="20" t="s">
        <v>5</v>
      </c>
      <c r="E993" s="20" t="s">
        <v>6</v>
      </c>
      <c r="F993" s="18">
        <v>1</v>
      </c>
      <c r="G993" s="19">
        <v>44969.29</v>
      </c>
      <c r="H993" s="32">
        <v>2</v>
      </c>
      <c r="I993" s="25">
        <f t="shared" si="63"/>
        <v>89938.58</v>
      </c>
      <c r="J993" s="40"/>
      <c r="K993" s="39"/>
      <c r="L993" s="39"/>
      <c r="M993" s="39"/>
      <c r="N993" s="23"/>
      <c r="O993" s="39"/>
      <c r="P993" s="39"/>
      <c r="Q993" s="39"/>
      <c r="R993" s="39"/>
    </row>
    <row r="994" spans="1:18" s="2" customFormat="1" ht="14.4">
      <c r="A994" s="20">
        <f t="shared" si="64"/>
        <v>926</v>
      </c>
      <c r="B994" s="17" t="s">
        <v>1273</v>
      </c>
      <c r="C994" s="17" t="s">
        <v>1274</v>
      </c>
      <c r="D994" s="20" t="s">
        <v>5</v>
      </c>
      <c r="E994" s="20" t="s">
        <v>6</v>
      </c>
      <c r="F994" s="18">
        <v>1</v>
      </c>
      <c r="G994" s="19">
        <v>44969.29</v>
      </c>
      <c r="H994" s="32">
        <v>4</v>
      </c>
      <c r="I994" s="25">
        <f t="shared" si="63"/>
        <v>179877.16</v>
      </c>
      <c r="J994" s="40"/>
      <c r="K994" s="39"/>
      <c r="L994" s="39"/>
      <c r="M994" s="39"/>
      <c r="N994" s="23"/>
      <c r="O994" s="39"/>
      <c r="P994" s="39"/>
      <c r="Q994" s="39"/>
      <c r="R994" s="39"/>
    </row>
    <row r="995" spans="1:18" s="2" customFormat="1" ht="14.4">
      <c r="A995" s="20">
        <f t="shared" si="64"/>
        <v>927</v>
      </c>
      <c r="B995" s="17" t="s">
        <v>1273</v>
      </c>
      <c r="C995" s="17" t="s">
        <v>1275</v>
      </c>
      <c r="D995" s="20" t="s">
        <v>5</v>
      </c>
      <c r="E995" s="20" t="s">
        <v>6</v>
      </c>
      <c r="F995" s="18">
        <v>1</v>
      </c>
      <c r="G995" s="19">
        <v>44969.29</v>
      </c>
      <c r="H995" s="32">
        <v>3</v>
      </c>
      <c r="I995" s="25">
        <f t="shared" si="63"/>
        <v>134907.87</v>
      </c>
      <c r="J995" s="40"/>
      <c r="K995" s="39"/>
      <c r="L995" s="39"/>
      <c r="M995" s="39"/>
      <c r="N995" s="23"/>
      <c r="O995" s="39"/>
      <c r="P995" s="39"/>
      <c r="Q995" s="39"/>
      <c r="R995" s="39"/>
    </row>
    <row r="996" spans="1:18" s="2" customFormat="1" ht="14.4">
      <c r="A996" s="20">
        <f t="shared" si="64"/>
        <v>928</v>
      </c>
      <c r="B996" s="17" t="s">
        <v>1273</v>
      </c>
      <c r="C996" s="17" t="s">
        <v>1276</v>
      </c>
      <c r="D996" s="20" t="s">
        <v>5</v>
      </c>
      <c r="E996" s="20" t="s">
        <v>6</v>
      </c>
      <c r="F996" s="18">
        <v>1</v>
      </c>
      <c r="G996" s="19">
        <v>33373.93</v>
      </c>
      <c r="H996" s="32">
        <v>3</v>
      </c>
      <c r="I996" s="25">
        <f t="shared" si="63"/>
        <v>100121.79000000001</v>
      </c>
      <c r="J996" s="40"/>
      <c r="K996" s="39"/>
      <c r="L996" s="39"/>
      <c r="M996" s="39"/>
      <c r="N996" s="23"/>
      <c r="O996" s="39"/>
      <c r="P996" s="39"/>
      <c r="Q996" s="39"/>
      <c r="R996" s="39"/>
    </row>
    <row r="997" spans="1:18" s="2" customFormat="1" ht="14.4">
      <c r="A997" s="20">
        <f t="shared" si="64"/>
        <v>929</v>
      </c>
      <c r="B997" s="17" t="s">
        <v>1273</v>
      </c>
      <c r="C997" s="17" t="s">
        <v>1277</v>
      </c>
      <c r="D997" s="20" t="s">
        <v>5</v>
      </c>
      <c r="E997" s="20" t="s">
        <v>6</v>
      </c>
      <c r="F997" s="18">
        <v>1</v>
      </c>
      <c r="G997" s="19">
        <v>33373.93</v>
      </c>
      <c r="H997" s="32">
        <v>2</v>
      </c>
      <c r="I997" s="25">
        <f t="shared" si="63"/>
        <v>66747.86</v>
      </c>
      <c r="J997" s="40"/>
      <c r="K997" s="39"/>
      <c r="L997" s="39"/>
      <c r="M997" s="39"/>
      <c r="N997" s="23"/>
      <c r="O997" s="39"/>
      <c r="P997" s="39"/>
      <c r="Q997" s="39"/>
      <c r="R997" s="39"/>
    </row>
    <row r="998" spans="1:18" s="2" customFormat="1" ht="14.4">
      <c r="A998" s="20">
        <f t="shared" si="64"/>
        <v>930</v>
      </c>
      <c r="B998" s="17" t="s">
        <v>1278</v>
      </c>
      <c r="C998" s="17" t="s">
        <v>1279</v>
      </c>
      <c r="D998" s="20" t="s">
        <v>5</v>
      </c>
      <c r="E998" s="20" t="s">
        <v>6</v>
      </c>
      <c r="F998" s="18">
        <v>1</v>
      </c>
      <c r="G998" s="19">
        <v>33373.93</v>
      </c>
      <c r="H998" s="32">
        <v>2</v>
      </c>
      <c r="I998" s="25">
        <f t="shared" si="63"/>
        <v>66747.86</v>
      </c>
      <c r="J998" s="40"/>
      <c r="K998" s="39"/>
      <c r="L998" s="39"/>
      <c r="M998" s="39"/>
      <c r="N998" s="23"/>
      <c r="O998" s="39"/>
      <c r="P998" s="39"/>
      <c r="Q998" s="39"/>
      <c r="R998" s="39"/>
    </row>
    <row r="999" spans="1:18" s="2" customFormat="1" ht="14.4">
      <c r="A999" s="20">
        <f t="shared" si="64"/>
        <v>931</v>
      </c>
      <c r="B999" s="17" t="s">
        <v>1280</v>
      </c>
      <c r="C999" s="17" t="s">
        <v>1281</v>
      </c>
      <c r="D999" s="20" t="s">
        <v>5</v>
      </c>
      <c r="E999" s="20" t="s">
        <v>6</v>
      </c>
      <c r="F999" s="18">
        <v>1</v>
      </c>
      <c r="G999" s="19">
        <v>44969.29</v>
      </c>
      <c r="H999" s="32">
        <v>2</v>
      </c>
      <c r="I999" s="25">
        <f t="shared" si="63"/>
        <v>89938.58</v>
      </c>
      <c r="J999" s="40"/>
      <c r="K999" s="39"/>
      <c r="L999" s="39"/>
      <c r="M999" s="39"/>
      <c r="N999" s="23"/>
      <c r="O999" s="39"/>
      <c r="P999" s="39"/>
      <c r="Q999" s="39"/>
      <c r="R999" s="39"/>
    </row>
    <row r="1000" spans="1:18" s="2" customFormat="1" ht="14.4">
      <c r="A1000" s="20">
        <f t="shared" si="64"/>
        <v>932</v>
      </c>
      <c r="B1000" s="17" t="s">
        <v>1280</v>
      </c>
      <c r="C1000" s="17" t="s">
        <v>1282</v>
      </c>
      <c r="D1000" s="20" t="s">
        <v>5</v>
      </c>
      <c r="E1000" s="20" t="s">
        <v>6</v>
      </c>
      <c r="F1000" s="18">
        <v>1</v>
      </c>
      <c r="G1000" s="19">
        <v>33373.93</v>
      </c>
      <c r="H1000" s="32">
        <v>2</v>
      </c>
      <c r="I1000" s="25">
        <f t="shared" si="63"/>
        <v>66747.86</v>
      </c>
      <c r="J1000" s="40"/>
      <c r="K1000" s="39"/>
      <c r="L1000" s="39"/>
      <c r="M1000" s="39"/>
      <c r="N1000" s="23"/>
      <c r="O1000" s="39"/>
      <c r="P1000" s="39"/>
      <c r="Q1000" s="39"/>
      <c r="R1000" s="39"/>
    </row>
    <row r="1001" spans="1:18" s="2" customFormat="1" ht="14.4">
      <c r="A1001" s="20">
        <f t="shared" si="64"/>
        <v>933</v>
      </c>
      <c r="B1001" s="17" t="s">
        <v>1283</v>
      </c>
      <c r="C1001" s="17" t="s">
        <v>1284</v>
      </c>
      <c r="D1001" s="20" t="s">
        <v>5</v>
      </c>
      <c r="E1001" s="20" t="s">
        <v>6</v>
      </c>
      <c r="F1001" s="18">
        <v>1</v>
      </c>
      <c r="G1001" s="19">
        <v>44969.29</v>
      </c>
      <c r="H1001" s="32">
        <v>2</v>
      </c>
      <c r="I1001" s="25">
        <f t="shared" si="63"/>
        <v>89938.58</v>
      </c>
      <c r="J1001" s="40"/>
      <c r="K1001" s="39"/>
      <c r="L1001" s="39"/>
      <c r="M1001" s="39"/>
      <c r="N1001" s="23"/>
      <c r="O1001" s="39"/>
      <c r="P1001" s="39"/>
      <c r="Q1001" s="39"/>
      <c r="R1001" s="39"/>
    </row>
    <row r="1002" spans="1:18" s="2" customFormat="1" ht="14.4">
      <c r="A1002" s="20">
        <f t="shared" si="64"/>
        <v>934</v>
      </c>
      <c r="B1002" s="17" t="s">
        <v>1285</v>
      </c>
      <c r="C1002" s="17" t="s">
        <v>1286</v>
      </c>
      <c r="D1002" s="20" t="s">
        <v>5</v>
      </c>
      <c r="E1002" s="20" t="s">
        <v>6</v>
      </c>
      <c r="F1002" s="18">
        <v>1</v>
      </c>
      <c r="G1002" s="19">
        <v>33373.93</v>
      </c>
      <c r="H1002" s="32">
        <v>1</v>
      </c>
      <c r="I1002" s="25">
        <f t="shared" si="63"/>
        <v>33373.93</v>
      </c>
      <c r="J1002" s="40"/>
      <c r="K1002" s="39"/>
      <c r="L1002" s="39"/>
      <c r="M1002" s="39"/>
      <c r="N1002" s="23"/>
      <c r="O1002" s="39"/>
      <c r="P1002" s="39"/>
      <c r="Q1002" s="39"/>
      <c r="R1002" s="39"/>
    </row>
    <row r="1003" spans="1:18" s="2" customFormat="1" ht="14.4">
      <c r="A1003" s="20">
        <f t="shared" si="64"/>
        <v>935</v>
      </c>
      <c r="B1003" s="17" t="s">
        <v>1273</v>
      </c>
      <c r="C1003" s="17" t="s">
        <v>1287</v>
      </c>
      <c r="D1003" s="20" t="s">
        <v>5</v>
      </c>
      <c r="E1003" s="20" t="s">
        <v>6</v>
      </c>
      <c r="F1003" s="18">
        <v>1</v>
      </c>
      <c r="G1003" s="19">
        <v>18374</v>
      </c>
      <c r="H1003" s="32">
        <v>1</v>
      </c>
      <c r="I1003" s="25">
        <f t="shared" si="63"/>
        <v>18374</v>
      </c>
      <c r="J1003" s="40"/>
      <c r="K1003" s="39"/>
      <c r="L1003" s="39"/>
      <c r="M1003" s="39"/>
      <c r="N1003" s="23"/>
      <c r="O1003" s="39"/>
      <c r="P1003" s="39"/>
      <c r="Q1003" s="39"/>
      <c r="R1003" s="39"/>
    </row>
    <row r="1004" spans="1:18" s="2" customFormat="1" ht="14.4">
      <c r="A1004" s="20">
        <f t="shared" si="64"/>
        <v>936</v>
      </c>
      <c r="B1004" s="17" t="s">
        <v>1273</v>
      </c>
      <c r="C1004" s="17" t="s">
        <v>1288</v>
      </c>
      <c r="D1004" s="20" t="s">
        <v>5</v>
      </c>
      <c r="E1004" s="20" t="s">
        <v>6</v>
      </c>
      <c r="F1004" s="18">
        <v>1</v>
      </c>
      <c r="G1004" s="19">
        <v>33373.93</v>
      </c>
      <c r="H1004" s="32">
        <v>1</v>
      </c>
      <c r="I1004" s="25">
        <f t="shared" si="63"/>
        <v>33373.93</v>
      </c>
      <c r="J1004" s="40"/>
      <c r="K1004" s="39"/>
      <c r="L1004" s="39"/>
      <c r="M1004" s="39"/>
      <c r="N1004" s="23"/>
      <c r="O1004" s="39"/>
      <c r="P1004" s="39"/>
      <c r="Q1004" s="39"/>
      <c r="R1004" s="39"/>
    </row>
    <row r="1005" spans="1:18" s="2" customFormat="1" ht="14.4">
      <c r="A1005" s="20">
        <f t="shared" si="64"/>
        <v>937</v>
      </c>
      <c r="B1005" s="17" t="s">
        <v>1273</v>
      </c>
      <c r="C1005" s="17" t="s">
        <v>1289</v>
      </c>
      <c r="D1005" s="20" t="s">
        <v>5</v>
      </c>
      <c r="E1005" s="20" t="s">
        <v>6</v>
      </c>
      <c r="F1005" s="18">
        <v>1</v>
      </c>
      <c r="G1005" s="19">
        <v>33373.93</v>
      </c>
      <c r="H1005" s="32">
        <v>4</v>
      </c>
      <c r="I1005" s="25">
        <f t="shared" si="63"/>
        <v>133495.72</v>
      </c>
      <c r="J1005" s="40"/>
      <c r="K1005" s="39"/>
      <c r="L1005" s="39"/>
      <c r="M1005" s="39"/>
      <c r="N1005" s="23"/>
      <c r="O1005" s="39"/>
      <c r="P1005" s="39"/>
      <c r="Q1005" s="39"/>
      <c r="R1005" s="39"/>
    </row>
    <row r="1006" spans="1:18" s="2" customFormat="1" ht="14.4">
      <c r="A1006" s="20">
        <f t="shared" si="64"/>
        <v>938</v>
      </c>
      <c r="B1006" s="17" t="s">
        <v>1273</v>
      </c>
      <c r="C1006" s="17" t="s">
        <v>1290</v>
      </c>
      <c r="D1006" s="20" t="s">
        <v>5</v>
      </c>
      <c r="E1006" s="20" t="s">
        <v>6</v>
      </c>
      <c r="F1006" s="18">
        <v>1</v>
      </c>
      <c r="G1006" s="19">
        <v>44969.29</v>
      </c>
      <c r="H1006" s="32">
        <v>1</v>
      </c>
      <c r="I1006" s="25">
        <f t="shared" si="63"/>
        <v>44969.29</v>
      </c>
      <c r="J1006" s="40"/>
      <c r="K1006" s="39"/>
      <c r="L1006" s="39"/>
      <c r="M1006" s="39"/>
      <c r="N1006" s="23"/>
      <c r="O1006" s="39"/>
      <c r="P1006" s="39"/>
      <c r="Q1006" s="39"/>
      <c r="R1006" s="39"/>
    </row>
    <row r="1007" spans="1:18" s="2" customFormat="1" ht="26.4">
      <c r="A1007" s="20">
        <f t="shared" si="64"/>
        <v>939</v>
      </c>
      <c r="B1007" s="17" t="s">
        <v>1291</v>
      </c>
      <c r="C1007" s="17" t="s">
        <v>1292</v>
      </c>
      <c r="D1007" s="20" t="s">
        <v>5</v>
      </c>
      <c r="E1007" s="20" t="s">
        <v>6</v>
      </c>
      <c r="F1007" s="18">
        <v>1</v>
      </c>
      <c r="G1007" s="19">
        <f>1.633198857*872.1</f>
        <v>1424.3127231897001</v>
      </c>
      <c r="H1007" s="32">
        <v>3</v>
      </c>
      <c r="I1007" s="25">
        <f t="shared" si="63"/>
        <v>4272.9381695691009</v>
      </c>
      <c r="J1007" s="40"/>
      <c r="K1007" s="39"/>
      <c r="L1007" s="39"/>
      <c r="M1007" s="39"/>
      <c r="N1007" s="23"/>
      <c r="O1007" s="39"/>
      <c r="P1007" s="39"/>
      <c r="Q1007" s="39"/>
      <c r="R1007" s="39"/>
    </row>
    <row r="1008" spans="1:18" s="2" customFormat="1" ht="26.4">
      <c r="A1008" s="20">
        <f t="shared" si="64"/>
        <v>940</v>
      </c>
      <c r="B1008" s="17" t="s">
        <v>1293</v>
      </c>
      <c r="C1008" s="17" t="s">
        <v>1294</v>
      </c>
      <c r="D1008" s="20" t="s">
        <v>5</v>
      </c>
      <c r="E1008" s="20" t="s">
        <v>6</v>
      </c>
      <c r="F1008" s="18">
        <v>1</v>
      </c>
      <c r="G1008" s="19">
        <f>1.633198857*4420.73</f>
        <v>7219.9311831056093</v>
      </c>
      <c r="H1008" s="32">
        <v>1</v>
      </c>
      <c r="I1008" s="25">
        <f t="shared" si="63"/>
        <v>7219.9311831056093</v>
      </c>
      <c r="J1008" s="40"/>
      <c r="K1008" s="39"/>
      <c r="L1008" s="39"/>
      <c r="M1008" s="39"/>
      <c r="N1008" s="23"/>
      <c r="O1008" s="39"/>
      <c r="P1008" s="39"/>
      <c r="Q1008" s="39"/>
      <c r="R1008" s="39"/>
    </row>
    <row r="1009" spans="1:18" s="2" customFormat="1" ht="26.4">
      <c r="A1009" s="20">
        <f t="shared" si="64"/>
        <v>941</v>
      </c>
      <c r="B1009" s="17" t="s">
        <v>1295</v>
      </c>
      <c r="C1009" s="17" t="s">
        <v>1296</v>
      </c>
      <c r="D1009" s="20" t="s">
        <v>5</v>
      </c>
      <c r="E1009" s="20" t="s">
        <v>6</v>
      </c>
      <c r="F1009" s="18">
        <v>1</v>
      </c>
      <c r="G1009" s="19">
        <v>5440.73</v>
      </c>
      <c r="H1009" s="32">
        <v>5</v>
      </c>
      <c r="I1009" s="25">
        <f t="shared" si="63"/>
        <v>27203.649999999998</v>
      </c>
      <c r="J1009" s="40"/>
      <c r="K1009" s="39"/>
      <c r="L1009" s="39"/>
      <c r="M1009" s="39"/>
      <c r="N1009" s="23"/>
      <c r="O1009" s="39"/>
      <c r="P1009" s="39"/>
      <c r="Q1009" s="39"/>
      <c r="R1009" s="39"/>
    </row>
    <row r="1010" spans="1:18" s="2" customFormat="1" ht="14.4">
      <c r="A1010" s="20">
        <f t="shared" si="64"/>
        <v>942</v>
      </c>
      <c r="B1010" s="17" t="s">
        <v>1297</v>
      </c>
      <c r="C1010" s="17" t="s">
        <v>1298</v>
      </c>
      <c r="D1010" s="20" t="s">
        <v>5</v>
      </c>
      <c r="E1010" s="20" t="s">
        <v>6</v>
      </c>
      <c r="F1010" s="18">
        <v>1</v>
      </c>
      <c r="G1010" s="19">
        <v>1280</v>
      </c>
      <c r="H1010" s="32">
        <v>48</v>
      </c>
      <c r="I1010" s="25">
        <f t="shared" si="63"/>
        <v>61440</v>
      </c>
      <c r="J1010" s="40"/>
      <c r="K1010" s="39"/>
      <c r="L1010" s="39"/>
      <c r="M1010" s="39"/>
      <c r="N1010" s="23"/>
      <c r="O1010" s="39"/>
      <c r="P1010" s="39"/>
      <c r="Q1010" s="39"/>
      <c r="R1010" s="39"/>
    </row>
    <row r="1011" spans="1:18" s="2" customFormat="1" ht="26.4">
      <c r="A1011" s="20">
        <f t="shared" si="64"/>
        <v>943</v>
      </c>
      <c r="B1011" s="17" t="s">
        <v>1299</v>
      </c>
      <c r="C1011" s="17" t="s">
        <v>1300</v>
      </c>
      <c r="D1011" s="20" t="s">
        <v>5</v>
      </c>
      <c r="E1011" s="20" t="s">
        <v>6</v>
      </c>
      <c r="F1011" s="18">
        <v>1</v>
      </c>
      <c r="G1011" s="19">
        <f>1.633198857*485.26</f>
        <v>792.52607734781998</v>
      </c>
      <c r="H1011" s="32">
        <v>1</v>
      </c>
      <c r="I1011" s="25">
        <f t="shared" si="63"/>
        <v>792.52607734781998</v>
      </c>
      <c r="J1011" s="40"/>
      <c r="K1011" s="39"/>
      <c r="L1011" s="39"/>
      <c r="M1011" s="39"/>
      <c r="N1011" s="23"/>
      <c r="O1011" s="39"/>
      <c r="P1011" s="39"/>
      <c r="Q1011" s="39"/>
      <c r="R1011" s="39"/>
    </row>
    <row r="1012" spans="1:18" s="2" customFormat="1" ht="26.4">
      <c r="A1012" s="20">
        <f t="shared" si="64"/>
        <v>944</v>
      </c>
      <c r="B1012" s="17" t="s">
        <v>1301</v>
      </c>
      <c r="C1012" s="17" t="s">
        <v>1302</v>
      </c>
      <c r="D1012" s="20" t="s">
        <v>5</v>
      </c>
      <c r="E1012" s="20" t="s">
        <v>6</v>
      </c>
      <c r="F1012" s="18">
        <v>1</v>
      </c>
      <c r="G1012" s="19">
        <f>1.633198857*485.26</f>
        <v>792.52607734781998</v>
      </c>
      <c r="H1012" s="32">
        <v>1</v>
      </c>
      <c r="I1012" s="25">
        <f t="shared" si="63"/>
        <v>792.52607734781998</v>
      </c>
      <c r="J1012" s="40"/>
      <c r="K1012" s="39"/>
      <c r="L1012" s="39"/>
      <c r="M1012" s="39"/>
      <c r="N1012" s="23"/>
      <c r="O1012" s="39"/>
      <c r="P1012" s="39"/>
      <c r="Q1012" s="39"/>
      <c r="R1012" s="39"/>
    </row>
    <row r="1013" spans="1:18" s="2" customFormat="1" ht="26.4">
      <c r="A1013" s="20">
        <f t="shared" si="64"/>
        <v>945</v>
      </c>
      <c r="B1013" s="17" t="s">
        <v>1303</v>
      </c>
      <c r="C1013" s="17" t="s">
        <v>1304</v>
      </c>
      <c r="D1013" s="20" t="s">
        <v>5</v>
      </c>
      <c r="E1013" s="20" t="s">
        <v>6</v>
      </c>
      <c r="F1013" s="18">
        <v>1</v>
      </c>
      <c r="G1013" s="19">
        <f>1.633198857*485.26</f>
        <v>792.52607734781998</v>
      </c>
      <c r="H1013" s="32">
        <v>3</v>
      </c>
      <c r="I1013" s="25">
        <f t="shared" si="63"/>
        <v>2377.57823204346</v>
      </c>
      <c r="J1013" s="40"/>
      <c r="K1013" s="39"/>
      <c r="L1013" s="39"/>
      <c r="M1013" s="39"/>
      <c r="N1013" s="23"/>
      <c r="O1013" s="39"/>
      <c r="P1013" s="39"/>
      <c r="Q1013" s="39"/>
      <c r="R1013" s="39"/>
    </row>
    <row r="1014" spans="1:18" s="2" customFormat="1" ht="26.4">
      <c r="A1014" s="20">
        <f t="shared" si="64"/>
        <v>946</v>
      </c>
      <c r="B1014" s="17" t="s">
        <v>1305</v>
      </c>
      <c r="C1014" s="17" t="s">
        <v>1306</v>
      </c>
      <c r="D1014" s="20" t="s">
        <v>5</v>
      </c>
      <c r="E1014" s="20" t="s">
        <v>6</v>
      </c>
      <c r="F1014" s="18">
        <v>1</v>
      </c>
      <c r="G1014" s="19">
        <f>1.633198857*485.26</f>
        <v>792.52607734781998</v>
      </c>
      <c r="H1014" s="32">
        <v>1</v>
      </c>
      <c r="I1014" s="25">
        <f t="shared" si="63"/>
        <v>792.52607734781998</v>
      </c>
      <c r="J1014" s="40"/>
      <c r="K1014" s="39"/>
      <c r="L1014" s="39"/>
      <c r="M1014" s="39"/>
      <c r="N1014" s="23"/>
      <c r="O1014" s="39"/>
      <c r="P1014" s="39"/>
      <c r="Q1014" s="39"/>
      <c r="R1014" s="39"/>
    </row>
    <row r="1015" spans="1:18" s="2" customFormat="1" ht="39.6">
      <c r="A1015" s="20">
        <f t="shared" si="64"/>
        <v>947</v>
      </c>
      <c r="B1015" s="17" t="s">
        <v>1307</v>
      </c>
      <c r="C1015" s="17" t="s">
        <v>1308</v>
      </c>
      <c r="D1015" s="20" t="s">
        <v>5</v>
      </c>
      <c r="E1015" s="20" t="s">
        <v>6</v>
      </c>
      <c r="F1015" s="18">
        <v>1</v>
      </c>
      <c r="G1015" s="19">
        <f>1.633198857*485.26</f>
        <v>792.52607734781998</v>
      </c>
      <c r="H1015" s="32">
        <v>27</v>
      </c>
      <c r="I1015" s="25">
        <f t="shared" si="63"/>
        <v>21398.20408839114</v>
      </c>
      <c r="J1015" s="40"/>
      <c r="K1015" s="39"/>
      <c r="L1015" s="39"/>
      <c r="M1015" s="39"/>
      <c r="N1015" s="23"/>
      <c r="O1015" s="39"/>
      <c r="P1015" s="39"/>
      <c r="Q1015" s="39"/>
      <c r="R1015" s="39"/>
    </row>
    <row r="1016" spans="1:18" s="2" customFormat="1" ht="26.4">
      <c r="A1016" s="20">
        <f t="shared" si="64"/>
        <v>948</v>
      </c>
      <c r="B1016" s="17" t="s">
        <v>1309</v>
      </c>
      <c r="C1016" s="17" t="s">
        <v>1310</v>
      </c>
      <c r="D1016" s="20" t="s">
        <v>5</v>
      </c>
      <c r="E1016" s="20" t="s">
        <v>6</v>
      </c>
      <c r="F1016" s="18">
        <v>1</v>
      </c>
      <c r="G1016" s="19">
        <v>789.13</v>
      </c>
      <c r="H1016" s="32">
        <v>1</v>
      </c>
      <c r="I1016" s="25">
        <f t="shared" si="63"/>
        <v>789.13</v>
      </c>
      <c r="J1016" s="40"/>
      <c r="K1016" s="39"/>
      <c r="L1016" s="39"/>
      <c r="M1016" s="39"/>
      <c r="N1016" s="23"/>
      <c r="O1016" s="39"/>
      <c r="P1016" s="39"/>
      <c r="Q1016" s="39"/>
      <c r="R1016" s="39"/>
    </row>
    <row r="1017" spans="1:18" s="2" customFormat="1" ht="26.4">
      <c r="A1017" s="20">
        <f t="shared" si="64"/>
        <v>949</v>
      </c>
      <c r="B1017" s="17" t="s">
        <v>1311</v>
      </c>
      <c r="C1017" s="17" t="s">
        <v>1312</v>
      </c>
      <c r="D1017" s="20" t="s">
        <v>5</v>
      </c>
      <c r="E1017" s="20" t="s">
        <v>6</v>
      </c>
      <c r="F1017" s="18">
        <v>1</v>
      </c>
      <c r="G1017" s="19">
        <v>993.13</v>
      </c>
      <c r="H1017" s="32">
        <v>3</v>
      </c>
      <c r="I1017" s="25">
        <f t="shared" si="63"/>
        <v>2979.39</v>
      </c>
      <c r="J1017" s="40"/>
      <c r="K1017" s="39"/>
      <c r="L1017" s="39"/>
      <c r="M1017" s="39"/>
      <c r="N1017" s="23"/>
      <c r="O1017" s="39"/>
      <c r="P1017" s="39"/>
      <c r="Q1017" s="39"/>
      <c r="R1017" s="39"/>
    </row>
    <row r="1018" spans="1:18" s="2" customFormat="1" ht="26.4">
      <c r="A1018" s="20">
        <f t="shared" si="64"/>
        <v>950</v>
      </c>
      <c r="B1018" s="17" t="s">
        <v>1313</v>
      </c>
      <c r="C1018" s="17" t="s">
        <v>1314</v>
      </c>
      <c r="D1018" s="20" t="s">
        <v>5</v>
      </c>
      <c r="E1018" s="20" t="s">
        <v>6</v>
      </c>
      <c r="F1018" s="18">
        <v>1</v>
      </c>
      <c r="G1018" s="19">
        <v>1707.13</v>
      </c>
      <c r="H1018" s="32">
        <v>1</v>
      </c>
      <c r="I1018" s="25">
        <f t="shared" si="63"/>
        <v>1707.13</v>
      </c>
      <c r="J1018" s="40"/>
      <c r="K1018" s="39"/>
      <c r="L1018" s="39"/>
      <c r="M1018" s="39"/>
      <c r="N1018" s="23"/>
      <c r="O1018" s="39"/>
      <c r="P1018" s="39"/>
      <c r="Q1018" s="39"/>
      <c r="R1018" s="39"/>
    </row>
    <row r="1019" spans="1:18" s="2" customFormat="1" ht="26.4">
      <c r="A1019" s="20">
        <f t="shared" si="64"/>
        <v>951</v>
      </c>
      <c r="B1019" s="17" t="s">
        <v>1315</v>
      </c>
      <c r="C1019" s="17" t="s">
        <v>1316</v>
      </c>
      <c r="D1019" s="20" t="s">
        <v>5</v>
      </c>
      <c r="E1019" s="20" t="s">
        <v>6</v>
      </c>
      <c r="F1019" s="18">
        <v>1</v>
      </c>
      <c r="G1019" s="19">
        <v>1707.13</v>
      </c>
      <c r="H1019" s="32">
        <v>4</v>
      </c>
      <c r="I1019" s="25">
        <f t="shared" si="63"/>
        <v>6828.52</v>
      </c>
      <c r="J1019" s="40"/>
      <c r="K1019" s="39"/>
      <c r="L1019" s="39"/>
      <c r="M1019" s="39"/>
      <c r="N1019" s="23"/>
      <c r="O1019" s="39"/>
      <c r="P1019" s="39"/>
      <c r="Q1019" s="39"/>
      <c r="R1019" s="39"/>
    </row>
    <row r="1020" spans="1:18" s="2" customFormat="1" ht="26.4">
      <c r="A1020" s="20">
        <f t="shared" si="64"/>
        <v>952</v>
      </c>
      <c r="B1020" s="17" t="s">
        <v>1317</v>
      </c>
      <c r="C1020" s="17" t="s">
        <v>1318</v>
      </c>
      <c r="D1020" s="20" t="s">
        <v>5</v>
      </c>
      <c r="E1020" s="20" t="s">
        <v>6</v>
      </c>
      <c r="F1020" s="18">
        <v>1</v>
      </c>
      <c r="G1020" s="19">
        <v>1707.13</v>
      </c>
      <c r="H1020" s="32">
        <v>1</v>
      </c>
      <c r="I1020" s="25">
        <f t="shared" si="63"/>
        <v>1707.13</v>
      </c>
      <c r="J1020" s="40"/>
      <c r="K1020" s="39"/>
      <c r="L1020" s="39"/>
      <c r="M1020" s="39"/>
      <c r="N1020" s="23"/>
      <c r="O1020" s="39"/>
      <c r="P1020" s="39"/>
      <c r="Q1020" s="39"/>
      <c r="R1020" s="39"/>
    </row>
    <row r="1021" spans="1:18" s="2" customFormat="1" ht="39.6">
      <c r="A1021" s="20">
        <f t="shared" si="64"/>
        <v>953</v>
      </c>
      <c r="B1021" s="17" t="s">
        <v>1319</v>
      </c>
      <c r="C1021" s="17" t="s">
        <v>1320</v>
      </c>
      <c r="D1021" s="20" t="s">
        <v>5</v>
      </c>
      <c r="E1021" s="20" t="s">
        <v>6</v>
      </c>
      <c r="F1021" s="18">
        <v>1</v>
      </c>
      <c r="G1021" s="19">
        <f>1.633198857*356.28</f>
        <v>581.87608877195999</v>
      </c>
      <c r="H1021" s="32">
        <v>4</v>
      </c>
      <c r="I1021" s="25">
        <f t="shared" si="63"/>
        <v>2327.5043550878399</v>
      </c>
      <c r="J1021" s="40"/>
      <c r="K1021" s="39"/>
      <c r="L1021" s="39"/>
      <c r="M1021" s="39"/>
      <c r="N1021" s="23"/>
      <c r="O1021" s="39"/>
      <c r="P1021" s="39"/>
      <c r="Q1021" s="39"/>
      <c r="R1021" s="39"/>
    </row>
    <row r="1022" spans="1:18" s="2" customFormat="1" ht="39.6">
      <c r="A1022" s="20">
        <f t="shared" si="64"/>
        <v>954</v>
      </c>
      <c r="B1022" s="17" t="s">
        <v>1321</v>
      </c>
      <c r="C1022" s="17" t="s">
        <v>1322</v>
      </c>
      <c r="D1022" s="20" t="s">
        <v>5</v>
      </c>
      <c r="E1022" s="20" t="s">
        <v>6</v>
      </c>
      <c r="F1022" s="18">
        <v>1</v>
      </c>
      <c r="G1022" s="19">
        <f>1.633198857*356.28</f>
        <v>581.87608877195999</v>
      </c>
      <c r="H1022" s="32">
        <v>2</v>
      </c>
      <c r="I1022" s="25">
        <f t="shared" si="63"/>
        <v>1163.75217754392</v>
      </c>
      <c r="J1022" s="40"/>
      <c r="K1022" s="39"/>
      <c r="L1022" s="39"/>
      <c r="M1022" s="39"/>
      <c r="N1022" s="23"/>
      <c r="O1022" s="39"/>
      <c r="P1022" s="39"/>
      <c r="Q1022" s="39"/>
      <c r="R1022" s="39"/>
    </row>
    <row r="1023" spans="1:18" s="2" customFormat="1" ht="39.6">
      <c r="A1023" s="20">
        <f t="shared" si="64"/>
        <v>955</v>
      </c>
      <c r="B1023" s="17" t="s">
        <v>1323</v>
      </c>
      <c r="C1023" s="17" t="s">
        <v>1324</v>
      </c>
      <c r="D1023" s="20" t="s">
        <v>5</v>
      </c>
      <c r="E1023" s="20" t="s">
        <v>6</v>
      </c>
      <c r="F1023" s="18">
        <v>1</v>
      </c>
      <c r="G1023" s="19">
        <f>1.633198857*356.28</f>
        <v>581.87608877195999</v>
      </c>
      <c r="H1023" s="32">
        <v>2</v>
      </c>
      <c r="I1023" s="25">
        <f t="shared" si="63"/>
        <v>1163.75217754392</v>
      </c>
      <c r="J1023" s="40"/>
      <c r="K1023" s="39"/>
      <c r="L1023" s="39"/>
      <c r="M1023" s="39"/>
      <c r="N1023" s="23"/>
      <c r="O1023" s="39"/>
      <c r="P1023" s="39"/>
      <c r="Q1023" s="39"/>
      <c r="R1023" s="39"/>
    </row>
    <row r="1024" spans="1:18" s="2" customFormat="1" ht="39.6">
      <c r="A1024" s="20">
        <f t="shared" si="64"/>
        <v>956</v>
      </c>
      <c r="B1024" s="17" t="s">
        <v>1325</v>
      </c>
      <c r="C1024" s="17" t="s">
        <v>1326</v>
      </c>
      <c r="D1024" s="20" t="s">
        <v>5</v>
      </c>
      <c r="E1024" s="20" t="s">
        <v>6</v>
      </c>
      <c r="F1024" s="18">
        <v>1</v>
      </c>
      <c r="G1024" s="19">
        <f>1.633198857*356.28</f>
        <v>581.87608877195999</v>
      </c>
      <c r="H1024" s="32">
        <v>247</v>
      </c>
      <c r="I1024" s="25">
        <f t="shared" si="63"/>
        <v>143723.39392667412</v>
      </c>
      <c r="J1024" s="40"/>
      <c r="K1024" s="39"/>
      <c r="L1024" s="39"/>
      <c r="M1024" s="39"/>
      <c r="N1024" s="23"/>
      <c r="O1024" s="39"/>
      <c r="P1024" s="39"/>
      <c r="Q1024" s="39"/>
      <c r="R1024" s="39"/>
    </row>
    <row r="1025" spans="1:18" s="2" customFormat="1" ht="26.4">
      <c r="A1025" s="20">
        <f t="shared" si="64"/>
        <v>957</v>
      </c>
      <c r="B1025" s="17" t="s">
        <v>1327</v>
      </c>
      <c r="C1025" s="17" t="s">
        <v>1328</v>
      </c>
      <c r="D1025" s="20" t="s">
        <v>5</v>
      </c>
      <c r="E1025" s="20" t="s">
        <v>6</v>
      </c>
      <c r="F1025" s="18">
        <v>1</v>
      </c>
      <c r="G1025" s="19">
        <v>585.13</v>
      </c>
      <c r="H1025" s="32">
        <v>4</v>
      </c>
      <c r="I1025" s="25">
        <f t="shared" si="63"/>
        <v>2340.52</v>
      </c>
      <c r="J1025" s="40"/>
      <c r="K1025" s="39"/>
      <c r="L1025" s="39"/>
      <c r="M1025" s="39"/>
      <c r="N1025" s="23"/>
      <c r="O1025" s="39"/>
      <c r="P1025" s="39"/>
      <c r="Q1025" s="39"/>
      <c r="R1025" s="39"/>
    </row>
    <row r="1026" spans="1:18" s="2" customFormat="1" ht="26.4">
      <c r="A1026" s="20">
        <f t="shared" si="64"/>
        <v>958</v>
      </c>
      <c r="B1026" s="17" t="s">
        <v>1329</v>
      </c>
      <c r="C1026" s="17" t="s">
        <v>1330</v>
      </c>
      <c r="D1026" s="20" t="s">
        <v>5</v>
      </c>
      <c r="E1026" s="20" t="s">
        <v>6</v>
      </c>
      <c r="F1026" s="18">
        <v>1</v>
      </c>
      <c r="G1026" s="19">
        <v>687.13</v>
      </c>
      <c r="H1026" s="32">
        <v>1</v>
      </c>
      <c r="I1026" s="25">
        <f t="shared" si="63"/>
        <v>687.13</v>
      </c>
      <c r="J1026" s="40"/>
      <c r="K1026" s="39"/>
      <c r="L1026" s="39"/>
      <c r="M1026" s="39"/>
      <c r="N1026" s="23"/>
      <c r="O1026" s="39"/>
      <c r="P1026" s="39"/>
      <c r="Q1026" s="39"/>
      <c r="R1026" s="39"/>
    </row>
    <row r="1027" spans="1:18" ht="14.4">
      <c r="A1027" s="9" t="s">
        <v>61</v>
      </c>
      <c r="B1027" s="13" t="s">
        <v>1331</v>
      </c>
      <c r="C1027" s="13" t="s">
        <v>1332</v>
      </c>
      <c r="D1027" s="14"/>
      <c r="E1027" s="14"/>
      <c r="F1027" s="18"/>
      <c r="G1027" s="19"/>
      <c r="H1027" s="15"/>
      <c r="I1027" s="25"/>
      <c r="J1027" s="24"/>
      <c r="K1027" s="22"/>
      <c r="L1027" s="22"/>
      <c r="M1027" s="22"/>
      <c r="N1027" s="23"/>
      <c r="O1027" s="22"/>
      <c r="P1027" s="22"/>
      <c r="Q1027" s="22"/>
      <c r="R1027" s="22"/>
    </row>
    <row r="1028" spans="1:18" s="2" customFormat="1" ht="52.8">
      <c r="A1028" s="20">
        <f>A1026+1</f>
        <v>959</v>
      </c>
      <c r="B1028" s="17" t="s">
        <v>1333</v>
      </c>
      <c r="C1028" s="17" t="s">
        <v>1334</v>
      </c>
      <c r="D1028" s="20" t="s">
        <v>5</v>
      </c>
      <c r="E1028" s="20" t="s">
        <v>6</v>
      </c>
      <c r="F1028" s="18">
        <v>1</v>
      </c>
      <c r="G1028" s="19">
        <f>1.633198857*560.36</f>
        <v>915.17931150852007</v>
      </c>
      <c r="H1028" s="32">
        <f>H1042+H1043+H1044</f>
        <v>40</v>
      </c>
      <c r="I1028" s="25">
        <f t="shared" si="63"/>
        <v>36607.1724603408</v>
      </c>
      <c r="J1028" s="39"/>
      <c r="K1028" s="39"/>
      <c r="L1028" s="39"/>
      <c r="M1028" s="39"/>
      <c r="N1028" s="23"/>
      <c r="O1028" s="39"/>
      <c r="P1028" s="39"/>
      <c r="Q1028" s="39"/>
      <c r="R1028" s="39"/>
    </row>
    <row r="1029" spans="1:18" s="2" customFormat="1" ht="26.4">
      <c r="A1029" s="20">
        <f t="shared" ref="A1029:A1047" si="65">A1028+1</f>
        <v>960</v>
      </c>
      <c r="B1029" s="17" t="s">
        <v>1335</v>
      </c>
      <c r="C1029" s="17" t="s">
        <v>1336</v>
      </c>
      <c r="D1029" s="20" t="s">
        <v>5</v>
      </c>
      <c r="E1029" s="20" t="s">
        <v>6</v>
      </c>
      <c r="F1029" s="18">
        <v>1</v>
      </c>
      <c r="G1029" s="19">
        <v>1332</v>
      </c>
      <c r="H1029" s="32">
        <v>298</v>
      </c>
      <c r="I1029" s="25">
        <f t="shared" si="63"/>
        <v>396936</v>
      </c>
      <c r="J1029" s="40"/>
      <c r="K1029" s="39"/>
      <c r="L1029" s="39"/>
      <c r="M1029" s="39"/>
      <c r="N1029" s="23"/>
      <c r="O1029" s="39"/>
      <c r="P1029" s="39"/>
      <c r="Q1029" s="39"/>
      <c r="R1029" s="39"/>
    </row>
    <row r="1030" spans="1:18" s="2" customFormat="1" ht="26.4">
      <c r="A1030" s="20">
        <f t="shared" si="65"/>
        <v>961</v>
      </c>
      <c r="B1030" s="17" t="s">
        <v>1337</v>
      </c>
      <c r="C1030" s="17" t="s">
        <v>1338</v>
      </c>
      <c r="D1030" s="20" t="s">
        <v>5</v>
      </c>
      <c r="E1030" s="20" t="s">
        <v>6</v>
      </c>
      <c r="F1030" s="18">
        <v>1</v>
      </c>
      <c r="G1030" s="19">
        <v>1332</v>
      </c>
      <c r="H1030" s="32">
        <v>30</v>
      </c>
      <c r="I1030" s="25">
        <f t="shared" si="63"/>
        <v>39960</v>
      </c>
      <c r="J1030" s="40"/>
      <c r="K1030" s="39"/>
      <c r="L1030" s="39"/>
      <c r="M1030" s="39"/>
      <c r="N1030" s="23"/>
      <c r="O1030" s="39"/>
      <c r="P1030" s="39"/>
      <c r="Q1030" s="39"/>
      <c r="R1030" s="39"/>
    </row>
    <row r="1031" spans="1:18" s="2" customFormat="1" ht="26.4">
      <c r="A1031" s="20">
        <f t="shared" si="65"/>
        <v>962</v>
      </c>
      <c r="B1031" s="17" t="s">
        <v>1339</v>
      </c>
      <c r="C1031" s="17" t="s">
        <v>1340</v>
      </c>
      <c r="D1031" s="20" t="s">
        <v>5</v>
      </c>
      <c r="E1031" s="20" t="s">
        <v>6</v>
      </c>
      <c r="F1031" s="18">
        <v>1</v>
      </c>
      <c r="G1031" s="19">
        <v>1332</v>
      </c>
      <c r="H1031" s="32">
        <v>265</v>
      </c>
      <c r="I1031" s="25">
        <f t="shared" si="63"/>
        <v>352980</v>
      </c>
      <c r="J1031" s="40"/>
      <c r="K1031" s="39"/>
      <c r="L1031" s="39"/>
      <c r="M1031" s="39"/>
      <c r="N1031" s="23"/>
      <c r="O1031" s="39"/>
      <c r="P1031" s="39"/>
      <c r="Q1031" s="39"/>
      <c r="R1031" s="39"/>
    </row>
    <row r="1032" spans="1:18" s="2" customFormat="1" ht="26.4">
      <c r="A1032" s="20">
        <f t="shared" si="65"/>
        <v>963</v>
      </c>
      <c r="B1032" s="17" t="s">
        <v>1341</v>
      </c>
      <c r="C1032" s="17" t="s">
        <v>1342</v>
      </c>
      <c r="D1032" s="20" t="s">
        <v>5</v>
      </c>
      <c r="E1032" s="20" t="s">
        <v>6</v>
      </c>
      <c r="F1032" s="18">
        <v>1</v>
      </c>
      <c r="G1032" s="19">
        <v>1332</v>
      </c>
      <c r="H1032" s="32">
        <v>90</v>
      </c>
      <c r="I1032" s="25">
        <f t="shared" si="63"/>
        <v>119880</v>
      </c>
      <c r="J1032" s="40"/>
      <c r="K1032" s="39"/>
      <c r="L1032" s="39"/>
      <c r="M1032" s="39"/>
      <c r="N1032" s="23"/>
      <c r="O1032" s="39"/>
      <c r="P1032" s="39"/>
      <c r="Q1032" s="39"/>
      <c r="R1032" s="39"/>
    </row>
    <row r="1033" spans="1:18" s="2" customFormat="1" ht="26.4">
      <c r="A1033" s="20">
        <f t="shared" si="65"/>
        <v>964</v>
      </c>
      <c r="B1033" s="17" t="s">
        <v>1343</v>
      </c>
      <c r="C1033" s="17" t="s">
        <v>1344</v>
      </c>
      <c r="D1033" s="20" t="s">
        <v>5</v>
      </c>
      <c r="E1033" s="20" t="s">
        <v>6</v>
      </c>
      <c r="F1033" s="18">
        <v>1</v>
      </c>
      <c r="G1033" s="19">
        <v>1332</v>
      </c>
      <c r="H1033" s="32">
        <v>15</v>
      </c>
      <c r="I1033" s="25">
        <f t="shared" si="63"/>
        <v>19980</v>
      </c>
      <c r="J1033" s="40"/>
      <c r="K1033" s="39"/>
      <c r="L1033" s="39"/>
      <c r="M1033" s="39"/>
      <c r="N1033" s="23"/>
      <c r="O1033" s="39"/>
      <c r="P1033" s="39"/>
      <c r="Q1033" s="39"/>
      <c r="R1033" s="39"/>
    </row>
    <row r="1034" spans="1:18" s="2" customFormat="1" ht="14.4">
      <c r="A1034" s="20">
        <f t="shared" si="65"/>
        <v>965</v>
      </c>
      <c r="B1034" s="17" t="s">
        <v>1345</v>
      </c>
      <c r="C1034" s="17" t="s">
        <v>1346</v>
      </c>
      <c r="D1034" s="20" t="s">
        <v>5</v>
      </c>
      <c r="E1034" s="20" t="s">
        <v>6</v>
      </c>
      <c r="F1034" s="18">
        <v>1</v>
      </c>
      <c r="G1034" s="19">
        <v>1164.79</v>
      </c>
      <c r="H1034" s="32">
        <v>1</v>
      </c>
      <c r="I1034" s="25">
        <f t="shared" si="63"/>
        <v>1164.79</v>
      </c>
      <c r="J1034" s="40"/>
      <c r="K1034" s="39"/>
      <c r="L1034" s="39"/>
      <c r="M1034" s="39"/>
      <c r="N1034" s="23"/>
      <c r="O1034" s="39"/>
      <c r="P1034" s="39"/>
      <c r="Q1034" s="39"/>
      <c r="R1034" s="39"/>
    </row>
    <row r="1035" spans="1:18" s="2" customFormat="1" ht="14.4">
      <c r="A1035" s="20">
        <f t="shared" si="65"/>
        <v>966</v>
      </c>
      <c r="B1035" s="17" t="s">
        <v>1347</v>
      </c>
      <c r="C1035" s="17" t="s">
        <v>1348</v>
      </c>
      <c r="D1035" s="20" t="s">
        <v>5</v>
      </c>
      <c r="E1035" s="20" t="s">
        <v>6</v>
      </c>
      <c r="F1035" s="18">
        <v>1</v>
      </c>
      <c r="G1035" s="19">
        <v>1000.57</v>
      </c>
      <c r="H1035" s="32">
        <v>1</v>
      </c>
      <c r="I1035" s="25">
        <f t="shared" ref="I1035:I1098" si="66">G1035*H1035</f>
        <v>1000.57</v>
      </c>
      <c r="J1035" s="40"/>
      <c r="K1035" s="39"/>
      <c r="L1035" s="39"/>
      <c r="M1035" s="39"/>
      <c r="N1035" s="23"/>
      <c r="O1035" s="39"/>
      <c r="P1035" s="39"/>
      <c r="Q1035" s="39"/>
      <c r="R1035" s="39"/>
    </row>
    <row r="1036" spans="1:18" s="2" customFormat="1" ht="14.4">
      <c r="A1036" s="20">
        <f t="shared" si="65"/>
        <v>967</v>
      </c>
      <c r="B1036" s="17" t="s">
        <v>1349</v>
      </c>
      <c r="C1036" s="17" t="s">
        <v>1350</v>
      </c>
      <c r="D1036" s="20" t="s">
        <v>5</v>
      </c>
      <c r="E1036" s="20" t="s">
        <v>6</v>
      </c>
      <c r="F1036" s="18">
        <v>1</v>
      </c>
      <c r="G1036" s="19">
        <f>3224.92/1.2</f>
        <v>2687.4333333333334</v>
      </c>
      <c r="H1036" s="32">
        <v>8</v>
      </c>
      <c r="I1036" s="25">
        <f t="shared" si="66"/>
        <v>21499.466666666667</v>
      </c>
      <c r="J1036" s="40"/>
      <c r="K1036" s="39"/>
      <c r="L1036" s="39"/>
      <c r="M1036" s="39"/>
      <c r="N1036" s="23"/>
      <c r="O1036" s="39"/>
      <c r="P1036" s="39"/>
      <c r="Q1036" s="39"/>
      <c r="R1036" s="39"/>
    </row>
    <row r="1037" spans="1:18" s="2" customFormat="1" ht="14.4">
      <c r="A1037" s="20">
        <f t="shared" si="65"/>
        <v>968</v>
      </c>
      <c r="B1037" s="17" t="s">
        <v>1351</v>
      </c>
      <c r="C1037" s="17" t="s">
        <v>1352</v>
      </c>
      <c r="D1037" s="20" t="s">
        <v>5</v>
      </c>
      <c r="E1037" s="20" t="s">
        <v>6</v>
      </c>
      <c r="F1037" s="18">
        <v>1</v>
      </c>
      <c r="G1037" s="19">
        <f>1658/1.2</f>
        <v>1381.6666666666667</v>
      </c>
      <c r="H1037" s="32">
        <v>6</v>
      </c>
      <c r="I1037" s="25">
        <f t="shared" si="66"/>
        <v>8290</v>
      </c>
      <c r="J1037" s="40"/>
      <c r="K1037" s="39"/>
      <c r="L1037" s="39"/>
      <c r="M1037" s="39"/>
      <c r="N1037" s="23"/>
      <c r="O1037" s="39"/>
      <c r="P1037" s="39"/>
      <c r="Q1037" s="39"/>
      <c r="R1037" s="39"/>
    </row>
    <row r="1038" spans="1:18" s="2" customFormat="1" ht="14.7" customHeight="1">
      <c r="A1038" s="20">
        <f t="shared" si="65"/>
        <v>969</v>
      </c>
      <c r="B1038" s="17" t="s">
        <v>1353</v>
      </c>
      <c r="C1038" s="17" t="s">
        <v>1354</v>
      </c>
      <c r="D1038" s="20" t="s">
        <v>5</v>
      </c>
      <c r="E1038" s="20" t="s">
        <v>6</v>
      </c>
      <c r="F1038" s="18">
        <v>1</v>
      </c>
      <c r="G1038" s="19">
        <f>1090/1.2</f>
        <v>908.33333333333337</v>
      </c>
      <c r="H1038" s="32">
        <v>32</v>
      </c>
      <c r="I1038" s="25">
        <f t="shared" si="66"/>
        <v>29066.666666666668</v>
      </c>
      <c r="J1038" s="40"/>
      <c r="K1038" s="39"/>
      <c r="L1038" s="39"/>
      <c r="M1038" s="39"/>
      <c r="N1038" s="23"/>
      <c r="O1038" s="39"/>
      <c r="P1038" s="39"/>
      <c r="Q1038" s="39"/>
      <c r="R1038" s="39"/>
    </row>
    <row r="1039" spans="1:18" s="2" customFormat="1" ht="14.4">
      <c r="A1039" s="20">
        <f t="shared" si="65"/>
        <v>970</v>
      </c>
      <c r="B1039" s="17" t="s">
        <v>1355</v>
      </c>
      <c r="C1039" s="17" t="s">
        <v>1356</v>
      </c>
      <c r="D1039" s="20" t="s">
        <v>5</v>
      </c>
      <c r="E1039" s="20" t="s">
        <v>6</v>
      </c>
      <c r="F1039" s="18">
        <v>1</v>
      </c>
      <c r="G1039" s="19">
        <f>5600/1.2</f>
        <v>4666.666666666667</v>
      </c>
      <c r="H1039" s="32">
        <v>1</v>
      </c>
      <c r="I1039" s="25">
        <f t="shared" si="66"/>
        <v>4666.666666666667</v>
      </c>
      <c r="J1039" s="40"/>
      <c r="K1039" s="39"/>
      <c r="L1039" s="39"/>
      <c r="M1039" s="39"/>
      <c r="N1039" s="23"/>
      <c r="O1039" s="39"/>
      <c r="P1039" s="39"/>
      <c r="Q1039" s="39"/>
      <c r="R1039" s="39"/>
    </row>
    <row r="1040" spans="1:18" s="2" customFormat="1" ht="26.4">
      <c r="A1040" s="20">
        <f t="shared" si="65"/>
        <v>971</v>
      </c>
      <c r="B1040" s="17" t="s">
        <v>1357</v>
      </c>
      <c r="C1040" s="17" t="s">
        <v>1358</v>
      </c>
      <c r="D1040" s="20" t="s">
        <v>5</v>
      </c>
      <c r="E1040" s="20" t="s">
        <v>6</v>
      </c>
      <c r="F1040" s="18">
        <v>1</v>
      </c>
      <c r="G1040" s="19">
        <f>799/1.2</f>
        <v>665.83333333333337</v>
      </c>
      <c r="H1040" s="32">
        <v>234</v>
      </c>
      <c r="I1040" s="25">
        <f t="shared" si="66"/>
        <v>155805</v>
      </c>
      <c r="J1040" s="40"/>
      <c r="K1040" s="39"/>
      <c r="L1040" s="39"/>
      <c r="M1040" s="39"/>
      <c r="N1040" s="23"/>
      <c r="O1040" s="39"/>
      <c r="P1040" s="39"/>
      <c r="Q1040" s="39"/>
      <c r="R1040" s="39"/>
    </row>
    <row r="1041" spans="1:18" s="2" customFormat="1" ht="14.4">
      <c r="A1041" s="20">
        <f t="shared" si="65"/>
        <v>972</v>
      </c>
      <c r="B1041" s="17" t="s">
        <v>1359</v>
      </c>
      <c r="C1041" s="17" t="s">
        <v>1360</v>
      </c>
      <c r="D1041" s="20" t="s">
        <v>5</v>
      </c>
      <c r="E1041" s="20" t="s">
        <v>6</v>
      </c>
      <c r="F1041" s="18">
        <v>1</v>
      </c>
      <c r="G1041" s="19">
        <f>1.633198857*216.64</f>
        <v>353.81620038047998</v>
      </c>
      <c r="H1041" s="32">
        <f>H1038+H1033+H1032+H1031+H1030+H1029</f>
        <v>730</v>
      </c>
      <c r="I1041" s="25">
        <f t="shared" si="66"/>
        <v>258285.8262777504</v>
      </c>
      <c r="J1041" s="40"/>
      <c r="K1041" s="39"/>
      <c r="L1041" s="39"/>
      <c r="M1041" s="39"/>
      <c r="N1041" s="23"/>
      <c r="O1041" s="39"/>
      <c r="P1041" s="39"/>
      <c r="Q1041" s="39"/>
      <c r="R1041" s="39"/>
    </row>
    <row r="1042" spans="1:18" s="2" customFormat="1" ht="14.4">
      <c r="A1042" s="20">
        <f t="shared" si="65"/>
        <v>973</v>
      </c>
      <c r="B1042" s="17" t="s">
        <v>1361</v>
      </c>
      <c r="C1042" s="17" t="s">
        <v>1362</v>
      </c>
      <c r="D1042" s="20" t="s">
        <v>5</v>
      </c>
      <c r="E1042" s="20" t="s">
        <v>6</v>
      </c>
      <c r="F1042" s="18">
        <v>1</v>
      </c>
      <c r="G1042" s="19">
        <v>1000.57</v>
      </c>
      <c r="H1042" s="32">
        <v>2</v>
      </c>
      <c r="I1042" s="25">
        <f t="shared" si="66"/>
        <v>2001.14</v>
      </c>
      <c r="J1042" s="40"/>
      <c r="K1042" s="39"/>
      <c r="L1042" s="39"/>
      <c r="M1042" s="39"/>
      <c r="N1042" s="23"/>
      <c r="O1042" s="39"/>
      <c r="P1042" s="39"/>
      <c r="Q1042" s="39"/>
      <c r="R1042" s="39"/>
    </row>
    <row r="1043" spans="1:18" s="2" customFormat="1" ht="14.4">
      <c r="A1043" s="20">
        <f t="shared" si="65"/>
        <v>974</v>
      </c>
      <c r="B1043" s="17" t="s">
        <v>1363</v>
      </c>
      <c r="C1043" s="17" t="s">
        <v>1364</v>
      </c>
      <c r="D1043" s="20" t="s">
        <v>5</v>
      </c>
      <c r="E1043" s="20" t="s">
        <v>6</v>
      </c>
      <c r="F1043" s="18">
        <v>1</v>
      </c>
      <c r="G1043" s="19">
        <v>1000.57</v>
      </c>
      <c r="H1043" s="32">
        <v>33</v>
      </c>
      <c r="I1043" s="25">
        <f t="shared" si="66"/>
        <v>33018.810000000005</v>
      </c>
      <c r="J1043" s="39"/>
      <c r="K1043" s="39"/>
      <c r="L1043" s="39"/>
      <c r="M1043" s="39"/>
      <c r="N1043" s="23"/>
      <c r="O1043" s="39"/>
      <c r="P1043" s="39"/>
      <c r="Q1043" s="39"/>
      <c r="R1043" s="39"/>
    </row>
    <row r="1044" spans="1:18" s="2" customFormat="1" ht="14.4">
      <c r="A1044" s="20">
        <f t="shared" si="65"/>
        <v>975</v>
      </c>
      <c r="B1044" s="17"/>
      <c r="C1044" s="17" t="s">
        <v>1365</v>
      </c>
      <c r="D1044" s="20" t="s">
        <v>5</v>
      </c>
      <c r="E1044" s="20" t="s">
        <v>6</v>
      </c>
      <c r="F1044" s="18">
        <v>1</v>
      </c>
      <c r="G1044" s="19">
        <v>1000.57</v>
      </c>
      <c r="H1044" s="32">
        <v>5</v>
      </c>
      <c r="I1044" s="25">
        <f t="shared" si="66"/>
        <v>5002.8500000000004</v>
      </c>
      <c r="J1044" s="39"/>
      <c r="K1044" s="39"/>
      <c r="L1044" s="39"/>
      <c r="M1044" s="39"/>
      <c r="N1044" s="23"/>
      <c r="O1044" s="39"/>
      <c r="P1044" s="39"/>
      <c r="Q1044" s="39"/>
      <c r="R1044" s="39"/>
    </row>
    <row r="1045" spans="1:18" s="2" customFormat="1" ht="39.6">
      <c r="A1045" s="20">
        <f t="shared" si="65"/>
        <v>976</v>
      </c>
      <c r="B1045" s="17" t="s">
        <v>1366</v>
      </c>
      <c r="C1045" s="17" t="s">
        <v>1367</v>
      </c>
      <c r="D1045" s="20" t="s">
        <v>5</v>
      </c>
      <c r="E1045" s="20" t="s">
        <v>6</v>
      </c>
      <c r="F1045" s="18">
        <v>1</v>
      </c>
      <c r="G1045" s="19">
        <f>1.633198857*216.64</f>
        <v>353.81620038047998</v>
      </c>
      <c r="H1045" s="32">
        <f>H1046</f>
        <v>132</v>
      </c>
      <c r="I1045" s="25">
        <f t="shared" si="66"/>
        <v>46703.738450223354</v>
      </c>
      <c r="J1045" s="40"/>
      <c r="K1045" s="39"/>
      <c r="L1045" s="39"/>
      <c r="M1045" s="39"/>
      <c r="N1045" s="23"/>
      <c r="O1045" s="39"/>
      <c r="P1045" s="39"/>
      <c r="Q1045" s="39"/>
      <c r="R1045" s="39"/>
    </row>
    <row r="1046" spans="1:18" s="2" customFormat="1" ht="14.4">
      <c r="A1046" s="20">
        <f t="shared" si="65"/>
        <v>977</v>
      </c>
      <c r="B1046" s="17" t="s">
        <v>1368</v>
      </c>
      <c r="C1046" s="17" t="s">
        <v>1369</v>
      </c>
      <c r="D1046" s="20" t="s">
        <v>5</v>
      </c>
      <c r="E1046" s="20" t="s">
        <v>6</v>
      </c>
      <c r="F1046" s="18">
        <v>1</v>
      </c>
      <c r="G1046" s="19">
        <v>1408.57</v>
      </c>
      <c r="H1046" s="32">
        <f>85+38+1+8</f>
        <v>132</v>
      </c>
      <c r="I1046" s="25">
        <f t="shared" si="66"/>
        <v>185931.24</v>
      </c>
      <c r="J1046" s="40"/>
      <c r="K1046" s="39"/>
      <c r="L1046" s="39"/>
      <c r="M1046" s="39"/>
      <c r="N1046" s="23"/>
      <c r="O1046" s="39"/>
      <c r="P1046" s="39"/>
      <c r="Q1046" s="39"/>
      <c r="R1046" s="39"/>
    </row>
    <row r="1047" spans="1:18" s="2" customFormat="1" ht="26.4">
      <c r="A1047" s="20">
        <f t="shared" si="65"/>
        <v>978</v>
      </c>
      <c r="B1047" s="17" t="s">
        <v>1370</v>
      </c>
      <c r="C1047" s="17" t="s">
        <v>1371</v>
      </c>
      <c r="D1047" s="20" t="s">
        <v>5</v>
      </c>
      <c r="E1047" s="20" t="s">
        <v>6</v>
      </c>
      <c r="F1047" s="18">
        <v>1</v>
      </c>
      <c r="G1047" s="19">
        <f>1.633198857*224.57</f>
        <v>366.76746731649001</v>
      </c>
      <c r="H1047" s="32">
        <f>H1039+H1038+H1037+H1036+H1035+H1034</f>
        <v>49</v>
      </c>
      <c r="I1047" s="25">
        <f t="shared" si="66"/>
        <v>17971.605898508009</v>
      </c>
      <c r="J1047" s="40"/>
      <c r="K1047" s="39"/>
      <c r="L1047" s="39"/>
      <c r="M1047" s="39"/>
      <c r="N1047" s="23"/>
      <c r="O1047" s="39"/>
      <c r="P1047" s="39"/>
      <c r="Q1047" s="39"/>
      <c r="R1047" s="39"/>
    </row>
    <row r="1048" spans="1:18" ht="14.4">
      <c r="A1048" s="9" t="s">
        <v>61</v>
      </c>
      <c r="B1048" s="13" t="s">
        <v>1372</v>
      </c>
      <c r="C1048" s="13" t="s">
        <v>1373</v>
      </c>
      <c r="D1048" s="14"/>
      <c r="E1048" s="14"/>
      <c r="F1048" s="18"/>
      <c r="G1048" s="19"/>
      <c r="H1048" s="15"/>
      <c r="I1048" s="25"/>
      <c r="J1048" s="24"/>
      <c r="K1048" s="22"/>
      <c r="L1048" s="22"/>
      <c r="M1048" s="22"/>
      <c r="N1048" s="23"/>
      <c r="O1048" s="22"/>
      <c r="P1048" s="22"/>
      <c r="Q1048" s="22"/>
      <c r="R1048" s="22"/>
    </row>
    <row r="1049" spans="1:18" s="2" customFormat="1" ht="26.4">
      <c r="A1049" s="20">
        <f>A1047+1</f>
        <v>979</v>
      </c>
      <c r="B1049" s="17" t="s">
        <v>1374</v>
      </c>
      <c r="C1049" s="17" t="s">
        <v>1375</v>
      </c>
      <c r="D1049" s="20" t="s">
        <v>5</v>
      </c>
      <c r="E1049" s="20" t="s">
        <v>6</v>
      </c>
      <c r="F1049" s="18">
        <v>1</v>
      </c>
      <c r="G1049" s="19">
        <f>1.633198857*45.23</f>
        <v>73.869584302109999</v>
      </c>
      <c r="H1049" s="32">
        <f>SUM(H1050:H1052)</f>
        <v>117</v>
      </c>
      <c r="I1049" s="25">
        <f t="shared" si="66"/>
        <v>8642.7413633468695</v>
      </c>
      <c r="J1049" s="40"/>
      <c r="K1049" s="39"/>
      <c r="L1049" s="39"/>
      <c r="M1049" s="39"/>
      <c r="N1049" s="23"/>
      <c r="O1049" s="39"/>
      <c r="P1049" s="39"/>
      <c r="Q1049" s="39"/>
      <c r="R1049" s="39"/>
    </row>
    <row r="1050" spans="1:18" s="2" customFormat="1" ht="26.4">
      <c r="A1050" s="20">
        <f>A1049+1</f>
        <v>980</v>
      </c>
      <c r="B1050" s="17" t="s">
        <v>1376</v>
      </c>
      <c r="C1050" s="17" t="s">
        <v>1377</v>
      </c>
      <c r="D1050" s="20" t="s">
        <v>5</v>
      </c>
      <c r="E1050" s="20" t="s">
        <v>6</v>
      </c>
      <c r="F1050" s="18">
        <v>1</v>
      </c>
      <c r="G1050" s="19">
        <v>150.29</v>
      </c>
      <c r="H1050" s="32">
        <v>101</v>
      </c>
      <c r="I1050" s="25">
        <f t="shared" si="66"/>
        <v>15179.289999999999</v>
      </c>
      <c r="J1050" s="40"/>
      <c r="K1050" s="39"/>
      <c r="L1050" s="39"/>
      <c r="M1050" s="39"/>
      <c r="N1050" s="23"/>
      <c r="O1050" s="39"/>
      <c r="P1050" s="39"/>
      <c r="Q1050" s="39"/>
      <c r="R1050" s="39"/>
    </row>
    <row r="1051" spans="1:18" s="2" customFormat="1" ht="39.6">
      <c r="A1051" s="20">
        <f t="shared" ref="A1051:A1070" si="67">A1050+1</f>
        <v>981</v>
      </c>
      <c r="B1051" s="17" t="s">
        <v>1378</v>
      </c>
      <c r="C1051" s="17" t="s">
        <v>1379</v>
      </c>
      <c r="D1051" s="20" t="s">
        <v>5</v>
      </c>
      <c r="E1051" s="20" t="s">
        <v>6</v>
      </c>
      <c r="F1051" s="18">
        <v>1</v>
      </c>
      <c r="G1051" s="19">
        <v>172.04</v>
      </c>
      <c r="H1051" s="32">
        <v>12</v>
      </c>
      <c r="I1051" s="25">
        <f t="shared" si="66"/>
        <v>2064.48</v>
      </c>
      <c r="J1051" s="40"/>
      <c r="K1051" s="39"/>
      <c r="L1051" s="39"/>
      <c r="M1051" s="39"/>
      <c r="N1051" s="23"/>
      <c r="O1051" s="39"/>
      <c r="P1051" s="39"/>
      <c r="Q1051" s="39"/>
      <c r="R1051" s="39"/>
    </row>
    <row r="1052" spans="1:18" s="2" customFormat="1" ht="26.4">
      <c r="A1052" s="20">
        <f t="shared" si="67"/>
        <v>982</v>
      </c>
      <c r="B1052" s="17" t="s">
        <v>1380</v>
      </c>
      <c r="C1052" s="17" t="s">
        <v>1381</v>
      </c>
      <c r="D1052" s="20" t="s">
        <v>5</v>
      </c>
      <c r="E1052" s="20" t="s">
        <v>6</v>
      </c>
      <c r="F1052" s="18">
        <v>1</v>
      </c>
      <c r="G1052" s="19">
        <v>172.04</v>
      </c>
      <c r="H1052" s="32">
        <v>4</v>
      </c>
      <c r="I1052" s="25">
        <f t="shared" si="66"/>
        <v>688.16</v>
      </c>
      <c r="J1052" s="40"/>
      <c r="K1052" s="39"/>
      <c r="L1052" s="39"/>
      <c r="M1052" s="39"/>
      <c r="N1052" s="23"/>
      <c r="O1052" s="39"/>
      <c r="P1052" s="39"/>
      <c r="Q1052" s="39"/>
      <c r="R1052" s="39"/>
    </row>
    <row r="1053" spans="1:18" s="2" customFormat="1" ht="26.4">
      <c r="A1053" s="20">
        <f t="shared" si="67"/>
        <v>983</v>
      </c>
      <c r="B1053" s="17" t="s">
        <v>1382</v>
      </c>
      <c r="C1053" s="17" t="s">
        <v>1383</v>
      </c>
      <c r="D1053" s="20" t="s">
        <v>5</v>
      </c>
      <c r="E1053" s="20" t="s">
        <v>6</v>
      </c>
      <c r="F1053" s="18">
        <v>1</v>
      </c>
      <c r="G1053" s="19">
        <f>1.633198857*48.08</f>
        <v>78.524201044560002</v>
      </c>
      <c r="H1053" s="32">
        <v>45</v>
      </c>
      <c r="I1053" s="25">
        <f t="shared" si="66"/>
        <v>3533.5890470052</v>
      </c>
      <c r="J1053" s="40"/>
      <c r="K1053" s="39"/>
      <c r="L1053" s="39"/>
      <c r="M1053" s="39"/>
      <c r="N1053" s="23"/>
      <c r="O1053" s="39"/>
      <c r="P1053" s="39"/>
      <c r="Q1053" s="39"/>
      <c r="R1053" s="39"/>
    </row>
    <row r="1054" spans="1:18" s="2" customFormat="1" ht="26.4">
      <c r="A1054" s="20">
        <f t="shared" si="67"/>
        <v>984</v>
      </c>
      <c r="B1054" s="17" t="s">
        <v>1384</v>
      </c>
      <c r="C1054" s="17" t="s">
        <v>1385</v>
      </c>
      <c r="D1054" s="20" t="s">
        <v>5</v>
      </c>
      <c r="E1054" s="20" t="s">
        <v>6</v>
      </c>
      <c r="F1054" s="18">
        <v>1</v>
      </c>
      <c r="G1054" s="19">
        <v>150.29</v>
      </c>
      <c r="H1054" s="32">
        <v>41</v>
      </c>
      <c r="I1054" s="25">
        <f t="shared" si="66"/>
        <v>6161.8899999999994</v>
      </c>
      <c r="J1054" s="40"/>
      <c r="K1054" s="39"/>
      <c r="L1054" s="39"/>
      <c r="M1054" s="39"/>
      <c r="N1054" s="23"/>
      <c r="O1054" s="39"/>
      <c r="P1054" s="39"/>
      <c r="Q1054" s="39"/>
      <c r="R1054" s="39"/>
    </row>
    <row r="1055" spans="1:18" s="2" customFormat="1" ht="26.4">
      <c r="A1055" s="20">
        <f t="shared" si="67"/>
        <v>985</v>
      </c>
      <c r="B1055" s="17" t="s">
        <v>1386</v>
      </c>
      <c r="C1055" s="17" t="s">
        <v>1387</v>
      </c>
      <c r="D1055" s="20" t="s">
        <v>5</v>
      </c>
      <c r="E1055" s="20" t="s">
        <v>6</v>
      </c>
      <c r="F1055" s="18">
        <v>1</v>
      </c>
      <c r="G1055" s="19">
        <v>150.29</v>
      </c>
      <c r="H1055" s="32">
        <v>4</v>
      </c>
      <c r="I1055" s="25">
        <f t="shared" si="66"/>
        <v>601.16</v>
      </c>
      <c r="J1055" s="40"/>
      <c r="K1055" s="39"/>
      <c r="L1055" s="39"/>
      <c r="M1055" s="39"/>
      <c r="N1055" s="23"/>
      <c r="O1055" s="39"/>
      <c r="P1055" s="39"/>
      <c r="Q1055" s="39"/>
      <c r="R1055" s="39"/>
    </row>
    <row r="1056" spans="1:18" s="2" customFormat="1" ht="26.4">
      <c r="A1056" s="20">
        <f t="shared" si="67"/>
        <v>986</v>
      </c>
      <c r="B1056" s="17" t="s">
        <v>1388</v>
      </c>
      <c r="C1056" s="17" t="s">
        <v>1389</v>
      </c>
      <c r="D1056" s="20" t="s">
        <v>5</v>
      </c>
      <c r="E1056" s="20" t="s">
        <v>6</v>
      </c>
      <c r="F1056" s="18">
        <v>1</v>
      </c>
      <c r="G1056" s="19">
        <f>1.633198857*45.28</f>
        <v>73.951244244960009</v>
      </c>
      <c r="H1056" s="32">
        <f>SUM(H1057:H1058)</f>
        <v>421</v>
      </c>
      <c r="I1056" s="25">
        <f t="shared" si="66"/>
        <v>31133.473827128164</v>
      </c>
      <c r="J1056" s="40"/>
      <c r="K1056" s="39"/>
      <c r="L1056" s="39"/>
      <c r="M1056" s="39"/>
      <c r="N1056" s="23"/>
      <c r="O1056" s="39"/>
      <c r="P1056" s="39"/>
      <c r="Q1056" s="39"/>
      <c r="R1056" s="39"/>
    </row>
    <row r="1057" spans="1:18" s="2" customFormat="1" ht="26.4">
      <c r="A1057" s="20">
        <f t="shared" si="67"/>
        <v>987</v>
      </c>
      <c r="B1057" s="17" t="s">
        <v>1390</v>
      </c>
      <c r="C1057" s="17" t="s">
        <v>1391</v>
      </c>
      <c r="D1057" s="20" t="s">
        <v>5</v>
      </c>
      <c r="E1057" s="20" t="s">
        <v>6</v>
      </c>
      <c r="F1057" s="18">
        <v>1</v>
      </c>
      <c r="G1057" s="19">
        <v>216.1</v>
      </c>
      <c r="H1057" s="32">
        <v>399</v>
      </c>
      <c r="I1057" s="25">
        <f t="shared" si="66"/>
        <v>86223.9</v>
      </c>
      <c r="J1057" s="40"/>
      <c r="K1057" s="39"/>
      <c r="L1057" s="39"/>
      <c r="M1057" s="39"/>
      <c r="N1057" s="23"/>
      <c r="O1057" s="39"/>
      <c r="P1057" s="39"/>
      <c r="Q1057" s="39"/>
      <c r="R1057" s="39"/>
    </row>
    <row r="1058" spans="1:18" s="2" customFormat="1" ht="39.6">
      <c r="A1058" s="20">
        <f t="shared" si="67"/>
        <v>988</v>
      </c>
      <c r="B1058" s="17" t="s">
        <v>1392</v>
      </c>
      <c r="C1058" s="17" t="s">
        <v>1393</v>
      </c>
      <c r="D1058" s="20" t="s">
        <v>5</v>
      </c>
      <c r="E1058" s="20" t="s">
        <v>6</v>
      </c>
      <c r="F1058" s="18">
        <v>1</v>
      </c>
      <c r="G1058" s="19">
        <v>216.1</v>
      </c>
      <c r="H1058" s="32">
        <v>22</v>
      </c>
      <c r="I1058" s="25">
        <f t="shared" si="66"/>
        <v>4754.2</v>
      </c>
      <c r="J1058" s="40"/>
      <c r="K1058" s="39"/>
      <c r="L1058" s="39"/>
      <c r="M1058" s="39"/>
      <c r="N1058" s="23"/>
      <c r="O1058" s="39"/>
      <c r="P1058" s="39"/>
      <c r="Q1058" s="39"/>
      <c r="R1058" s="39"/>
    </row>
    <row r="1059" spans="1:18" s="2" customFormat="1" ht="26.4">
      <c r="A1059" s="20">
        <f t="shared" si="67"/>
        <v>989</v>
      </c>
      <c r="B1059" s="17" t="s">
        <v>1394</v>
      </c>
      <c r="C1059" s="17" t="s">
        <v>1395</v>
      </c>
      <c r="D1059" s="20" t="s">
        <v>5</v>
      </c>
      <c r="E1059" s="20" t="s">
        <v>6</v>
      </c>
      <c r="F1059" s="18">
        <v>1</v>
      </c>
      <c r="G1059" s="19">
        <v>73.95</v>
      </c>
      <c r="H1059" s="32">
        <f>SUM(H1060:H1063)</f>
        <v>66</v>
      </c>
      <c r="I1059" s="25">
        <f t="shared" si="66"/>
        <v>4880.7</v>
      </c>
      <c r="J1059" s="40"/>
      <c r="K1059" s="39"/>
      <c r="L1059" s="39"/>
      <c r="M1059" s="39"/>
      <c r="N1059" s="23"/>
      <c r="O1059" s="39"/>
      <c r="P1059" s="39"/>
      <c r="Q1059" s="39"/>
      <c r="R1059" s="39"/>
    </row>
    <row r="1060" spans="1:18" s="2" customFormat="1" ht="26.4">
      <c r="A1060" s="20">
        <f t="shared" si="67"/>
        <v>990</v>
      </c>
      <c r="B1060" s="17" t="s">
        <v>1396</v>
      </c>
      <c r="C1060" s="17" t="s">
        <v>1397</v>
      </c>
      <c r="D1060" s="20" t="s">
        <v>5</v>
      </c>
      <c r="E1060" s="20" t="s">
        <v>6</v>
      </c>
      <c r="F1060" s="18">
        <v>1</v>
      </c>
      <c r="G1060" s="19">
        <v>216.1</v>
      </c>
      <c r="H1060" s="32">
        <v>20</v>
      </c>
      <c r="I1060" s="25">
        <f t="shared" si="66"/>
        <v>4322</v>
      </c>
      <c r="J1060" s="40"/>
      <c r="K1060" s="39"/>
      <c r="L1060" s="39"/>
      <c r="M1060" s="39"/>
      <c r="N1060" s="23"/>
      <c r="O1060" s="39"/>
      <c r="P1060" s="39"/>
      <c r="Q1060" s="39"/>
      <c r="R1060" s="39"/>
    </row>
    <row r="1061" spans="1:18" s="2" customFormat="1" ht="52.8">
      <c r="A1061" s="20">
        <f t="shared" si="67"/>
        <v>991</v>
      </c>
      <c r="B1061" s="17" t="s">
        <v>1398</v>
      </c>
      <c r="C1061" s="17" t="s">
        <v>1399</v>
      </c>
      <c r="D1061" s="20" t="s">
        <v>5</v>
      </c>
      <c r="E1061" s="20" t="s">
        <v>6</v>
      </c>
      <c r="F1061" s="18">
        <v>1</v>
      </c>
      <c r="G1061" s="19">
        <v>216.1</v>
      </c>
      <c r="H1061" s="32">
        <v>32</v>
      </c>
      <c r="I1061" s="25">
        <f t="shared" si="66"/>
        <v>6915.2</v>
      </c>
      <c r="J1061" s="40"/>
      <c r="K1061" s="39"/>
      <c r="L1061" s="39"/>
      <c r="M1061" s="39"/>
      <c r="N1061" s="23"/>
      <c r="O1061" s="39"/>
      <c r="P1061" s="39"/>
      <c r="Q1061" s="39"/>
      <c r="R1061" s="39"/>
    </row>
    <row r="1062" spans="1:18" s="2" customFormat="1" ht="39.6">
      <c r="A1062" s="20">
        <f t="shared" si="67"/>
        <v>992</v>
      </c>
      <c r="B1062" s="17" t="s">
        <v>1400</v>
      </c>
      <c r="C1062" s="17" t="s">
        <v>1401</v>
      </c>
      <c r="D1062" s="20" t="s">
        <v>5</v>
      </c>
      <c r="E1062" s="20" t="s">
        <v>6</v>
      </c>
      <c r="F1062" s="18">
        <v>1</v>
      </c>
      <c r="G1062" s="19">
        <v>216.1</v>
      </c>
      <c r="H1062" s="32">
        <v>13</v>
      </c>
      <c r="I1062" s="25">
        <f t="shared" si="66"/>
        <v>2809.2999999999997</v>
      </c>
      <c r="J1062" s="40"/>
      <c r="K1062" s="39"/>
      <c r="L1062" s="39"/>
      <c r="M1062" s="39"/>
      <c r="N1062" s="23"/>
      <c r="O1062" s="39"/>
      <c r="P1062" s="39"/>
      <c r="Q1062" s="39"/>
      <c r="R1062" s="39"/>
    </row>
    <row r="1063" spans="1:18" s="2" customFormat="1" ht="26.4">
      <c r="A1063" s="20">
        <f t="shared" si="67"/>
        <v>993</v>
      </c>
      <c r="B1063" s="17" t="s">
        <v>1402</v>
      </c>
      <c r="C1063" s="17" t="s">
        <v>1403</v>
      </c>
      <c r="D1063" s="20" t="s">
        <v>5</v>
      </c>
      <c r="E1063" s="20" t="s">
        <v>6</v>
      </c>
      <c r="F1063" s="18">
        <v>1</v>
      </c>
      <c r="G1063" s="19">
        <v>216.1</v>
      </c>
      <c r="H1063" s="32">
        <v>1</v>
      </c>
      <c r="I1063" s="25">
        <f t="shared" si="66"/>
        <v>216.1</v>
      </c>
      <c r="J1063" s="40"/>
      <c r="K1063" s="39"/>
      <c r="L1063" s="39"/>
      <c r="M1063" s="39"/>
      <c r="N1063" s="23"/>
      <c r="O1063" s="39"/>
      <c r="P1063" s="39"/>
      <c r="Q1063" s="39"/>
      <c r="R1063" s="39"/>
    </row>
    <row r="1064" spans="1:18" s="2" customFormat="1" ht="14.4">
      <c r="A1064" s="20">
        <f t="shared" si="67"/>
        <v>994</v>
      </c>
      <c r="B1064" s="17" t="s">
        <v>1404</v>
      </c>
      <c r="C1064" s="17" t="s">
        <v>1405</v>
      </c>
      <c r="D1064" s="20" t="s">
        <v>5</v>
      </c>
      <c r="E1064" s="20" t="s">
        <v>6</v>
      </c>
      <c r="F1064" s="18">
        <v>1</v>
      </c>
      <c r="G1064" s="19">
        <v>206</v>
      </c>
      <c r="H1064" s="32">
        <v>2</v>
      </c>
      <c r="I1064" s="25">
        <f t="shared" si="66"/>
        <v>412</v>
      </c>
      <c r="J1064" s="40"/>
      <c r="K1064" s="39"/>
      <c r="L1064" s="39"/>
      <c r="M1064" s="39"/>
      <c r="N1064" s="23"/>
      <c r="O1064" s="39"/>
      <c r="P1064" s="39"/>
      <c r="Q1064" s="39"/>
      <c r="R1064" s="39"/>
    </row>
    <row r="1065" spans="1:18" s="2" customFormat="1" ht="14.4">
      <c r="A1065" s="20">
        <f t="shared" si="67"/>
        <v>995</v>
      </c>
      <c r="B1065" s="17" t="s">
        <v>1406</v>
      </c>
      <c r="C1065" s="17" t="s">
        <v>1407</v>
      </c>
      <c r="D1065" s="20" t="s">
        <v>5</v>
      </c>
      <c r="E1065" s="20" t="s">
        <v>6</v>
      </c>
      <c r="F1065" s="18">
        <v>1</v>
      </c>
      <c r="G1065" s="19">
        <v>548</v>
      </c>
      <c r="H1065" s="32">
        <v>2</v>
      </c>
      <c r="I1065" s="25">
        <f t="shared" si="66"/>
        <v>1096</v>
      </c>
      <c r="J1065" s="40"/>
      <c r="K1065" s="39"/>
      <c r="L1065" s="39"/>
      <c r="M1065" s="39"/>
      <c r="N1065" s="23"/>
      <c r="O1065" s="39"/>
      <c r="P1065" s="39"/>
      <c r="Q1065" s="39"/>
      <c r="R1065" s="39"/>
    </row>
    <row r="1066" spans="1:18" s="2" customFormat="1" ht="14.4">
      <c r="A1066" s="20">
        <f t="shared" si="67"/>
        <v>996</v>
      </c>
      <c r="B1066" s="17" t="s">
        <v>1408</v>
      </c>
      <c r="C1066" s="17" t="s">
        <v>1409</v>
      </c>
      <c r="D1066" s="20" t="s">
        <v>5</v>
      </c>
      <c r="E1066" s="20" t="s">
        <v>6</v>
      </c>
      <c r="F1066" s="18">
        <v>1</v>
      </c>
      <c r="G1066" s="19">
        <v>46</v>
      </c>
      <c r="H1066" s="32">
        <v>53</v>
      </c>
      <c r="I1066" s="25">
        <f t="shared" si="66"/>
        <v>2438</v>
      </c>
      <c r="J1066" s="40"/>
      <c r="K1066" s="39"/>
      <c r="L1066" s="39"/>
      <c r="M1066" s="39"/>
      <c r="N1066" s="23"/>
      <c r="O1066" s="39"/>
      <c r="P1066" s="39"/>
      <c r="Q1066" s="39"/>
      <c r="R1066" s="39"/>
    </row>
    <row r="1067" spans="1:18" s="2" customFormat="1" ht="14.4">
      <c r="A1067" s="20">
        <f t="shared" si="67"/>
        <v>997</v>
      </c>
      <c r="B1067" s="17" t="s">
        <v>1410</v>
      </c>
      <c r="C1067" s="17" t="s">
        <v>1411</v>
      </c>
      <c r="D1067" s="20" t="s">
        <v>5</v>
      </c>
      <c r="E1067" s="20" t="s">
        <v>6</v>
      </c>
      <c r="F1067" s="18">
        <v>1</v>
      </c>
      <c r="G1067" s="19">
        <v>52</v>
      </c>
      <c r="H1067" s="32">
        <v>25</v>
      </c>
      <c r="I1067" s="25">
        <f t="shared" si="66"/>
        <v>1300</v>
      </c>
      <c r="J1067" s="40"/>
      <c r="K1067" s="39"/>
      <c r="L1067" s="39"/>
      <c r="M1067" s="39"/>
      <c r="N1067" s="23"/>
      <c r="O1067" s="39"/>
      <c r="P1067" s="39"/>
      <c r="Q1067" s="39"/>
      <c r="R1067" s="39"/>
    </row>
    <row r="1068" spans="1:18" s="2" customFormat="1" ht="14.4">
      <c r="A1068" s="20">
        <f t="shared" si="67"/>
        <v>998</v>
      </c>
      <c r="B1068" s="17" t="s">
        <v>1412</v>
      </c>
      <c r="C1068" s="17" t="s">
        <v>1413</v>
      </c>
      <c r="D1068" s="20" t="s">
        <v>5</v>
      </c>
      <c r="E1068" s="20" t="s">
        <v>6</v>
      </c>
      <c r="F1068" s="18">
        <v>1</v>
      </c>
      <c r="G1068" s="19">
        <v>77</v>
      </c>
      <c r="H1068" s="32">
        <v>52</v>
      </c>
      <c r="I1068" s="25">
        <f t="shared" si="66"/>
        <v>4004</v>
      </c>
      <c r="J1068" s="40"/>
      <c r="K1068" s="39"/>
      <c r="L1068" s="39"/>
      <c r="M1068" s="39"/>
      <c r="N1068" s="23"/>
      <c r="O1068" s="39"/>
      <c r="P1068" s="39"/>
      <c r="Q1068" s="39"/>
      <c r="R1068" s="39"/>
    </row>
    <row r="1069" spans="1:18" s="2" customFormat="1" ht="14.4">
      <c r="A1069" s="20">
        <f t="shared" si="67"/>
        <v>999</v>
      </c>
      <c r="B1069" s="17" t="s">
        <v>1414</v>
      </c>
      <c r="C1069" s="17" t="s">
        <v>1415</v>
      </c>
      <c r="D1069" s="20" t="s">
        <v>5</v>
      </c>
      <c r="E1069" s="20" t="s">
        <v>6</v>
      </c>
      <c r="F1069" s="18">
        <v>1</v>
      </c>
      <c r="G1069" s="19">
        <v>95</v>
      </c>
      <c r="H1069" s="32">
        <v>2</v>
      </c>
      <c r="I1069" s="25">
        <f t="shared" si="66"/>
        <v>190</v>
      </c>
      <c r="J1069" s="40"/>
      <c r="K1069" s="39"/>
      <c r="L1069" s="39"/>
      <c r="M1069" s="39"/>
      <c r="N1069" s="23"/>
      <c r="O1069" s="39"/>
      <c r="P1069" s="39"/>
      <c r="Q1069" s="39"/>
      <c r="R1069" s="39"/>
    </row>
    <row r="1070" spans="1:18" s="2" customFormat="1" ht="14.4">
      <c r="A1070" s="20">
        <f t="shared" si="67"/>
        <v>1000</v>
      </c>
      <c r="B1070" s="17" t="s">
        <v>218</v>
      </c>
      <c r="C1070" s="17" t="s">
        <v>219</v>
      </c>
      <c r="D1070" s="20" t="s">
        <v>48</v>
      </c>
      <c r="E1070" s="20" t="s">
        <v>49</v>
      </c>
      <c r="F1070" s="18">
        <v>1</v>
      </c>
      <c r="G1070" s="19"/>
      <c r="H1070" s="32">
        <v>1</v>
      </c>
      <c r="I1070" s="25">
        <f>SUM(I948:I1069)*0.05</f>
        <v>454137.52470074204</v>
      </c>
      <c r="J1070" s="40"/>
      <c r="K1070" s="39"/>
      <c r="L1070" s="39"/>
      <c r="M1070" s="39"/>
      <c r="N1070" s="23"/>
      <c r="O1070" s="39"/>
      <c r="P1070" s="39"/>
      <c r="Q1070" s="39"/>
      <c r="R1070" s="39"/>
    </row>
    <row r="1071" spans="1:18" ht="14.4">
      <c r="A1071" s="9" t="s">
        <v>61</v>
      </c>
      <c r="B1071" s="13" t="s">
        <v>1416</v>
      </c>
      <c r="C1071" s="13" t="s">
        <v>1417</v>
      </c>
      <c r="D1071" s="14"/>
      <c r="E1071" s="14"/>
      <c r="F1071" s="18"/>
      <c r="G1071" s="19"/>
      <c r="H1071" s="15"/>
      <c r="I1071" s="25"/>
      <c r="J1071" s="24"/>
      <c r="K1071" s="22"/>
      <c r="L1071" s="22"/>
      <c r="M1071" s="22"/>
      <c r="N1071" s="23"/>
      <c r="O1071" s="22"/>
      <c r="P1071" s="22"/>
      <c r="Q1071" s="22"/>
      <c r="R1071" s="22"/>
    </row>
    <row r="1072" spans="1:18" s="2" customFormat="1" ht="26.4">
      <c r="A1072" s="20">
        <f>A1070+1</f>
        <v>1001</v>
      </c>
      <c r="B1072" s="17" t="s">
        <v>1418</v>
      </c>
      <c r="C1072" s="17" t="s">
        <v>1419</v>
      </c>
      <c r="D1072" s="20" t="s">
        <v>25</v>
      </c>
      <c r="E1072" s="20" t="s">
        <v>26</v>
      </c>
      <c r="F1072" s="18">
        <v>1</v>
      </c>
      <c r="G1072" s="19">
        <f>25.24</f>
        <v>25.24</v>
      </c>
      <c r="H1072" s="32">
        <f>SUM(H1073:H1083)</f>
        <v>18534</v>
      </c>
      <c r="I1072" s="25">
        <f t="shared" si="66"/>
        <v>467798.16</v>
      </c>
      <c r="J1072" s="40"/>
      <c r="K1072" s="39"/>
      <c r="L1072" s="39"/>
      <c r="M1072" s="39"/>
      <c r="N1072" s="23"/>
      <c r="O1072" s="39"/>
      <c r="P1072" s="39"/>
      <c r="Q1072" s="39"/>
      <c r="R1072" s="39"/>
    </row>
    <row r="1073" spans="1:18" s="2" customFormat="1" ht="14.4">
      <c r="A1073" s="20">
        <f>A1072+1</f>
        <v>1002</v>
      </c>
      <c r="B1073" s="17" t="s">
        <v>1420</v>
      </c>
      <c r="C1073" s="17" t="s">
        <v>1421</v>
      </c>
      <c r="D1073" s="20" t="s">
        <v>25</v>
      </c>
      <c r="E1073" s="20" t="s">
        <v>26</v>
      </c>
      <c r="F1073" s="18">
        <v>1</v>
      </c>
      <c r="G1073" s="19">
        <f>245.47</f>
        <v>245.47</v>
      </c>
      <c r="H1073" s="32">
        <v>500</v>
      </c>
      <c r="I1073" s="25">
        <f t="shared" si="66"/>
        <v>122735</v>
      </c>
      <c r="J1073" s="40"/>
      <c r="K1073" s="39"/>
      <c r="L1073" s="39"/>
      <c r="M1073" s="39"/>
      <c r="N1073" s="23"/>
      <c r="O1073" s="39"/>
      <c r="P1073" s="39"/>
      <c r="Q1073" s="39"/>
      <c r="R1073" s="39"/>
    </row>
    <row r="1074" spans="1:18" s="2" customFormat="1" ht="14.4">
      <c r="A1074" s="20">
        <f t="shared" ref="A1074:A1133" si="68">A1073+1</f>
        <v>1003</v>
      </c>
      <c r="B1074" s="17" t="s">
        <v>1422</v>
      </c>
      <c r="C1074" s="17" t="s">
        <v>1423</v>
      </c>
      <c r="D1074" s="20" t="s">
        <v>25</v>
      </c>
      <c r="E1074" s="20" t="s">
        <v>26</v>
      </c>
      <c r="F1074" s="18">
        <v>1</v>
      </c>
      <c r="G1074" s="19">
        <f>347.47*1.15</f>
        <v>399.59050000000002</v>
      </c>
      <c r="H1074" s="32">
        <v>8340</v>
      </c>
      <c r="I1074" s="25">
        <f t="shared" si="66"/>
        <v>3332584.77</v>
      </c>
      <c r="J1074" s="40"/>
      <c r="K1074" s="39"/>
      <c r="L1074" s="39"/>
      <c r="M1074" s="39"/>
      <c r="N1074" s="23"/>
      <c r="O1074" s="39"/>
      <c r="P1074" s="39"/>
      <c r="Q1074" s="39"/>
      <c r="R1074" s="39"/>
    </row>
    <row r="1075" spans="1:18" s="2" customFormat="1" ht="14.4">
      <c r="A1075" s="20">
        <f t="shared" si="68"/>
        <v>1004</v>
      </c>
      <c r="B1075" s="17" t="s">
        <v>1424</v>
      </c>
      <c r="C1075" s="17" t="s">
        <v>1425</v>
      </c>
      <c r="D1075" s="20" t="s">
        <v>25</v>
      </c>
      <c r="E1075" s="20" t="s">
        <v>26</v>
      </c>
      <c r="F1075" s="18">
        <v>1</v>
      </c>
      <c r="G1075" s="19">
        <v>404.9</v>
      </c>
      <c r="H1075" s="32">
        <v>6620</v>
      </c>
      <c r="I1075" s="25">
        <f t="shared" si="66"/>
        <v>2680438</v>
      </c>
      <c r="J1075" s="40"/>
      <c r="K1075" s="39"/>
      <c r="L1075" s="39"/>
      <c r="M1075" s="39"/>
      <c r="N1075" s="23"/>
      <c r="O1075" s="39"/>
      <c r="P1075" s="39"/>
      <c r="Q1075" s="39"/>
      <c r="R1075" s="39"/>
    </row>
    <row r="1076" spans="1:18" s="2" customFormat="1" ht="14.4">
      <c r="A1076" s="20">
        <f t="shared" si="68"/>
        <v>1005</v>
      </c>
      <c r="B1076" s="17" t="s">
        <v>1426</v>
      </c>
      <c r="C1076" s="17" t="s">
        <v>1427</v>
      </c>
      <c r="D1076" s="20" t="s">
        <v>25</v>
      </c>
      <c r="E1076" s="20" t="s">
        <v>26</v>
      </c>
      <c r="F1076" s="18">
        <v>1</v>
      </c>
      <c r="G1076" s="19">
        <v>458.02</v>
      </c>
      <c r="H1076" s="32">
        <v>500</v>
      </c>
      <c r="I1076" s="25">
        <f t="shared" si="66"/>
        <v>229010</v>
      </c>
      <c r="J1076" s="40"/>
      <c r="K1076" s="39"/>
      <c r="L1076" s="39"/>
      <c r="M1076" s="39"/>
      <c r="N1076" s="23"/>
      <c r="O1076" s="39"/>
      <c r="P1076" s="39"/>
      <c r="Q1076" s="39"/>
      <c r="R1076" s="39"/>
    </row>
    <row r="1077" spans="1:18" s="2" customFormat="1" ht="14.4">
      <c r="A1077" s="20">
        <f t="shared" si="68"/>
        <v>1006</v>
      </c>
      <c r="B1077" s="17" t="s">
        <v>1428</v>
      </c>
      <c r="C1077" s="17" t="s">
        <v>1429</v>
      </c>
      <c r="D1077" s="20" t="s">
        <v>25</v>
      </c>
      <c r="E1077" s="20" t="s">
        <v>26</v>
      </c>
      <c r="F1077" s="18">
        <v>1</v>
      </c>
      <c r="G1077" s="19">
        <v>527.29999999999995</v>
      </c>
      <c r="H1077" s="32">
        <v>60</v>
      </c>
      <c r="I1077" s="25">
        <f t="shared" si="66"/>
        <v>31637.999999999996</v>
      </c>
      <c r="J1077" s="40"/>
      <c r="K1077" s="39"/>
      <c r="L1077" s="39"/>
      <c r="M1077" s="39"/>
      <c r="N1077" s="23"/>
      <c r="O1077" s="39"/>
      <c r="P1077" s="39"/>
      <c r="Q1077" s="39"/>
      <c r="R1077" s="39"/>
    </row>
    <row r="1078" spans="1:18" s="2" customFormat="1" ht="14.4">
      <c r="A1078" s="20">
        <f t="shared" si="68"/>
        <v>1007</v>
      </c>
      <c r="B1078" s="17" t="s">
        <v>1430</v>
      </c>
      <c r="C1078" s="17" t="s">
        <v>1431</v>
      </c>
      <c r="D1078" s="20" t="s">
        <v>25</v>
      </c>
      <c r="E1078" s="20" t="s">
        <v>26</v>
      </c>
      <c r="F1078" s="18">
        <v>1</v>
      </c>
      <c r="G1078" s="19">
        <v>623.45000000000005</v>
      </c>
      <c r="H1078" s="32">
        <v>40</v>
      </c>
      <c r="I1078" s="25">
        <f t="shared" si="66"/>
        <v>24938</v>
      </c>
      <c r="J1078" s="40"/>
      <c r="K1078" s="39"/>
      <c r="L1078" s="39"/>
      <c r="M1078" s="39"/>
      <c r="N1078" s="23"/>
      <c r="O1078" s="39"/>
      <c r="P1078" s="39"/>
      <c r="Q1078" s="39"/>
      <c r="R1078" s="39"/>
    </row>
    <row r="1079" spans="1:18" s="2" customFormat="1" ht="14.4">
      <c r="A1079" s="20">
        <f t="shared" si="68"/>
        <v>1008</v>
      </c>
      <c r="B1079" s="17" t="s">
        <v>1432</v>
      </c>
      <c r="C1079" s="17" t="s">
        <v>1433</v>
      </c>
      <c r="D1079" s="20" t="s">
        <v>25</v>
      </c>
      <c r="E1079" s="20" t="s">
        <v>26</v>
      </c>
      <c r="F1079" s="18">
        <v>1</v>
      </c>
      <c r="G1079" s="19">
        <v>703.25</v>
      </c>
      <c r="H1079" s="32">
        <v>350</v>
      </c>
      <c r="I1079" s="25">
        <f t="shared" si="66"/>
        <v>246137.5</v>
      </c>
      <c r="J1079" s="40"/>
      <c r="K1079" s="39"/>
      <c r="L1079" s="39"/>
      <c r="M1079" s="39"/>
      <c r="N1079" s="23"/>
      <c r="O1079" s="39"/>
      <c r="P1079" s="39"/>
      <c r="Q1079" s="39"/>
      <c r="R1079" s="39"/>
    </row>
    <row r="1080" spans="1:18" s="2" customFormat="1" ht="14.4">
      <c r="A1080" s="20">
        <f t="shared" si="68"/>
        <v>1009</v>
      </c>
      <c r="B1080" s="17" t="s">
        <v>1434</v>
      </c>
      <c r="C1080" s="17" t="s">
        <v>1435</v>
      </c>
      <c r="D1080" s="20" t="s">
        <v>25</v>
      </c>
      <c r="E1080" s="20" t="s">
        <v>26</v>
      </c>
      <c r="F1080" s="18">
        <v>1</v>
      </c>
      <c r="G1080" s="19">
        <v>753.45</v>
      </c>
      <c r="H1080" s="32">
        <v>550</v>
      </c>
      <c r="I1080" s="25">
        <f t="shared" si="66"/>
        <v>414397.5</v>
      </c>
      <c r="J1080" s="40"/>
      <c r="K1080" s="39"/>
      <c r="L1080" s="39"/>
      <c r="M1080" s="39"/>
      <c r="N1080" s="23"/>
      <c r="O1080" s="39"/>
      <c r="P1080" s="39"/>
      <c r="Q1080" s="39"/>
      <c r="R1080" s="39"/>
    </row>
    <row r="1081" spans="1:18" s="2" customFormat="1" ht="14.4">
      <c r="A1081" s="20">
        <f t="shared" si="68"/>
        <v>1010</v>
      </c>
      <c r="B1081" s="17" t="s">
        <v>1436</v>
      </c>
      <c r="C1081" s="17" t="s">
        <v>1437</v>
      </c>
      <c r="D1081" s="20" t="s">
        <v>25</v>
      </c>
      <c r="E1081" s="20" t="s">
        <v>26</v>
      </c>
      <c r="F1081" s="18">
        <v>1</v>
      </c>
      <c r="G1081" s="19">
        <f>1540.29*1.15</f>
        <v>1771.3334999999997</v>
      </c>
      <c r="H1081" s="32">
        <v>590</v>
      </c>
      <c r="I1081" s="25">
        <f t="shared" si="66"/>
        <v>1045086.7649999999</v>
      </c>
      <c r="J1081" s="40"/>
      <c r="K1081" s="39"/>
      <c r="L1081" s="39"/>
      <c r="M1081" s="39"/>
      <c r="N1081" s="23"/>
      <c r="O1081" s="39"/>
      <c r="P1081" s="39"/>
      <c r="Q1081" s="39"/>
      <c r="R1081" s="39"/>
    </row>
    <row r="1082" spans="1:18" s="2" customFormat="1" ht="14.4">
      <c r="A1082" s="20">
        <f t="shared" si="68"/>
        <v>1011</v>
      </c>
      <c r="B1082" s="17" t="s">
        <v>1438</v>
      </c>
      <c r="C1082" s="17" t="s">
        <v>1439</v>
      </c>
      <c r="D1082" s="20" t="s">
        <v>25</v>
      </c>
      <c r="E1082" s="20" t="s">
        <v>26</v>
      </c>
      <c r="F1082" s="18">
        <v>1</v>
      </c>
      <c r="G1082" s="19">
        <f>1846.29*1.15</f>
        <v>2123.2334999999998</v>
      </c>
      <c r="H1082" s="32">
        <v>620</v>
      </c>
      <c r="I1082" s="25">
        <f t="shared" si="66"/>
        <v>1316404.7699999998</v>
      </c>
      <c r="J1082" s="40"/>
      <c r="K1082" s="39"/>
      <c r="L1082" s="39"/>
      <c r="M1082" s="39"/>
      <c r="N1082" s="23"/>
      <c r="O1082" s="39"/>
      <c r="P1082" s="39"/>
      <c r="Q1082" s="39"/>
      <c r="R1082" s="39"/>
    </row>
    <row r="1083" spans="1:18" s="2" customFormat="1" ht="14.4">
      <c r="A1083" s="20">
        <f t="shared" si="68"/>
        <v>1012</v>
      </c>
      <c r="B1083" s="17" t="s">
        <v>1440</v>
      </c>
      <c r="C1083" s="17" t="s">
        <v>1441</v>
      </c>
      <c r="D1083" s="20" t="s">
        <v>25</v>
      </c>
      <c r="E1083" s="20" t="s">
        <v>26</v>
      </c>
      <c r="F1083" s="18">
        <v>1</v>
      </c>
      <c r="G1083" s="19">
        <f>2971.23*1.15</f>
        <v>3416.9144999999999</v>
      </c>
      <c r="H1083" s="32">
        <v>364</v>
      </c>
      <c r="I1083" s="25">
        <f t="shared" si="66"/>
        <v>1243756.878</v>
      </c>
      <c r="J1083" s="40"/>
      <c r="K1083" s="39"/>
      <c r="L1083" s="39"/>
      <c r="M1083" s="39"/>
      <c r="N1083" s="23"/>
      <c r="O1083" s="39"/>
      <c r="P1083" s="39"/>
      <c r="Q1083" s="39"/>
      <c r="R1083" s="39"/>
    </row>
    <row r="1084" spans="1:18" s="2" customFormat="1" ht="26.4">
      <c r="A1084" s="20">
        <f t="shared" si="68"/>
        <v>1013</v>
      </c>
      <c r="B1084" s="17" t="s">
        <v>1418</v>
      </c>
      <c r="C1084" s="17" t="s">
        <v>1419</v>
      </c>
      <c r="D1084" s="20" t="s">
        <v>25</v>
      </c>
      <c r="E1084" s="20" t="s">
        <v>26</v>
      </c>
      <c r="F1084" s="18">
        <v>1</v>
      </c>
      <c r="G1084" s="19">
        <f>882.25*1.15</f>
        <v>1014.5875</v>
      </c>
      <c r="H1084" s="32">
        <f>SUM(H1085:H1091)</f>
        <v>3524</v>
      </c>
      <c r="I1084" s="25">
        <f t="shared" si="66"/>
        <v>3575406.35</v>
      </c>
      <c r="J1084" s="40"/>
      <c r="K1084" s="39"/>
      <c r="L1084" s="39"/>
      <c r="M1084" s="39"/>
      <c r="N1084" s="23"/>
      <c r="O1084" s="39"/>
      <c r="P1084" s="39"/>
      <c r="Q1084" s="39"/>
      <c r="R1084" s="39"/>
    </row>
    <row r="1085" spans="1:18" s="2" customFormat="1" ht="39.6">
      <c r="A1085" s="20">
        <f t="shared" si="68"/>
        <v>1014</v>
      </c>
      <c r="B1085" s="17" t="s">
        <v>1442</v>
      </c>
      <c r="C1085" s="17" t="s">
        <v>1443</v>
      </c>
      <c r="D1085" s="20" t="s">
        <v>25</v>
      </c>
      <c r="E1085" s="20" t="s">
        <v>26</v>
      </c>
      <c r="F1085" s="18">
        <v>1</v>
      </c>
      <c r="G1085" s="19">
        <v>98.42</v>
      </c>
      <c r="H1085" s="32">
        <v>3210</v>
      </c>
      <c r="I1085" s="25">
        <f t="shared" si="66"/>
        <v>315928.2</v>
      </c>
      <c r="J1085" s="40"/>
      <c r="K1085" s="39"/>
      <c r="L1085" s="39"/>
      <c r="M1085" s="39"/>
      <c r="N1085" s="23"/>
      <c r="O1085" s="39"/>
      <c r="P1085" s="39"/>
      <c r="Q1085" s="39"/>
      <c r="R1085" s="39"/>
    </row>
    <row r="1086" spans="1:18" s="2" customFormat="1" ht="39.6">
      <c r="A1086" s="20">
        <f t="shared" si="68"/>
        <v>1015</v>
      </c>
      <c r="B1086" s="17" t="s">
        <v>1444</v>
      </c>
      <c r="C1086" s="17" t="s">
        <v>1445</v>
      </c>
      <c r="D1086" s="20" t="s">
        <v>25</v>
      </c>
      <c r="E1086" s="20" t="s">
        <v>26</v>
      </c>
      <c r="F1086" s="18">
        <v>1</v>
      </c>
      <c r="G1086" s="19">
        <v>15.96</v>
      </c>
      <c r="H1086" s="32">
        <v>58</v>
      </c>
      <c r="I1086" s="25">
        <f t="shared" si="66"/>
        <v>925.68000000000006</v>
      </c>
      <c r="J1086" s="40"/>
      <c r="K1086" s="39"/>
      <c r="L1086" s="39"/>
      <c r="M1086" s="39"/>
      <c r="N1086" s="23"/>
      <c r="O1086" s="39"/>
      <c r="P1086" s="39"/>
      <c r="Q1086" s="39"/>
      <c r="R1086" s="39"/>
    </row>
    <row r="1087" spans="1:18" s="2" customFormat="1" ht="39.6">
      <c r="A1087" s="20">
        <f t="shared" si="68"/>
        <v>1016</v>
      </c>
      <c r="B1087" s="17" t="s">
        <v>1446</v>
      </c>
      <c r="C1087" s="17" t="s">
        <v>1447</v>
      </c>
      <c r="D1087" s="20" t="s">
        <v>25</v>
      </c>
      <c r="E1087" s="20" t="s">
        <v>26</v>
      </c>
      <c r="F1087" s="18">
        <v>1</v>
      </c>
      <c r="G1087" s="19">
        <v>18.63</v>
      </c>
      <c r="H1087" s="32">
        <v>21</v>
      </c>
      <c r="I1087" s="25">
        <f t="shared" si="66"/>
        <v>391.22999999999996</v>
      </c>
      <c r="J1087" s="40"/>
      <c r="K1087" s="39"/>
      <c r="L1087" s="39"/>
      <c r="M1087" s="39"/>
      <c r="N1087" s="23"/>
      <c r="O1087" s="39"/>
      <c r="P1087" s="39"/>
      <c r="Q1087" s="39"/>
      <c r="R1087" s="39"/>
    </row>
    <row r="1088" spans="1:18" s="2" customFormat="1" ht="39.6">
      <c r="A1088" s="20">
        <f t="shared" si="68"/>
        <v>1017</v>
      </c>
      <c r="B1088" s="17" t="s">
        <v>1448</v>
      </c>
      <c r="C1088" s="17" t="s">
        <v>1449</v>
      </c>
      <c r="D1088" s="20" t="s">
        <v>25</v>
      </c>
      <c r="E1088" s="20" t="s">
        <v>26</v>
      </c>
      <c r="F1088" s="18">
        <v>1</v>
      </c>
      <c r="G1088" s="19">
        <v>19.45</v>
      </c>
      <c r="H1088" s="32">
        <v>57</v>
      </c>
      <c r="I1088" s="25">
        <f t="shared" si="66"/>
        <v>1108.6499999999999</v>
      </c>
      <c r="J1088" s="40"/>
      <c r="K1088" s="39"/>
      <c r="L1088" s="39"/>
      <c r="M1088" s="39"/>
      <c r="N1088" s="23"/>
      <c r="O1088" s="39"/>
      <c r="P1088" s="39"/>
      <c r="Q1088" s="39"/>
      <c r="R1088" s="39"/>
    </row>
    <row r="1089" spans="1:18" s="2" customFormat="1" ht="39.6">
      <c r="A1089" s="20">
        <f t="shared" si="68"/>
        <v>1018</v>
      </c>
      <c r="B1089" s="17" t="s">
        <v>1450</v>
      </c>
      <c r="C1089" s="17" t="s">
        <v>1451</v>
      </c>
      <c r="D1089" s="20" t="s">
        <v>25</v>
      </c>
      <c r="E1089" s="20" t="s">
        <v>26</v>
      </c>
      <c r="F1089" s="18">
        <v>1</v>
      </c>
      <c r="G1089" s="19">
        <v>23.547999999999998</v>
      </c>
      <c r="H1089" s="32">
        <v>92</v>
      </c>
      <c r="I1089" s="25">
        <f t="shared" si="66"/>
        <v>2166.4159999999997</v>
      </c>
      <c r="J1089" s="40"/>
      <c r="K1089" s="39"/>
      <c r="L1089" s="39"/>
      <c r="M1089" s="39"/>
      <c r="N1089" s="23"/>
      <c r="O1089" s="39"/>
      <c r="P1089" s="39"/>
      <c r="Q1089" s="39"/>
      <c r="R1089" s="39"/>
    </row>
    <row r="1090" spans="1:18" s="2" customFormat="1" ht="39.6">
      <c r="A1090" s="20">
        <f t="shared" si="68"/>
        <v>1019</v>
      </c>
      <c r="B1090" s="17" t="s">
        <v>1452</v>
      </c>
      <c r="C1090" s="17" t="s">
        <v>1453</v>
      </c>
      <c r="D1090" s="20" t="s">
        <v>25</v>
      </c>
      <c r="E1090" s="20" t="s">
        <v>26</v>
      </c>
      <c r="F1090" s="18">
        <v>1</v>
      </c>
      <c r="G1090" s="19">
        <v>24.963999999999999</v>
      </c>
      <c r="H1090" s="32">
        <v>29</v>
      </c>
      <c r="I1090" s="25">
        <f t="shared" si="66"/>
        <v>723.9559999999999</v>
      </c>
      <c r="J1090" s="40"/>
      <c r="K1090" s="39"/>
      <c r="L1090" s="39"/>
      <c r="M1090" s="39"/>
      <c r="N1090" s="23"/>
      <c r="O1090" s="39"/>
      <c r="P1090" s="39"/>
      <c r="Q1090" s="39"/>
      <c r="R1090" s="39"/>
    </row>
    <row r="1091" spans="1:18" s="2" customFormat="1" ht="39.6">
      <c r="A1091" s="20">
        <f t="shared" si="68"/>
        <v>1020</v>
      </c>
      <c r="B1091" s="17" t="s">
        <v>1454</v>
      </c>
      <c r="C1091" s="17" t="s">
        <v>1455</v>
      </c>
      <c r="D1091" s="20" t="s">
        <v>25</v>
      </c>
      <c r="E1091" s="20" t="s">
        <v>26</v>
      </c>
      <c r="F1091" s="18">
        <v>1</v>
      </c>
      <c r="G1091" s="19">
        <v>26.164999999999999</v>
      </c>
      <c r="H1091" s="32">
        <v>57</v>
      </c>
      <c r="I1091" s="25">
        <f t="shared" si="66"/>
        <v>1491.405</v>
      </c>
      <c r="J1091" s="40"/>
      <c r="K1091" s="39"/>
      <c r="L1091" s="39"/>
      <c r="M1091" s="39"/>
      <c r="N1091" s="23"/>
      <c r="O1091" s="39"/>
      <c r="P1091" s="39"/>
      <c r="Q1091" s="39"/>
      <c r="R1091" s="39"/>
    </row>
    <row r="1092" spans="1:18" s="2" customFormat="1" ht="26.4">
      <c r="A1092" s="20">
        <f t="shared" si="68"/>
        <v>1021</v>
      </c>
      <c r="B1092" s="17" t="s">
        <v>1418</v>
      </c>
      <c r="C1092" s="17" t="s">
        <v>1419</v>
      </c>
      <c r="D1092" s="20" t="s">
        <v>25</v>
      </c>
      <c r="E1092" s="20" t="s">
        <v>26</v>
      </c>
      <c r="F1092" s="18">
        <v>1</v>
      </c>
      <c r="G1092" s="19">
        <f>1.633198857*52.95</f>
        <v>86.477879478150001</v>
      </c>
      <c r="H1092" s="32">
        <f>SUM(H1093:H1095)</f>
        <v>575</v>
      </c>
      <c r="I1092" s="25">
        <f t="shared" si="66"/>
        <v>49724.780699936251</v>
      </c>
      <c r="J1092" s="40"/>
      <c r="K1092" s="39"/>
      <c r="L1092" s="39"/>
      <c r="M1092" s="39"/>
      <c r="N1092" s="23"/>
      <c r="O1092" s="39"/>
      <c r="P1092" s="39"/>
      <c r="Q1092" s="39"/>
      <c r="R1092" s="39"/>
    </row>
    <row r="1093" spans="1:18" s="2" customFormat="1" ht="14.4">
      <c r="A1093" s="20">
        <f t="shared" si="68"/>
        <v>1022</v>
      </c>
      <c r="B1093" s="17" t="s">
        <v>1456</v>
      </c>
      <c r="C1093" s="17" t="s">
        <v>1457</v>
      </c>
      <c r="D1093" s="20" t="s">
        <v>25</v>
      </c>
      <c r="E1093" s="20" t="s">
        <v>26</v>
      </c>
      <c r="F1093" s="18">
        <v>1</v>
      </c>
      <c r="G1093" s="19">
        <v>83.71</v>
      </c>
      <c r="H1093" s="32">
        <v>180</v>
      </c>
      <c r="I1093" s="25">
        <f t="shared" si="66"/>
        <v>15067.8</v>
      </c>
      <c r="J1093" s="40"/>
      <c r="K1093" s="39"/>
      <c r="L1093" s="39"/>
      <c r="M1093" s="39"/>
      <c r="N1093" s="23"/>
      <c r="O1093" s="39"/>
      <c r="P1093" s="39"/>
      <c r="Q1093" s="39"/>
      <c r="R1093" s="39"/>
    </row>
    <row r="1094" spans="1:18" s="2" customFormat="1" ht="14.4">
      <c r="A1094" s="20">
        <f t="shared" si="68"/>
        <v>1023</v>
      </c>
      <c r="B1094" s="17" t="s">
        <v>1458</v>
      </c>
      <c r="C1094" s="17" t="s">
        <v>1459</v>
      </c>
      <c r="D1094" s="20" t="s">
        <v>25</v>
      </c>
      <c r="E1094" s="20" t="s">
        <v>26</v>
      </c>
      <c r="F1094" s="18">
        <v>1</v>
      </c>
      <c r="G1094" s="19">
        <v>257.11</v>
      </c>
      <c r="H1094" s="32">
        <v>195</v>
      </c>
      <c r="I1094" s="25">
        <f t="shared" si="66"/>
        <v>50136.450000000004</v>
      </c>
      <c r="J1094" s="40"/>
      <c r="K1094" s="39"/>
      <c r="L1094" s="39"/>
      <c r="M1094" s="39"/>
      <c r="N1094" s="23"/>
      <c r="O1094" s="39"/>
      <c r="P1094" s="39"/>
      <c r="Q1094" s="39"/>
      <c r="R1094" s="39"/>
    </row>
    <row r="1095" spans="1:18" s="2" customFormat="1" ht="14.4">
      <c r="A1095" s="20">
        <f t="shared" si="68"/>
        <v>1024</v>
      </c>
      <c r="B1095" s="17" t="s">
        <v>1460</v>
      </c>
      <c r="C1095" s="17" t="s">
        <v>1461</v>
      </c>
      <c r="D1095" s="20" t="s">
        <v>25</v>
      </c>
      <c r="E1095" s="20" t="s">
        <v>26</v>
      </c>
      <c r="F1095" s="18">
        <v>1</v>
      </c>
      <c r="G1095" s="19">
        <f>461.11</f>
        <v>461.11</v>
      </c>
      <c r="H1095" s="32">
        <v>200</v>
      </c>
      <c r="I1095" s="25">
        <f t="shared" si="66"/>
        <v>92222</v>
      </c>
      <c r="J1095" s="40"/>
      <c r="K1095" s="39"/>
      <c r="L1095" s="39"/>
      <c r="M1095" s="39"/>
      <c r="N1095" s="23"/>
      <c r="O1095" s="39"/>
      <c r="P1095" s="39"/>
      <c r="Q1095" s="39"/>
      <c r="R1095" s="39"/>
    </row>
    <row r="1096" spans="1:18" s="2" customFormat="1" ht="26.4">
      <c r="A1096" s="20">
        <f t="shared" si="68"/>
        <v>1025</v>
      </c>
      <c r="B1096" s="17" t="s">
        <v>1462</v>
      </c>
      <c r="C1096" s="17" t="s">
        <v>1463</v>
      </c>
      <c r="D1096" s="20" t="s">
        <v>25</v>
      </c>
      <c r="E1096" s="20" t="s">
        <v>26</v>
      </c>
      <c r="F1096" s="18">
        <v>1</v>
      </c>
      <c r="G1096" s="19">
        <f>1.633198857*52.95</f>
        <v>86.477879478150001</v>
      </c>
      <c r="H1096" s="32">
        <f>SUM(H1097:H1099)</f>
        <v>440</v>
      </c>
      <c r="I1096" s="25">
        <f t="shared" si="66"/>
        <v>38050.266970386001</v>
      </c>
      <c r="J1096" s="40"/>
      <c r="K1096" s="39"/>
      <c r="L1096" s="39"/>
      <c r="M1096" s="39"/>
      <c r="N1096" s="23"/>
      <c r="O1096" s="39"/>
      <c r="P1096" s="39"/>
      <c r="Q1096" s="39"/>
      <c r="R1096" s="39"/>
    </row>
    <row r="1097" spans="1:18" s="2" customFormat="1" ht="14.4">
      <c r="A1097" s="20">
        <f t="shared" si="68"/>
        <v>1026</v>
      </c>
      <c r="B1097" s="17" t="s">
        <v>1464</v>
      </c>
      <c r="C1097" s="17" t="s">
        <v>1465</v>
      </c>
      <c r="D1097" s="20" t="s">
        <v>25</v>
      </c>
      <c r="E1097" s="20" t="s">
        <v>26</v>
      </c>
      <c r="F1097" s="18">
        <v>1</v>
      </c>
      <c r="G1097" s="19">
        <v>297.12</v>
      </c>
      <c r="H1097" s="32">
        <v>136</v>
      </c>
      <c r="I1097" s="25">
        <f t="shared" si="66"/>
        <v>40408.32</v>
      </c>
      <c r="J1097" s="40"/>
      <c r="K1097" s="39"/>
      <c r="L1097" s="39"/>
      <c r="M1097" s="39"/>
      <c r="N1097" s="23"/>
      <c r="O1097" s="39"/>
      <c r="P1097" s="39"/>
      <c r="Q1097" s="39"/>
      <c r="R1097" s="39"/>
    </row>
    <row r="1098" spans="1:18" s="2" customFormat="1" ht="14.4">
      <c r="A1098" s="20">
        <f t="shared" si="68"/>
        <v>1027</v>
      </c>
      <c r="B1098" s="17" t="s">
        <v>1466</v>
      </c>
      <c r="C1098" s="17" t="s">
        <v>1467</v>
      </c>
      <c r="D1098" s="20" t="s">
        <v>25</v>
      </c>
      <c r="E1098" s="20" t="s">
        <v>26</v>
      </c>
      <c r="F1098" s="18">
        <v>1</v>
      </c>
      <c r="G1098" s="19">
        <v>973.45</v>
      </c>
      <c r="H1098" s="32">
        <v>87</v>
      </c>
      <c r="I1098" s="25">
        <f t="shared" si="66"/>
        <v>84690.150000000009</v>
      </c>
      <c r="J1098" s="40"/>
      <c r="K1098" s="39"/>
      <c r="L1098" s="39"/>
      <c r="M1098" s="39"/>
      <c r="N1098" s="23"/>
      <c r="O1098" s="39"/>
      <c r="P1098" s="39"/>
      <c r="Q1098" s="39"/>
      <c r="R1098" s="39"/>
    </row>
    <row r="1099" spans="1:18" s="2" customFormat="1" ht="26.4">
      <c r="A1099" s="20">
        <f t="shared" si="68"/>
        <v>1028</v>
      </c>
      <c r="B1099" s="17" t="s">
        <v>1468</v>
      </c>
      <c r="C1099" s="17" t="s">
        <v>1469</v>
      </c>
      <c r="D1099" s="20" t="s">
        <v>25</v>
      </c>
      <c r="E1099" s="20" t="s">
        <v>26</v>
      </c>
      <c r="F1099" s="18">
        <v>1</v>
      </c>
      <c r="G1099" s="19">
        <f>193.91</f>
        <v>193.91</v>
      </c>
      <c r="H1099" s="32">
        <v>217</v>
      </c>
      <c r="I1099" s="25">
        <f t="shared" ref="I1099:I1163" si="69">G1099*H1099</f>
        <v>42078.47</v>
      </c>
      <c r="J1099" s="40"/>
      <c r="K1099" s="39"/>
      <c r="L1099" s="39"/>
      <c r="M1099" s="39"/>
      <c r="N1099" s="23"/>
      <c r="O1099" s="39"/>
      <c r="P1099" s="39"/>
      <c r="Q1099" s="39"/>
      <c r="R1099" s="39"/>
    </row>
    <row r="1100" spans="1:18" s="2" customFormat="1" ht="14.4">
      <c r="A1100" s="20">
        <f t="shared" si="68"/>
        <v>1029</v>
      </c>
      <c r="B1100" s="17" t="s">
        <v>1470</v>
      </c>
      <c r="C1100" s="17" t="s">
        <v>1471</v>
      </c>
      <c r="D1100" s="20" t="s">
        <v>5</v>
      </c>
      <c r="E1100" s="20" t="s">
        <v>6</v>
      </c>
      <c r="F1100" s="18">
        <v>1</v>
      </c>
      <c r="G1100" s="19">
        <f>1.633198857*98.26</f>
        <v>160.47811968882002</v>
      </c>
      <c r="H1100" s="32">
        <v>100</v>
      </c>
      <c r="I1100" s="25">
        <f t="shared" si="69"/>
        <v>16047.811968882001</v>
      </c>
      <c r="J1100" s="40"/>
      <c r="K1100" s="39"/>
      <c r="L1100" s="39"/>
      <c r="M1100" s="39"/>
      <c r="N1100" s="23"/>
      <c r="O1100" s="39"/>
      <c r="P1100" s="39"/>
      <c r="Q1100" s="39"/>
      <c r="R1100" s="39"/>
    </row>
    <row r="1101" spans="1:18" s="2" customFormat="1" ht="26.4">
      <c r="A1101" s="20">
        <f t="shared" si="68"/>
        <v>1030</v>
      </c>
      <c r="B1101" s="17" t="s">
        <v>1472</v>
      </c>
      <c r="C1101" s="17" t="s">
        <v>1473</v>
      </c>
      <c r="D1101" s="20" t="s">
        <v>5</v>
      </c>
      <c r="E1101" s="20" t="s">
        <v>6</v>
      </c>
      <c r="F1101" s="18">
        <v>1</v>
      </c>
      <c r="G1101" s="19">
        <v>80</v>
      </c>
      <c r="H1101" s="32">
        <v>1200</v>
      </c>
      <c r="I1101" s="25">
        <f t="shared" si="69"/>
        <v>96000</v>
      </c>
      <c r="J1101" s="40"/>
      <c r="K1101" s="39"/>
      <c r="L1101" s="39"/>
      <c r="M1101" s="39"/>
      <c r="N1101" s="23"/>
      <c r="O1101" s="39"/>
      <c r="P1101" s="39"/>
      <c r="Q1101" s="39"/>
      <c r="R1101" s="39"/>
    </row>
    <row r="1102" spans="1:18" s="2" customFormat="1" ht="26.4">
      <c r="A1102" s="20">
        <f t="shared" si="68"/>
        <v>1031</v>
      </c>
      <c r="B1102" s="17" t="s">
        <v>1474</v>
      </c>
      <c r="C1102" s="17" t="s">
        <v>1475</v>
      </c>
      <c r="D1102" s="20" t="s">
        <v>5</v>
      </c>
      <c r="E1102" s="20" t="s">
        <v>6</v>
      </c>
      <c r="F1102" s="18">
        <v>1</v>
      </c>
      <c r="G1102" s="19">
        <v>168</v>
      </c>
      <c r="H1102" s="32">
        <v>600</v>
      </c>
      <c r="I1102" s="25">
        <f t="shared" si="69"/>
        <v>100800</v>
      </c>
      <c r="J1102" s="40"/>
      <c r="K1102" s="39"/>
      <c r="L1102" s="39"/>
      <c r="M1102" s="39"/>
      <c r="N1102" s="23"/>
      <c r="O1102" s="39"/>
      <c r="P1102" s="39"/>
      <c r="Q1102" s="39"/>
      <c r="R1102" s="39"/>
    </row>
    <row r="1103" spans="1:18" s="2" customFormat="1" ht="21" customHeight="1">
      <c r="A1103" s="20">
        <f t="shared" si="68"/>
        <v>1032</v>
      </c>
      <c r="B1103" s="17" t="s">
        <v>1476</v>
      </c>
      <c r="C1103" s="17" t="s">
        <v>1477</v>
      </c>
      <c r="D1103" s="20" t="s">
        <v>5</v>
      </c>
      <c r="E1103" s="20" t="s">
        <v>6</v>
      </c>
      <c r="F1103" s="18">
        <v>1</v>
      </c>
      <c r="G1103" s="19">
        <f>1645/1.2</f>
        <v>1370.8333333333335</v>
      </c>
      <c r="H1103" s="32">
        <v>350</v>
      </c>
      <c r="I1103" s="25">
        <f t="shared" si="69"/>
        <v>479791.66666666674</v>
      </c>
      <c r="J1103" s="40"/>
      <c r="K1103" s="39"/>
      <c r="L1103" s="39"/>
      <c r="M1103" s="39"/>
      <c r="N1103" s="23"/>
      <c r="O1103" s="39"/>
      <c r="P1103" s="39"/>
      <c r="Q1103" s="39"/>
      <c r="R1103" s="39"/>
    </row>
    <row r="1104" spans="1:18" s="2" customFormat="1" ht="26.4">
      <c r="A1104" s="20">
        <f t="shared" si="68"/>
        <v>1033</v>
      </c>
      <c r="B1104" s="17" t="s">
        <v>1478</v>
      </c>
      <c r="C1104" s="17" t="s">
        <v>1479</v>
      </c>
      <c r="D1104" s="20" t="s">
        <v>5</v>
      </c>
      <c r="E1104" s="20" t="s">
        <v>6</v>
      </c>
      <c r="F1104" s="18">
        <v>1</v>
      </c>
      <c r="G1104" s="19">
        <v>85</v>
      </c>
      <c r="H1104" s="32">
        <v>1000</v>
      </c>
      <c r="I1104" s="25">
        <f t="shared" si="69"/>
        <v>85000</v>
      </c>
      <c r="J1104" s="40"/>
      <c r="K1104" s="39"/>
      <c r="L1104" s="39"/>
      <c r="M1104" s="39"/>
      <c r="N1104" s="23"/>
      <c r="O1104" s="39"/>
      <c r="P1104" s="39"/>
      <c r="Q1104" s="39"/>
      <c r="R1104" s="39"/>
    </row>
    <row r="1105" spans="1:18" s="2" customFormat="1" ht="26.4">
      <c r="A1105" s="20">
        <f t="shared" si="68"/>
        <v>1034</v>
      </c>
      <c r="B1105" s="17" t="s">
        <v>1480</v>
      </c>
      <c r="C1105" s="17" t="s">
        <v>1481</v>
      </c>
      <c r="D1105" s="20" t="s">
        <v>25</v>
      </c>
      <c r="E1105" s="20" t="s">
        <v>26</v>
      </c>
      <c r="F1105" s="18">
        <v>1</v>
      </c>
      <c r="G1105" s="19">
        <v>12</v>
      </c>
      <c r="H1105" s="32">
        <v>7583</v>
      </c>
      <c r="I1105" s="25">
        <f t="shared" si="69"/>
        <v>90996</v>
      </c>
      <c r="J1105" s="40"/>
      <c r="K1105" s="39"/>
      <c r="L1105" s="39"/>
      <c r="M1105" s="39"/>
      <c r="N1105" s="23"/>
      <c r="O1105" s="39"/>
      <c r="P1105" s="39"/>
      <c r="Q1105" s="39"/>
      <c r="R1105" s="39"/>
    </row>
    <row r="1106" spans="1:18" s="2" customFormat="1" ht="26.4">
      <c r="A1106" s="20">
        <f t="shared" si="68"/>
        <v>1035</v>
      </c>
      <c r="B1106" s="17" t="s">
        <v>1482</v>
      </c>
      <c r="C1106" s="17" t="s">
        <v>1483</v>
      </c>
      <c r="D1106" s="20" t="s">
        <v>25</v>
      </c>
      <c r="E1106" s="20" t="s">
        <v>26</v>
      </c>
      <c r="F1106" s="18">
        <v>1</v>
      </c>
      <c r="G1106" s="19">
        <v>16.399999999999999</v>
      </c>
      <c r="H1106" s="32">
        <v>1600</v>
      </c>
      <c r="I1106" s="25">
        <f t="shared" si="69"/>
        <v>26239.999999999996</v>
      </c>
      <c r="J1106" s="40"/>
      <c r="K1106" s="39"/>
      <c r="L1106" s="39"/>
      <c r="M1106" s="39"/>
      <c r="N1106" s="23"/>
      <c r="O1106" s="39"/>
      <c r="P1106" s="39"/>
      <c r="Q1106" s="39"/>
      <c r="R1106" s="39"/>
    </row>
    <row r="1107" spans="1:18" s="2" customFormat="1" ht="26.4">
      <c r="A1107" s="20">
        <f t="shared" si="68"/>
        <v>1036</v>
      </c>
      <c r="B1107" s="17" t="s">
        <v>1484</v>
      </c>
      <c r="C1107" s="17" t="s">
        <v>1485</v>
      </c>
      <c r="D1107" s="20" t="s">
        <v>25</v>
      </c>
      <c r="E1107" s="20" t="s">
        <v>26</v>
      </c>
      <c r="F1107" s="18">
        <v>1</v>
      </c>
      <c r="G1107" s="19">
        <v>24.18</v>
      </c>
      <c r="H1107" s="32">
        <v>500</v>
      </c>
      <c r="I1107" s="25">
        <f t="shared" si="69"/>
        <v>12090</v>
      </c>
      <c r="J1107" s="40"/>
      <c r="K1107" s="39"/>
      <c r="L1107" s="39"/>
      <c r="M1107" s="39"/>
      <c r="N1107" s="23"/>
      <c r="O1107" s="39"/>
      <c r="P1107" s="39"/>
      <c r="Q1107" s="39"/>
      <c r="R1107" s="39"/>
    </row>
    <row r="1108" spans="1:18" s="2" customFormat="1" ht="26.4">
      <c r="A1108" s="20">
        <f t="shared" si="68"/>
        <v>1037</v>
      </c>
      <c r="B1108" s="17" t="s">
        <v>1486</v>
      </c>
      <c r="C1108" s="17" t="s">
        <v>1487</v>
      </c>
      <c r="D1108" s="20" t="s">
        <v>25</v>
      </c>
      <c r="E1108" s="20" t="s">
        <v>26</v>
      </c>
      <c r="F1108" s="18">
        <v>1</v>
      </c>
      <c r="G1108" s="19">
        <v>37.5</v>
      </c>
      <c r="H1108" s="32">
        <v>450</v>
      </c>
      <c r="I1108" s="25">
        <f t="shared" si="69"/>
        <v>16875</v>
      </c>
      <c r="J1108" s="40"/>
      <c r="K1108" s="39"/>
      <c r="L1108" s="39"/>
      <c r="M1108" s="39"/>
      <c r="N1108" s="23"/>
      <c r="O1108" s="39"/>
      <c r="P1108" s="39"/>
      <c r="Q1108" s="39"/>
      <c r="R1108" s="39"/>
    </row>
    <row r="1109" spans="1:18" s="2" customFormat="1" ht="26.4">
      <c r="A1109" s="20">
        <f t="shared" si="68"/>
        <v>1038</v>
      </c>
      <c r="B1109" s="17" t="s">
        <v>1488</v>
      </c>
      <c r="C1109" s="17" t="s">
        <v>1489</v>
      </c>
      <c r="D1109" s="20" t="s">
        <v>25</v>
      </c>
      <c r="E1109" s="20" t="s">
        <v>26</v>
      </c>
      <c r="F1109" s="18">
        <v>1</v>
      </c>
      <c r="G1109" s="19">
        <v>12</v>
      </c>
      <c r="H1109" s="32">
        <v>400</v>
      </c>
      <c r="I1109" s="25">
        <f t="shared" si="69"/>
        <v>4800</v>
      </c>
      <c r="J1109" s="40"/>
      <c r="K1109" s="39"/>
      <c r="L1109" s="39"/>
      <c r="M1109" s="39"/>
      <c r="N1109" s="23"/>
      <c r="O1109" s="39"/>
      <c r="P1109" s="39"/>
      <c r="Q1109" s="39"/>
      <c r="R1109" s="39"/>
    </row>
    <row r="1110" spans="1:18" s="2" customFormat="1" ht="26.4">
      <c r="A1110" s="20">
        <f t="shared" si="68"/>
        <v>1039</v>
      </c>
      <c r="B1110" s="17" t="s">
        <v>1490</v>
      </c>
      <c r="C1110" s="17" t="s">
        <v>1491</v>
      </c>
      <c r="D1110" s="20" t="s">
        <v>25</v>
      </c>
      <c r="E1110" s="20" t="s">
        <v>26</v>
      </c>
      <c r="F1110" s="18">
        <v>1</v>
      </c>
      <c r="G1110" s="19">
        <v>16.399999999999999</v>
      </c>
      <c r="H1110" s="32">
        <v>40</v>
      </c>
      <c r="I1110" s="25">
        <f t="shared" si="69"/>
        <v>656</v>
      </c>
      <c r="J1110" s="40"/>
      <c r="K1110" s="39"/>
      <c r="L1110" s="39"/>
      <c r="M1110" s="39"/>
      <c r="N1110" s="23"/>
      <c r="O1110" s="39"/>
      <c r="P1110" s="39"/>
      <c r="Q1110" s="39"/>
      <c r="R1110" s="39"/>
    </row>
    <row r="1111" spans="1:18" s="2" customFormat="1" ht="26.4">
      <c r="A1111" s="20">
        <f t="shared" si="68"/>
        <v>1040</v>
      </c>
      <c r="B1111" s="17" t="s">
        <v>1492</v>
      </c>
      <c r="C1111" s="17" t="s">
        <v>1493</v>
      </c>
      <c r="D1111" s="20" t="s">
        <v>25</v>
      </c>
      <c r="E1111" s="20" t="s">
        <v>26</v>
      </c>
      <c r="F1111" s="18">
        <v>1</v>
      </c>
      <c r="G1111" s="19">
        <v>37.5</v>
      </c>
      <c r="H1111" s="32">
        <v>25</v>
      </c>
      <c r="I1111" s="25">
        <f t="shared" si="69"/>
        <v>937.5</v>
      </c>
      <c r="J1111" s="40"/>
      <c r="K1111" s="39"/>
      <c r="L1111" s="39"/>
      <c r="M1111" s="39"/>
      <c r="N1111" s="23"/>
      <c r="O1111" s="39"/>
      <c r="P1111" s="39"/>
      <c r="Q1111" s="39"/>
      <c r="R1111" s="39"/>
    </row>
    <row r="1112" spans="1:18" s="2" customFormat="1" ht="14.4">
      <c r="A1112" s="20">
        <f t="shared" si="68"/>
        <v>1041</v>
      </c>
      <c r="B1112" s="17" t="s">
        <v>1494</v>
      </c>
      <c r="C1112" s="17" t="s">
        <v>1495</v>
      </c>
      <c r="D1112" s="20" t="s">
        <v>25</v>
      </c>
      <c r="E1112" s="20" t="s">
        <v>26</v>
      </c>
      <c r="F1112" s="18">
        <v>1</v>
      </c>
      <c r="G1112" s="19">
        <v>17.899999999999999</v>
      </c>
      <c r="H1112" s="32">
        <v>100</v>
      </c>
      <c r="I1112" s="25">
        <f t="shared" si="69"/>
        <v>1789.9999999999998</v>
      </c>
      <c r="J1112" s="40"/>
      <c r="K1112" s="39"/>
      <c r="L1112" s="39"/>
      <c r="M1112" s="39"/>
      <c r="N1112" s="23"/>
      <c r="O1112" s="39"/>
      <c r="P1112" s="39"/>
      <c r="Q1112" s="39"/>
      <c r="R1112" s="39"/>
    </row>
    <row r="1113" spans="1:18" s="2" customFormat="1" ht="14.4">
      <c r="A1113" s="20">
        <f t="shared" si="68"/>
        <v>1042</v>
      </c>
      <c r="B1113" s="17" t="s">
        <v>1496</v>
      </c>
      <c r="C1113" s="17" t="s">
        <v>1497</v>
      </c>
      <c r="D1113" s="20" t="s">
        <v>25</v>
      </c>
      <c r="E1113" s="20" t="s">
        <v>26</v>
      </c>
      <c r="F1113" s="18">
        <v>1</v>
      </c>
      <c r="G1113" s="19">
        <v>24.7</v>
      </c>
      <c r="H1113" s="32">
        <v>40</v>
      </c>
      <c r="I1113" s="25">
        <f t="shared" si="69"/>
        <v>988</v>
      </c>
      <c r="J1113" s="40"/>
      <c r="K1113" s="39"/>
      <c r="L1113" s="39"/>
      <c r="M1113" s="39"/>
      <c r="N1113" s="23"/>
      <c r="O1113" s="39"/>
      <c r="P1113" s="39"/>
      <c r="Q1113" s="39"/>
      <c r="R1113" s="39"/>
    </row>
    <row r="1114" spans="1:18" s="2" customFormat="1" ht="14.4">
      <c r="A1114" s="20">
        <f t="shared" si="68"/>
        <v>1043</v>
      </c>
      <c r="B1114" s="17" t="s">
        <v>1498</v>
      </c>
      <c r="C1114" s="17" t="s">
        <v>1499</v>
      </c>
      <c r="D1114" s="20" t="s">
        <v>25</v>
      </c>
      <c r="E1114" s="20" t="s">
        <v>26</v>
      </c>
      <c r="F1114" s="18">
        <v>1</v>
      </c>
      <c r="G1114" s="19">
        <v>29.3</v>
      </c>
      <c r="H1114" s="32">
        <v>25</v>
      </c>
      <c r="I1114" s="25">
        <f t="shared" si="69"/>
        <v>732.5</v>
      </c>
      <c r="J1114" s="40"/>
      <c r="K1114" s="39"/>
      <c r="L1114" s="39"/>
      <c r="M1114" s="39"/>
      <c r="N1114" s="23"/>
      <c r="O1114" s="39"/>
      <c r="P1114" s="39"/>
      <c r="Q1114" s="39"/>
      <c r="R1114" s="39"/>
    </row>
    <row r="1115" spans="1:18" s="2" customFormat="1" ht="14.4">
      <c r="A1115" s="20">
        <f t="shared" si="68"/>
        <v>1044</v>
      </c>
      <c r="B1115" s="17" t="s">
        <v>1500</v>
      </c>
      <c r="C1115" s="17" t="s">
        <v>1501</v>
      </c>
      <c r="D1115" s="20" t="s">
        <v>25</v>
      </c>
      <c r="E1115" s="20" t="s">
        <v>26</v>
      </c>
      <c r="F1115" s="18">
        <v>1</v>
      </c>
      <c r="G1115" s="19">
        <v>62.4</v>
      </c>
      <c r="H1115" s="32">
        <v>35</v>
      </c>
      <c r="I1115" s="25">
        <f t="shared" si="69"/>
        <v>2184</v>
      </c>
      <c r="J1115" s="40"/>
      <c r="K1115" s="39"/>
      <c r="L1115" s="39"/>
      <c r="M1115" s="39"/>
      <c r="N1115" s="23"/>
      <c r="O1115" s="39"/>
      <c r="P1115" s="39"/>
      <c r="Q1115" s="39"/>
      <c r="R1115" s="39"/>
    </row>
    <row r="1116" spans="1:18" s="2" customFormat="1" ht="26.4">
      <c r="A1116" s="20">
        <f t="shared" si="68"/>
        <v>1045</v>
      </c>
      <c r="B1116" s="17" t="s">
        <v>1502</v>
      </c>
      <c r="C1116" s="17" t="s">
        <v>1503</v>
      </c>
      <c r="D1116" s="20" t="s">
        <v>25</v>
      </c>
      <c r="E1116" s="20" t="s">
        <v>26</v>
      </c>
      <c r="F1116" s="18">
        <v>1</v>
      </c>
      <c r="G1116" s="19">
        <v>40</v>
      </c>
      <c r="H1116" s="32">
        <v>100</v>
      </c>
      <c r="I1116" s="25">
        <f t="shared" si="69"/>
        <v>4000</v>
      </c>
      <c r="J1116" s="40"/>
      <c r="K1116" s="39"/>
      <c r="L1116" s="39"/>
      <c r="M1116" s="39"/>
      <c r="N1116" s="23"/>
      <c r="O1116" s="39"/>
      <c r="P1116" s="39"/>
      <c r="Q1116" s="39"/>
      <c r="R1116" s="39"/>
    </row>
    <row r="1117" spans="1:18" s="2" customFormat="1" ht="26.4">
      <c r="A1117" s="20">
        <f t="shared" si="68"/>
        <v>1046</v>
      </c>
      <c r="B1117" s="17" t="s">
        <v>1504</v>
      </c>
      <c r="C1117" s="17" t="s">
        <v>1505</v>
      </c>
      <c r="D1117" s="20" t="s">
        <v>25</v>
      </c>
      <c r="E1117" s="20" t="s">
        <v>26</v>
      </c>
      <c r="F1117" s="18">
        <v>1</v>
      </c>
      <c r="G1117" s="19">
        <v>42.62</v>
      </c>
      <c r="H1117" s="32">
        <v>10</v>
      </c>
      <c r="I1117" s="25">
        <f t="shared" si="69"/>
        <v>426.2</v>
      </c>
      <c r="J1117" s="40"/>
      <c r="K1117" s="39"/>
      <c r="L1117" s="39"/>
      <c r="M1117" s="39"/>
      <c r="N1117" s="23"/>
      <c r="O1117" s="39"/>
      <c r="P1117" s="39"/>
      <c r="Q1117" s="39"/>
      <c r="R1117" s="39"/>
    </row>
    <row r="1118" spans="1:18" s="2" customFormat="1" ht="26.4">
      <c r="A1118" s="20">
        <f t="shared" si="68"/>
        <v>1047</v>
      </c>
      <c r="B1118" s="17" t="s">
        <v>1506</v>
      </c>
      <c r="C1118" s="17" t="s">
        <v>1507</v>
      </c>
      <c r="D1118" s="20" t="s">
        <v>25</v>
      </c>
      <c r="E1118" s="20" t="s">
        <v>26</v>
      </c>
      <c r="F1118" s="18">
        <v>1</v>
      </c>
      <c r="G1118" s="19">
        <v>85</v>
      </c>
      <c r="H1118" s="32">
        <v>40</v>
      </c>
      <c r="I1118" s="25">
        <f t="shared" si="69"/>
        <v>3400</v>
      </c>
      <c r="J1118" s="40"/>
      <c r="K1118" s="39"/>
      <c r="L1118" s="39"/>
      <c r="M1118" s="39"/>
      <c r="N1118" s="23"/>
      <c r="O1118" s="39"/>
      <c r="P1118" s="39"/>
      <c r="Q1118" s="39"/>
      <c r="R1118" s="39"/>
    </row>
    <row r="1119" spans="1:18" s="2" customFormat="1" ht="26.4">
      <c r="A1119" s="20">
        <f t="shared" si="68"/>
        <v>1048</v>
      </c>
      <c r="B1119" s="17" t="s">
        <v>1508</v>
      </c>
      <c r="C1119" s="17" t="s">
        <v>1509</v>
      </c>
      <c r="D1119" s="20" t="s">
        <v>25</v>
      </c>
      <c r="E1119" s="20" t="s">
        <v>26</v>
      </c>
      <c r="F1119" s="18">
        <v>1</v>
      </c>
      <c r="G1119" s="19">
        <v>104</v>
      </c>
      <c r="H1119" s="32">
        <v>25</v>
      </c>
      <c r="I1119" s="25">
        <f t="shared" si="69"/>
        <v>2600</v>
      </c>
      <c r="J1119" s="40"/>
      <c r="K1119" s="39"/>
      <c r="L1119" s="39"/>
      <c r="M1119" s="39"/>
      <c r="N1119" s="23"/>
      <c r="O1119" s="39"/>
      <c r="P1119" s="39"/>
      <c r="Q1119" s="39"/>
      <c r="R1119" s="39"/>
    </row>
    <row r="1120" spans="1:18" s="2" customFormat="1" ht="26.4">
      <c r="A1120" s="20">
        <f t="shared" si="68"/>
        <v>1049</v>
      </c>
      <c r="B1120" s="17" t="s">
        <v>1510</v>
      </c>
      <c r="C1120" s="17" t="s">
        <v>1511</v>
      </c>
      <c r="D1120" s="20" t="s">
        <v>25</v>
      </c>
      <c r="E1120" s="20" t="s">
        <v>26</v>
      </c>
      <c r="F1120" s="18">
        <v>1</v>
      </c>
      <c r="G1120" s="19">
        <v>128</v>
      </c>
      <c r="H1120" s="32">
        <v>30</v>
      </c>
      <c r="I1120" s="25">
        <f t="shared" si="69"/>
        <v>3840</v>
      </c>
      <c r="J1120" s="40"/>
      <c r="K1120" s="39"/>
      <c r="L1120" s="39"/>
      <c r="M1120" s="39"/>
      <c r="N1120" s="23"/>
      <c r="O1120" s="39"/>
      <c r="P1120" s="39"/>
      <c r="Q1120" s="39"/>
      <c r="R1120" s="39"/>
    </row>
    <row r="1121" spans="1:18" s="2" customFormat="1" ht="26.4">
      <c r="A1121" s="20">
        <f t="shared" si="68"/>
        <v>1050</v>
      </c>
      <c r="B1121" s="17" t="s">
        <v>1512</v>
      </c>
      <c r="C1121" s="17" t="s">
        <v>1513</v>
      </c>
      <c r="D1121" s="20" t="s">
        <v>25</v>
      </c>
      <c r="E1121" s="20" t="s">
        <v>26</v>
      </c>
      <c r="F1121" s="18">
        <v>1</v>
      </c>
      <c r="G1121" s="19">
        <v>151</v>
      </c>
      <c r="H1121" s="32">
        <v>20</v>
      </c>
      <c r="I1121" s="25">
        <f t="shared" si="69"/>
        <v>3020</v>
      </c>
      <c r="J1121" s="40"/>
      <c r="K1121" s="39"/>
      <c r="L1121" s="39"/>
      <c r="M1121" s="39"/>
      <c r="N1121" s="23"/>
      <c r="O1121" s="39"/>
      <c r="P1121" s="39"/>
      <c r="Q1121" s="39"/>
      <c r="R1121" s="39"/>
    </row>
    <row r="1122" spans="1:18" s="2" customFormat="1" ht="14.4">
      <c r="A1122" s="20">
        <f t="shared" si="68"/>
        <v>1051</v>
      </c>
      <c r="B1122" s="17" t="s">
        <v>1514</v>
      </c>
      <c r="C1122" s="17" t="s">
        <v>1515</v>
      </c>
      <c r="D1122" s="20" t="s">
        <v>25</v>
      </c>
      <c r="E1122" s="20" t="s">
        <v>26</v>
      </c>
      <c r="F1122" s="18">
        <v>1</v>
      </c>
      <c r="G1122" s="19">
        <v>10.8</v>
      </c>
      <c r="H1122" s="32">
        <v>100</v>
      </c>
      <c r="I1122" s="25">
        <f t="shared" si="69"/>
        <v>1080</v>
      </c>
      <c r="J1122" s="40"/>
      <c r="K1122" s="39"/>
      <c r="L1122" s="39"/>
      <c r="M1122" s="39"/>
      <c r="N1122" s="23"/>
      <c r="O1122" s="39"/>
      <c r="P1122" s="39"/>
      <c r="Q1122" s="39"/>
      <c r="R1122" s="39"/>
    </row>
    <row r="1123" spans="1:18" s="2" customFormat="1" ht="14.4">
      <c r="A1123" s="20">
        <f t="shared" si="68"/>
        <v>1052</v>
      </c>
      <c r="B1123" s="17" t="s">
        <v>1516</v>
      </c>
      <c r="C1123" s="17" t="s">
        <v>1517</v>
      </c>
      <c r="D1123" s="20" t="s">
        <v>25</v>
      </c>
      <c r="E1123" s="20" t="s">
        <v>26</v>
      </c>
      <c r="F1123" s="18">
        <v>1</v>
      </c>
      <c r="G1123" s="19">
        <v>16.100000000000001</v>
      </c>
      <c r="H1123" s="32">
        <v>50</v>
      </c>
      <c r="I1123" s="25">
        <f t="shared" si="69"/>
        <v>805.00000000000011</v>
      </c>
      <c r="J1123" s="40"/>
      <c r="K1123" s="39"/>
      <c r="L1123" s="39"/>
      <c r="M1123" s="39"/>
      <c r="N1123" s="23"/>
      <c r="O1123" s="39"/>
      <c r="P1123" s="39"/>
      <c r="Q1123" s="39"/>
      <c r="R1123" s="39"/>
    </row>
    <row r="1124" spans="1:18" s="2" customFormat="1" ht="14.4">
      <c r="A1124" s="20">
        <f t="shared" si="68"/>
        <v>1053</v>
      </c>
      <c r="B1124" s="17" t="s">
        <v>1518</v>
      </c>
      <c r="C1124" s="17" t="s">
        <v>1519</v>
      </c>
      <c r="D1124" s="20" t="s">
        <v>25</v>
      </c>
      <c r="E1124" s="20" t="s">
        <v>26</v>
      </c>
      <c r="F1124" s="18">
        <v>1</v>
      </c>
      <c r="G1124" s="19">
        <v>24.82</v>
      </c>
      <c r="H1124" s="32">
        <v>35</v>
      </c>
      <c r="I1124" s="25">
        <f t="shared" si="69"/>
        <v>868.7</v>
      </c>
      <c r="J1124" s="40"/>
      <c r="K1124" s="39"/>
      <c r="L1124" s="39"/>
      <c r="M1124" s="39"/>
      <c r="N1124" s="23"/>
      <c r="O1124" s="39"/>
      <c r="P1124" s="39"/>
      <c r="Q1124" s="39"/>
      <c r="R1124" s="39"/>
    </row>
    <row r="1125" spans="1:18" s="2" customFormat="1" ht="14.4">
      <c r="A1125" s="20">
        <f t="shared" si="68"/>
        <v>1054</v>
      </c>
      <c r="B1125" s="17" t="s">
        <v>1520</v>
      </c>
      <c r="C1125" s="17" t="s">
        <v>1521</v>
      </c>
      <c r="D1125" s="20" t="s">
        <v>25</v>
      </c>
      <c r="E1125" s="20" t="s">
        <v>26</v>
      </c>
      <c r="F1125" s="18">
        <v>1</v>
      </c>
      <c r="G1125" s="19">
        <v>30.7</v>
      </c>
      <c r="H1125" s="32">
        <v>60</v>
      </c>
      <c r="I1125" s="25">
        <f t="shared" si="69"/>
        <v>1842</v>
      </c>
      <c r="J1125" s="40"/>
      <c r="K1125" s="39"/>
      <c r="L1125" s="39"/>
      <c r="M1125" s="39"/>
      <c r="N1125" s="23"/>
      <c r="O1125" s="39"/>
      <c r="P1125" s="39"/>
      <c r="Q1125" s="39"/>
      <c r="R1125" s="39"/>
    </row>
    <row r="1126" spans="1:18" s="2" customFormat="1" ht="14.4">
      <c r="A1126" s="20">
        <f t="shared" si="68"/>
        <v>1055</v>
      </c>
      <c r="B1126" s="17" t="s">
        <v>1522</v>
      </c>
      <c r="C1126" s="17" t="s">
        <v>1523</v>
      </c>
      <c r="D1126" s="20" t="s">
        <v>25</v>
      </c>
      <c r="E1126" s="20" t="s">
        <v>26</v>
      </c>
      <c r="F1126" s="18">
        <v>1</v>
      </c>
      <c r="G1126" s="19">
        <v>69</v>
      </c>
      <c r="H1126" s="32">
        <v>25</v>
      </c>
      <c r="I1126" s="25">
        <f t="shared" si="69"/>
        <v>1725</v>
      </c>
      <c r="J1126" s="40"/>
      <c r="K1126" s="39"/>
      <c r="L1126" s="39"/>
      <c r="M1126" s="39"/>
      <c r="N1126" s="23"/>
      <c r="O1126" s="39"/>
      <c r="P1126" s="39"/>
      <c r="Q1126" s="39"/>
      <c r="R1126" s="39"/>
    </row>
    <row r="1127" spans="1:18" s="2" customFormat="1" ht="14.4">
      <c r="A1127" s="20">
        <f t="shared" si="68"/>
        <v>1056</v>
      </c>
      <c r="B1127" s="17" t="s">
        <v>1524</v>
      </c>
      <c r="C1127" s="17" t="s">
        <v>1525</v>
      </c>
      <c r="D1127" s="20" t="s">
        <v>25</v>
      </c>
      <c r="E1127" s="20" t="s">
        <v>26</v>
      </c>
      <c r="F1127" s="18">
        <v>1</v>
      </c>
      <c r="G1127" s="19">
        <v>130.68</v>
      </c>
      <c r="H1127" s="32">
        <v>15</v>
      </c>
      <c r="I1127" s="25">
        <f t="shared" si="69"/>
        <v>1960.2</v>
      </c>
      <c r="J1127" s="40"/>
      <c r="K1127" s="39"/>
      <c r="L1127" s="39"/>
      <c r="M1127" s="39"/>
      <c r="N1127" s="23"/>
      <c r="O1127" s="39"/>
      <c r="P1127" s="39"/>
      <c r="Q1127" s="39"/>
      <c r="R1127" s="39"/>
    </row>
    <row r="1128" spans="1:18" s="2" customFormat="1" ht="14.4">
      <c r="A1128" s="20">
        <f t="shared" si="68"/>
        <v>1057</v>
      </c>
      <c r="B1128" s="17" t="s">
        <v>1526</v>
      </c>
      <c r="C1128" s="17" t="s">
        <v>1527</v>
      </c>
      <c r="D1128" s="20" t="s">
        <v>25</v>
      </c>
      <c r="E1128" s="20" t="s">
        <v>26</v>
      </c>
      <c r="F1128" s="18">
        <v>1</v>
      </c>
      <c r="G1128" s="19">
        <v>88</v>
      </c>
      <c r="H1128" s="32">
        <v>150</v>
      </c>
      <c r="I1128" s="25">
        <f t="shared" si="69"/>
        <v>13200</v>
      </c>
      <c r="J1128" s="40"/>
      <c r="K1128" s="39"/>
      <c r="L1128" s="39"/>
      <c r="M1128" s="39"/>
      <c r="N1128" s="23"/>
      <c r="O1128" s="39"/>
      <c r="P1128" s="39"/>
      <c r="Q1128" s="39"/>
      <c r="R1128" s="39"/>
    </row>
    <row r="1129" spans="1:18" s="2" customFormat="1" ht="14.4">
      <c r="A1129" s="20">
        <f t="shared" si="68"/>
        <v>1058</v>
      </c>
      <c r="B1129" s="17" t="s">
        <v>1528</v>
      </c>
      <c r="C1129" s="17" t="s">
        <v>1529</v>
      </c>
      <c r="D1129" s="20" t="s">
        <v>25</v>
      </c>
      <c r="E1129" s="20" t="s">
        <v>26</v>
      </c>
      <c r="F1129" s="18">
        <v>1</v>
      </c>
      <c r="G1129" s="19">
        <v>193</v>
      </c>
      <c r="H1129" s="32">
        <v>60</v>
      </c>
      <c r="I1129" s="25">
        <f t="shared" si="69"/>
        <v>11580</v>
      </c>
      <c r="J1129" s="40"/>
      <c r="K1129" s="39"/>
      <c r="L1129" s="39"/>
      <c r="M1129" s="39"/>
      <c r="N1129" s="23"/>
      <c r="O1129" s="39"/>
      <c r="P1129" s="39"/>
      <c r="Q1129" s="39"/>
      <c r="R1129" s="39"/>
    </row>
    <row r="1130" spans="1:18" s="2" customFormat="1" ht="14.4">
      <c r="A1130" s="20">
        <f t="shared" si="68"/>
        <v>1059</v>
      </c>
      <c r="B1130" s="17" t="s">
        <v>1530</v>
      </c>
      <c r="C1130" s="17" t="s">
        <v>1531</v>
      </c>
      <c r="D1130" s="20" t="s">
        <v>25</v>
      </c>
      <c r="E1130" s="20" t="s">
        <v>26</v>
      </c>
      <c r="F1130" s="18">
        <v>1</v>
      </c>
      <c r="G1130" s="19">
        <v>365</v>
      </c>
      <c r="H1130" s="32">
        <v>50</v>
      </c>
      <c r="I1130" s="25">
        <f t="shared" si="69"/>
        <v>18250</v>
      </c>
      <c r="J1130" s="40"/>
      <c r="K1130" s="39"/>
      <c r="L1130" s="39"/>
      <c r="M1130" s="39"/>
      <c r="N1130" s="23"/>
      <c r="O1130" s="39"/>
      <c r="P1130" s="39"/>
      <c r="Q1130" s="39"/>
      <c r="R1130" s="39"/>
    </row>
    <row r="1131" spans="1:18" s="2" customFormat="1" ht="14.4">
      <c r="A1131" s="20">
        <f t="shared" si="68"/>
        <v>1060</v>
      </c>
      <c r="B1131" s="17" t="s">
        <v>1532</v>
      </c>
      <c r="C1131" s="17" t="s">
        <v>1533</v>
      </c>
      <c r="D1131" s="20" t="s">
        <v>25</v>
      </c>
      <c r="E1131" s="20" t="s">
        <v>26</v>
      </c>
      <c r="F1131" s="18">
        <v>1</v>
      </c>
      <c r="G1131" s="19">
        <v>215.35</v>
      </c>
      <c r="H1131" s="32">
        <v>80</v>
      </c>
      <c r="I1131" s="25">
        <f t="shared" si="69"/>
        <v>17228</v>
      </c>
      <c r="J1131" s="40"/>
      <c r="K1131" s="39"/>
      <c r="L1131" s="39"/>
      <c r="M1131" s="39"/>
      <c r="N1131" s="23"/>
      <c r="O1131" s="39"/>
      <c r="P1131" s="39"/>
      <c r="Q1131" s="39"/>
      <c r="R1131" s="39"/>
    </row>
    <row r="1132" spans="1:18" s="2" customFormat="1" ht="26.4">
      <c r="A1132" s="20">
        <f t="shared" si="68"/>
        <v>1061</v>
      </c>
      <c r="B1132" s="17" t="s">
        <v>1534</v>
      </c>
      <c r="C1132" s="17" t="s">
        <v>1535</v>
      </c>
      <c r="D1132" s="20" t="s">
        <v>44</v>
      </c>
      <c r="E1132" s="20" t="s">
        <v>45</v>
      </c>
      <c r="F1132" s="18">
        <v>1</v>
      </c>
      <c r="G1132" s="19">
        <f>709.37/1.2</f>
        <v>591.14166666666665</v>
      </c>
      <c r="H1132" s="32">
        <v>300</v>
      </c>
      <c r="I1132" s="25">
        <f t="shared" si="69"/>
        <v>177342.5</v>
      </c>
      <c r="J1132" s="40"/>
      <c r="K1132" s="39"/>
      <c r="L1132" s="39"/>
      <c r="M1132" s="39"/>
      <c r="N1132" s="23"/>
      <c r="O1132" s="39"/>
      <c r="P1132" s="39"/>
      <c r="Q1132" s="39"/>
      <c r="R1132" s="39"/>
    </row>
    <row r="1133" spans="1:18" s="2" customFormat="1" ht="14.4">
      <c r="A1133" s="20">
        <f t="shared" si="68"/>
        <v>1062</v>
      </c>
      <c r="B1133" s="17" t="s">
        <v>1077</v>
      </c>
      <c r="C1133" s="17" t="s">
        <v>219</v>
      </c>
      <c r="D1133" s="20" t="s">
        <v>48</v>
      </c>
      <c r="E1133" s="20" t="s">
        <v>49</v>
      </c>
      <c r="F1133" s="18">
        <v>1</v>
      </c>
      <c r="G1133" s="19"/>
      <c r="H1133" s="32">
        <v>1</v>
      </c>
      <c r="I1133" s="25">
        <f>SUM(I1072:I1132)*0.05</f>
        <v>833227.07731529349</v>
      </c>
      <c r="J1133" s="40"/>
      <c r="K1133" s="39"/>
      <c r="L1133" s="39"/>
      <c r="M1133" s="39"/>
      <c r="N1133" s="23"/>
      <c r="O1133" s="39"/>
      <c r="P1133" s="39"/>
      <c r="Q1133" s="39"/>
      <c r="R1133" s="39"/>
    </row>
    <row r="1134" spans="1:18" s="2" customFormat="1" ht="14.4">
      <c r="A1134" s="9" t="s">
        <v>61</v>
      </c>
      <c r="B1134" s="13"/>
      <c r="C1134" s="13" t="s">
        <v>1536</v>
      </c>
      <c r="D1134" s="14"/>
      <c r="E1134" s="14"/>
      <c r="F1134" s="18"/>
      <c r="G1134" s="19"/>
      <c r="H1134" s="15"/>
      <c r="I1134" s="25"/>
      <c r="J1134" s="24"/>
      <c r="K1134" s="22"/>
      <c r="L1134" s="22"/>
      <c r="M1134" s="22"/>
      <c r="N1134" s="23"/>
      <c r="O1134" s="22"/>
      <c r="P1134" s="22"/>
      <c r="Q1134" s="22"/>
      <c r="R1134" s="22"/>
    </row>
    <row r="1135" spans="1:18" s="2" customFormat="1" ht="26.4">
      <c r="A1135" s="20">
        <f>A1133+1</f>
        <v>1063</v>
      </c>
      <c r="B1135" s="17" t="s">
        <v>1537</v>
      </c>
      <c r="C1135" s="17" t="s">
        <v>1538</v>
      </c>
      <c r="D1135" s="20" t="s">
        <v>25</v>
      </c>
      <c r="E1135" s="20" t="s">
        <v>26</v>
      </c>
      <c r="F1135" s="18">
        <v>1</v>
      </c>
      <c r="G1135" s="19">
        <f>116.86/1.2</f>
        <v>97.38333333333334</v>
      </c>
      <c r="H1135" s="32">
        <v>18</v>
      </c>
      <c r="I1135" s="25">
        <f t="shared" si="69"/>
        <v>1752.9</v>
      </c>
      <c r="J1135" s="40"/>
      <c r="K1135" s="39"/>
      <c r="L1135" s="39"/>
      <c r="M1135" s="39"/>
      <c r="N1135" s="23"/>
      <c r="O1135" s="39"/>
      <c r="P1135" s="39"/>
      <c r="Q1135" s="39"/>
      <c r="R1135" s="39"/>
    </row>
    <row r="1136" spans="1:18" s="2" customFormat="1" ht="26.4">
      <c r="A1136" s="20">
        <f t="shared" ref="A1136:A1153" si="70">A1135+1</f>
        <v>1064</v>
      </c>
      <c r="B1136" s="17" t="s">
        <v>1539</v>
      </c>
      <c r="C1136" s="17" t="s">
        <v>1540</v>
      </c>
      <c r="D1136" s="20" t="s">
        <v>25</v>
      </c>
      <c r="E1136" s="20" t="s">
        <v>26</v>
      </c>
      <c r="F1136" s="18">
        <v>1</v>
      </c>
      <c r="G1136" s="19">
        <f>388.63/1.2</f>
        <v>323.85833333333335</v>
      </c>
      <c r="H1136" s="32">
        <v>59</v>
      </c>
      <c r="I1136" s="25">
        <f t="shared" si="69"/>
        <v>19107.641666666666</v>
      </c>
      <c r="J1136" s="40"/>
      <c r="K1136" s="39"/>
      <c r="L1136" s="39"/>
      <c r="M1136" s="39"/>
      <c r="N1136" s="23"/>
      <c r="O1136" s="39"/>
      <c r="P1136" s="39"/>
      <c r="Q1136" s="39"/>
      <c r="R1136" s="39"/>
    </row>
    <row r="1137" spans="1:18" s="2" customFormat="1" ht="26.4">
      <c r="A1137" s="20">
        <f t="shared" si="70"/>
        <v>1065</v>
      </c>
      <c r="B1137" s="17" t="s">
        <v>1541</v>
      </c>
      <c r="C1137" s="17" t="s">
        <v>1542</v>
      </c>
      <c r="D1137" s="20" t="s">
        <v>25</v>
      </c>
      <c r="E1137" s="20" t="s">
        <v>26</v>
      </c>
      <c r="F1137" s="18">
        <v>1</v>
      </c>
      <c r="G1137" s="19">
        <f>187.07/1.2</f>
        <v>155.89166666666668</v>
      </c>
      <c r="H1137" s="32">
        <v>18</v>
      </c>
      <c r="I1137" s="25">
        <f t="shared" si="69"/>
        <v>2806.05</v>
      </c>
      <c r="J1137" s="40"/>
      <c r="K1137" s="39"/>
      <c r="L1137" s="39"/>
      <c r="M1137" s="39"/>
      <c r="N1137" s="23"/>
      <c r="O1137" s="39"/>
      <c r="P1137" s="39"/>
      <c r="Q1137" s="39"/>
      <c r="R1137" s="39"/>
    </row>
    <row r="1138" spans="1:18" s="2" customFormat="1" ht="26.4">
      <c r="A1138" s="20">
        <f t="shared" si="70"/>
        <v>1066</v>
      </c>
      <c r="B1138" s="17" t="s">
        <v>1543</v>
      </c>
      <c r="C1138" s="17" t="s">
        <v>1544</v>
      </c>
      <c r="D1138" s="20" t="s">
        <v>25</v>
      </c>
      <c r="E1138" s="20" t="s">
        <v>26</v>
      </c>
      <c r="F1138" s="18">
        <v>1</v>
      </c>
      <c r="G1138" s="19">
        <f>206.7</f>
        <v>206.7</v>
      </c>
      <c r="H1138" s="32">
        <v>93</v>
      </c>
      <c r="I1138" s="25">
        <f t="shared" si="69"/>
        <v>19223.099999999999</v>
      </c>
      <c r="J1138" s="40"/>
      <c r="K1138" s="39"/>
      <c r="L1138" s="39"/>
      <c r="M1138" s="39"/>
      <c r="N1138" s="23"/>
      <c r="O1138" s="39"/>
      <c r="P1138" s="39"/>
      <c r="Q1138" s="39"/>
      <c r="R1138" s="39"/>
    </row>
    <row r="1139" spans="1:18" s="2" customFormat="1" ht="26.4">
      <c r="A1139" s="20">
        <f t="shared" si="70"/>
        <v>1067</v>
      </c>
      <c r="B1139" s="17" t="s">
        <v>1545</v>
      </c>
      <c r="C1139" s="17" t="s">
        <v>1546</v>
      </c>
      <c r="D1139" s="20" t="s">
        <v>25</v>
      </c>
      <c r="E1139" s="20" t="s">
        <v>26</v>
      </c>
      <c r="F1139" s="18">
        <v>1</v>
      </c>
      <c r="G1139" s="19">
        <f>258.74/1.2</f>
        <v>215.61666666666667</v>
      </c>
      <c r="H1139" s="32">
        <v>93</v>
      </c>
      <c r="I1139" s="25">
        <f t="shared" si="69"/>
        <v>20052.350000000002</v>
      </c>
      <c r="J1139" s="40"/>
      <c r="K1139" s="39"/>
      <c r="L1139" s="39"/>
      <c r="M1139" s="39"/>
      <c r="N1139" s="23"/>
      <c r="O1139" s="39"/>
      <c r="P1139" s="39"/>
      <c r="Q1139" s="39"/>
      <c r="R1139" s="39"/>
    </row>
    <row r="1140" spans="1:18" s="2" customFormat="1" ht="26.4">
      <c r="A1140" s="20">
        <f t="shared" si="70"/>
        <v>1068</v>
      </c>
      <c r="B1140" s="17" t="s">
        <v>1547</v>
      </c>
      <c r="C1140" s="17" t="s">
        <v>1548</v>
      </c>
      <c r="D1140" s="20" t="s">
        <v>25</v>
      </c>
      <c r="E1140" s="20" t="s">
        <v>26</v>
      </c>
      <c r="F1140" s="18">
        <v>1</v>
      </c>
      <c r="G1140" s="19">
        <f>711.1/1.2</f>
        <v>592.58333333333337</v>
      </c>
      <c r="H1140" s="32">
        <v>21</v>
      </c>
      <c r="I1140" s="25">
        <f t="shared" si="69"/>
        <v>12444.25</v>
      </c>
      <c r="J1140" s="40"/>
      <c r="K1140" s="39"/>
      <c r="L1140" s="39"/>
      <c r="M1140" s="39"/>
      <c r="N1140" s="23"/>
      <c r="O1140" s="39"/>
      <c r="P1140" s="39"/>
      <c r="Q1140" s="39"/>
      <c r="R1140" s="39"/>
    </row>
    <row r="1141" spans="1:18" s="2" customFormat="1" ht="26.4">
      <c r="A1141" s="20">
        <f t="shared" si="70"/>
        <v>1069</v>
      </c>
      <c r="B1141" s="17" t="s">
        <v>1549</v>
      </c>
      <c r="C1141" s="17" t="s">
        <v>1550</v>
      </c>
      <c r="D1141" s="20" t="s">
        <v>25</v>
      </c>
      <c r="E1141" s="20" t="s">
        <v>26</v>
      </c>
      <c r="F1141" s="18">
        <v>1</v>
      </c>
      <c r="G1141" s="19">
        <v>865</v>
      </c>
      <c r="H1141" s="32">
        <v>54</v>
      </c>
      <c r="I1141" s="25">
        <f t="shared" si="69"/>
        <v>46710</v>
      </c>
      <c r="J1141" s="40"/>
      <c r="K1141" s="39"/>
      <c r="L1141" s="39"/>
      <c r="M1141" s="39"/>
      <c r="N1141" s="23"/>
      <c r="O1141" s="39"/>
      <c r="P1141" s="39"/>
      <c r="Q1141" s="39"/>
      <c r="R1141" s="39"/>
    </row>
    <row r="1142" spans="1:18" s="2" customFormat="1" ht="26.4">
      <c r="A1142" s="20">
        <f t="shared" si="70"/>
        <v>1070</v>
      </c>
      <c r="B1142" s="17" t="s">
        <v>1551</v>
      </c>
      <c r="C1142" s="17" t="s">
        <v>1552</v>
      </c>
      <c r="D1142" s="20" t="s">
        <v>25</v>
      </c>
      <c r="E1142" s="20" t="s">
        <v>26</v>
      </c>
      <c r="F1142" s="18">
        <v>1</v>
      </c>
      <c r="G1142" s="19">
        <f>1157.7/1.2</f>
        <v>964.75000000000011</v>
      </c>
      <c r="H1142" s="32">
        <v>9</v>
      </c>
      <c r="I1142" s="25">
        <f t="shared" si="69"/>
        <v>8682.7500000000018</v>
      </c>
      <c r="J1142" s="40"/>
      <c r="K1142" s="39"/>
      <c r="L1142" s="39"/>
      <c r="M1142" s="39"/>
      <c r="N1142" s="23"/>
      <c r="O1142" s="39"/>
      <c r="P1142" s="39"/>
      <c r="Q1142" s="39"/>
      <c r="R1142" s="39"/>
    </row>
    <row r="1143" spans="1:18" s="2" customFormat="1" ht="26.4">
      <c r="A1143" s="20">
        <f t="shared" si="70"/>
        <v>1071</v>
      </c>
      <c r="B1143" s="17" t="s">
        <v>1553</v>
      </c>
      <c r="C1143" s="17" t="s">
        <v>1554</v>
      </c>
      <c r="D1143" s="20" t="s">
        <v>25</v>
      </c>
      <c r="E1143" s="20" t="s">
        <v>26</v>
      </c>
      <c r="F1143" s="18">
        <v>1</v>
      </c>
      <c r="G1143" s="19">
        <f>749.2/1.2</f>
        <v>624.33333333333337</v>
      </c>
      <c r="H1143" s="32">
        <v>12</v>
      </c>
      <c r="I1143" s="25">
        <f t="shared" si="69"/>
        <v>7492</v>
      </c>
      <c r="J1143" s="40"/>
      <c r="K1143" s="39"/>
      <c r="L1143" s="39"/>
      <c r="M1143" s="39"/>
      <c r="N1143" s="23"/>
      <c r="O1143" s="39"/>
      <c r="P1143" s="39"/>
      <c r="Q1143" s="39"/>
      <c r="R1143" s="39"/>
    </row>
    <row r="1144" spans="1:18" s="2" customFormat="1" ht="14.4">
      <c r="A1144" s="20">
        <f t="shared" si="70"/>
        <v>1072</v>
      </c>
      <c r="B1144" s="17" t="s">
        <v>1555</v>
      </c>
      <c r="C1144" s="17" t="s">
        <v>1556</v>
      </c>
      <c r="D1144" s="20" t="s">
        <v>25</v>
      </c>
      <c r="E1144" s="20" t="s">
        <v>26</v>
      </c>
      <c r="F1144" s="18">
        <v>1</v>
      </c>
      <c r="G1144" s="19">
        <v>15</v>
      </c>
      <c r="H1144" s="32">
        <v>309</v>
      </c>
      <c r="I1144" s="25">
        <f t="shared" si="69"/>
        <v>4635</v>
      </c>
      <c r="J1144" s="40"/>
      <c r="K1144" s="39"/>
      <c r="L1144" s="39"/>
      <c r="M1144" s="39"/>
      <c r="N1144" s="23"/>
      <c r="O1144" s="39"/>
      <c r="P1144" s="39"/>
      <c r="Q1144" s="39"/>
      <c r="R1144" s="39"/>
    </row>
    <row r="1145" spans="1:18" s="2" customFormat="1" ht="26.4">
      <c r="A1145" s="20">
        <f t="shared" si="70"/>
        <v>1073</v>
      </c>
      <c r="B1145" s="17" t="s">
        <v>1557</v>
      </c>
      <c r="C1145" s="17" t="s">
        <v>1558</v>
      </c>
      <c r="D1145" s="20" t="s">
        <v>5</v>
      </c>
      <c r="E1145" s="20" t="s">
        <v>6</v>
      </c>
      <c r="F1145" s="18">
        <v>1</v>
      </c>
      <c r="G1145" s="19">
        <f>1060/1.2</f>
        <v>883.33333333333337</v>
      </c>
      <c r="H1145" s="32">
        <v>12</v>
      </c>
      <c r="I1145" s="25">
        <f t="shared" si="69"/>
        <v>10600</v>
      </c>
      <c r="J1145" s="40"/>
      <c r="K1145" s="39"/>
      <c r="L1145" s="39"/>
      <c r="M1145" s="39"/>
      <c r="N1145" s="23"/>
      <c r="O1145" s="39"/>
      <c r="P1145" s="39"/>
      <c r="Q1145" s="39"/>
      <c r="R1145" s="39"/>
    </row>
    <row r="1146" spans="1:18" s="2" customFormat="1" ht="14.4">
      <c r="A1146" s="20">
        <f t="shared" si="70"/>
        <v>1074</v>
      </c>
      <c r="B1146" s="17" t="s">
        <v>1559</v>
      </c>
      <c r="C1146" s="17" t="s">
        <v>1560</v>
      </c>
      <c r="D1146" s="20" t="s">
        <v>5</v>
      </c>
      <c r="E1146" s="20" t="s">
        <v>6</v>
      </c>
      <c r="F1146" s="18">
        <v>1</v>
      </c>
      <c r="G1146" s="19">
        <f>635/1.2</f>
        <v>529.16666666666674</v>
      </c>
      <c r="H1146" s="32">
        <v>12</v>
      </c>
      <c r="I1146" s="25">
        <f t="shared" si="69"/>
        <v>6350.0000000000009</v>
      </c>
      <c r="J1146" s="40"/>
      <c r="K1146" s="39"/>
      <c r="L1146" s="39"/>
      <c r="M1146" s="39"/>
      <c r="N1146" s="23"/>
      <c r="O1146" s="39"/>
      <c r="P1146" s="39"/>
      <c r="Q1146" s="39"/>
      <c r="R1146" s="39"/>
    </row>
    <row r="1147" spans="1:18" s="2" customFormat="1" ht="26.4">
      <c r="A1147" s="20">
        <f t="shared" si="70"/>
        <v>1075</v>
      </c>
      <c r="B1147" s="17" t="s">
        <v>1561</v>
      </c>
      <c r="C1147" s="17" t="s">
        <v>1562</v>
      </c>
      <c r="D1147" s="20" t="s">
        <v>5</v>
      </c>
      <c r="E1147" s="20" t="s">
        <v>6</v>
      </c>
      <c r="F1147" s="18">
        <v>1</v>
      </c>
      <c r="G1147" s="19">
        <v>99</v>
      </c>
      <c r="H1147" s="32">
        <v>24</v>
      </c>
      <c r="I1147" s="25">
        <f t="shared" si="69"/>
        <v>2376</v>
      </c>
      <c r="J1147" s="40"/>
      <c r="K1147" s="39"/>
      <c r="L1147" s="39"/>
      <c r="M1147" s="39"/>
      <c r="N1147" s="23"/>
      <c r="O1147" s="39"/>
      <c r="P1147" s="39"/>
      <c r="Q1147" s="39"/>
      <c r="R1147" s="39"/>
    </row>
    <row r="1148" spans="1:18" s="2" customFormat="1" ht="14.4">
      <c r="A1148" s="20">
        <f t="shared" si="70"/>
        <v>1076</v>
      </c>
      <c r="B1148" s="17" t="s">
        <v>1563</v>
      </c>
      <c r="C1148" s="17" t="s">
        <v>1564</v>
      </c>
      <c r="D1148" s="20" t="s">
        <v>25</v>
      </c>
      <c r="E1148" s="20" t="s">
        <v>26</v>
      </c>
      <c r="F1148" s="18">
        <v>1</v>
      </c>
      <c r="G1148" s="19">
        <v>1245.71</v>
      </c>
      <c r="H1148" s="32">
        <v>2</v>
      </c>
      <c r="I1148" s="25">
        <f t="shared" si="69"/>
        <v>2491.42</v>
      </c>
      <c r="J1148" s="40"/>
      <c r="K1148" s="39"/>
      <c r="L1148" s="39"/>
      <c r="M1148" s="39"/>
      <c r="N1148" s="23"/>
      <c r="O1148" s="39"/>
      <c r="P1148" s="39"/>
      <c r="Q1148" s="39"/>
      <c r="R1148" s="39"/>
    </row>
    <row r="1149" spans="1:18" s="2" customFormat="1" ht="14.4">
      <c r="A1149" s="20">
        <f t="shared" si="70"/>
        <v>1077</v>
      </c>
      <c r="B1149" s="17" t="s">
        <v>1565</v>
      </c>
      <c r="C1149" s="17" t="s">
        <v>1566</v>
      </c>
      <c r="D1149" s="20" t="s">
        <v>25</v>
      </c>
      <c r="E1149" s="20" t="s">
        <v>26</v>
      </c>
      <c r="F1149" s="18">
        <v>1</v>
      </c>
      <c r="G1149" s="19">
        <v>888.26</v>
      </c>
      <c r="H1149" s="32">
        <v>6</v>
      </c>
      <c r="I1149" s="25">
        <f t="shared" si="69"/>
        <v>5329.5599999999995</v>
      </c>
      <c r="J1149" s="40"/>
      <c r="K1149" s="39"/>
      <c r="L1149" s="39"/>
      <c r="M1149" s="39"/>
      <c r="N1149" s="23"/>
      <c r="O1149" s="39"/>
      <c r="P1149" s="39"/>
      <c r="Q1149" s="39"/>
      <c r="R1149" s="39"/>
    </row>
    <row r="1150" spans="1:18" s="2" customFormat="1" ht="14.4">
      <c r="A1150" s="20">
        <f t="shared" si="70"/>
        <v>1078</v>
      </c>
      <c r="B1150" s="17" t="s">
        <v>1567</v>
      </c>
      <c r="C1150" s="17" t="s">
        <v>1568</v>
      </c>
      <c r="D1150" s="20" t="s">
        <v>25</v>
      </c>
      <c r="E1150" s="20" t="s">
        <v>26</v>
      </c>
      <c r="F1150" s="18">
        <v>1</v>
      </c>
      <c r="G1150" s="19">
        <v>846.39</v>
      </c>
      <c r="H1150" s="32">
        <v>3</v>
      </c>
      <c r="I1150" s="25">
        <f t="shared" si="69"/>
        <v>2539.17</v>
      </c>
      <c r="J1150" s="40"/>
      <c r="K1150" s="39"/>
      <c r="L1150" s="39"/>
      <c r="M1150" s="39"/>
      <c r="N1150" s="23"/>
      <c r="O1150" s="39"/>
      <c r="P1150" s="39"/>
      <c r="Q1150" s="39"/>
      <c r="R1150" s="39"/>
    </row>
    <row r="1151" spans="1:18" s="2" customFormat="1" ht="14.4">
      <c r="A1151" s="20">
        <f t="shared" si="70"/>
        <v>1079</v>
      </c>
      <c r="B1151" s="17" t="s">
        <v>1569</v>
      </c>
      <c r="C1151" s="17" t="s">
        <v>1570</v>
      </c>
      <c r="D1151" s="20" t="s">
        <v>25</v>
      </c>
      <c r="E1151" s="20" t="s">
        <v>26</v>
      </c>
      <c r="F1151" s="18">
        <v>1</v>
      </c>
      <c r="G1151" s="19">
        <v>612.52</v>
      </c>
      <c r="H1151" s="32">
        <v>5</v>
      </c>
      <c r="I1151" s="25">
        <f t="shared" si="69"/>
        <v>3062.6</v>
      </c>
      <c r="J1151" s="40"/>
      <c r="K1151" s="39"/>
      <c r="L1151" s="39"/>
      <c r="M1151" s="39"/>
      <c r="N1151" s="23"/>
      <c r="O1151" s="39"/>
      <c r="P1151" s="39"/>
      <c r="Q1151" s="39"/>
      <c r="R1151" s="39"/>
    </row>
    <row r="1152" spans="1:18" s="2" customFormat="1" ht="14.4">
      <c r="A1152" s="20">
        <f t="shared" si="70"/>
        <v>1080</v>
      </c>
      <c r="B1152" s="17" t="s">
        <v>1571</v>
      </c>
      <c r="C1152" s="17" t="s">
        <v>1572</v>
      </c>
      <c r="D1152" s="20" t="s">
        <v>25</v>
      </c>
      <c r="E1152" s="20" t="s">
        <v>26</v>
      </c>
      <c r="F1152" s="18">
        <v>1</v>
      </c>
      <c r="G1152" s="19">
        <v>579</v>
      </c>
      <c r="H1152" s="32">
        <v>3</v>
      </c>
      <c r="I1152" s="25">
        <f t="shared" si="69"/>
        <v>1737</v>
      </c>
      <c r="J1152" s="40"/>
      <c r="K1152" s="39"/>
      <c r="L1152" s="39"/>
      <c r="M1152" s="39"/>
      <c r="N1152" s="23"/>
      <c r="O1152" s="39"/>
      <c r="P1152" s="39"/>
      <c r="Q1152" s="39"/>
      <c r="R1152" s="39"/>
    </row>
    <row r="1153" spans="1:18" s="2" customFormat="1" ht="14.4">
      <c r="A1153" s="20">
        <f t="shared" si="70"/>
        <v>1081</v>
      </c>
      <c r="B1153" s="17" t="s">
        <v>218</v>
      </c>
      <c r="C1153" s="17" t="s">
        <v>219</v>
      </c>
      <c r="D1153" s="20" t="s">
        <v>48</v>
      </c>
      <c r="E1153" s="20" t="s">
        <v>49</v>
      </c>
      <c r="F1153" s="18">
        <v>1</v>
      </c>
      <c r="G1153" s="19">
        <f>1.633198857</f>
        <v>1.633198857</v>
      </c>
      <c r="H1153" s="32">
        <v>1</v>
      </c>
      <c r="I1153" s="25">
        <f>SUM(I1135:I1152)*0.05</f>
        <v>8869.5895833333361</v>
      </c>
      <c r="J1153" s="40"/>
      <c r="K1153" s="39"/>
      <c r="L1153" s="39"/>
      <c r="M1153" s="39"/>
      <c r="N1153" s="23"/>
      <c r="O1153" s="39"/>
      <c r="P1153" s="39"/>
      <c r="Q1153" s="39"/>
      <c r="R1153" s="39"/>
    </row>
    <row r="1154" spans="1:18" s="2" customFormat="1" ht="14.4">
      <c r="A1154" s="9" t="s">
        <v>61</v>
      </c>
      <c r="B1154" s="13"/>
      <c r="C1154" s="13" t="s">
        <v>1573</v>
      </c>
      <c r="D1154" s="14"/>
      <c r="E1154" s="14"/>
      <c r="F1154" s="18"/>
      <c r="G1154" s="19"/>
      <c r="H1154" s="15"/>
      <c r="I1154" s="25"/>
      <c r="J1154" s="24"/>
      <c r="K1154" s="22"/>
      <c r="L1154" s="22"/>
      <c r="M1154" s="22"/>
      <c r="N1154" s="23"/>
      <c r="O1154" s="22"/>
      <c r="P1154" s="22"/>
      <c r="Q1154" s="22"/>
      <c r="R1154" s="22"/>
    </row>
    <row r="1155" spans="1:18" s="2" customFormat="1" ht="52.8">
      <c r="A1155" s="20">
        <f>A1153+1</f>
        <v>1082</v>
      </c>
      <c r="B1155" s="17" t="s">
        <v>1574</v>
      </c>
      <c r="C1155" s="17" t="s">
        <v>1575</v>
      </c>
      <c r="D1155" s="20" t="s">
        <v>25</v>
      </c>
      <c r="E1155" s="20" t="s">
        <v>26</v>
      </c>
      <c r="F1155" s="18">
        <v>1</v>
      </c>
      <c r="G1155" s="19">
        <v>29.41</v>
      </c>
      <c r="H1155" s="32">
        <v>300</v>
      </c>
      <c r="I1155" s="25">
        <f t="shared" si="69"/>
        <v>8823</v>
      </c>
      <c r="J1155" s="40"/>
      <c r="K1155" s="39"/>
      <c r="L1155" s="39"/>
      <c r="M1155" s="39"/>
      <c r="N1155" s="23"/>
      <c r="O1155" s="39"/>
      <c r="P1155" s="39"/>
      <c r="Q1155" s="39"/>
      <c r="R1155" s="39"/>
    </row>
    <row r="1156" spans="1:18" s="2" customFormat="1" ht="52.8">
      <c r="A1156" s="20">
        <f t="shared" ref="A1156:A1165" si="71">A1155+1</f>
        <v>1083</v>
      </c>
      <c r="B1156" s="17" t="s">
        <v>1576</v>
      </c>
      <c r="C1156" s="17" t="s">
        <v>1577</v>
      </c>
      <c r="D1156" s="20" t="s">
        <v>25</v>
      </c>
      <c r="E1156" s="20" t="s">
        <v>26</v>
      </c>
      <c r="F1156" s="18">
        <v>1</v>
      </c>
      <c r="G1156" s="19">
        <v>38.4</v>
      </c>
      <c r="H1156" s="32">
        <v>150</v>
      </c>
      <c r="I1156" s="25">
        <f t="shared" si="69"/>
        <v>5760</v>
      </c>
      <c r="J1156" s="40"/>
      <c r="K1156" s="39"/>
      <c r="L1156" s="39"/>
      <c r="M1156" s="39"/>
      <c r="N1156" s="23"/>
      <c r="O1156" s="39"/>
      <c r="P1156" s="39"/>
      <c r="Q1156" s="39"/>
      <c r="R1156" s="39"/>
    </row>
    <row r="1157" spans="1:18" s="2" customFormat="1" ht="52.8">
      <c r="A1157" s="20">
        <f t="shared" si="71"/>
        <v>1084</v>
      </c>
      <c r="B1157" s="17" t="s">
        <v>1578</v>
      </c>
      <c r="C1157" s="17" t="s">
        <v>1579</v>
      </c>
      <c r="D1157" s="20" t="s">
        <v>25</v>
      </c>
      <c r="E1157" s="20" t="s">
        <v>26</v>
      </c>
      <c r="F1157" s="18">
        <v>1</v>
      </c>
      <c r="G1157" s="19">
        <v>171.75</v>
      </c>
      <c r="H1157" s="32">
        <v>20</v>
      </c>
      <c r="I1157" s="25">
        <f t="shared" si="69"/>
        <v>3435</v>
      </c>
      <c r="J1157" s="40"/>
      <c r="K1157" s="39"/>
      <c r="L1157" s="39"/>
      <c r="M1157" s="39"/>
      <c r="N1157" s="23"/>
      <c r="O1157" s="39"/>
      <c r="P1157" s="39"/>
      <c r="Q1157" s="39"/>
      <c r="R1157" s="39"/>
    </row>
    <row r="1158" spans="1:18" s="2" customFormat="1" ht="26.4">
      <c r="A1158" s="20">
        <f t="shared" si="71"/>
        <v>1085</v>
      </c>
      <c r="B1158" s="17" t="s">
        <v>1580</v>
      </c>
      <c r="C1158" s="17" t="s">
        <v>1581</v>
      </c>
      <c r="D1158" s="20" t="s">
        <v>25</v>
      </c>
      <c r="E1158" s="20" t="s">
        <v>26</v>
      </c>
      <c r="F1158" s="18">
        <v>1</v>
      </c>
      <c r="G1158" s="19">
        <v>619.74</v>
      </c>
      <c r="H1158" s="32">
        <v>6</v>
      </c>
      <c r="I1158" s="25">
        <f t="shared" si="69"/>
        <v>3718.44</v>
      </c>
      <c r="J1158" s="40"/>
      <c r="K1158" s="39"/>
      <c r="L1158" s="39"/>
      <c r="M1158" s="39"/>
      <c r="N1158" s="23"/>
      <c r="O1158" s="39"/>
      <c r="P1158" s="39"/>
      <c r="Q1158" s="39"/>
      <c r="R1158" s="39"/>
    </row>
    <row r="1159" spans="1:18" s="2" customFormat="1" ht="26.4">
      <c r="A1159" s="20">
        <f t="shared" si="71"/>
        <v>1086</v>
      </c>
      <c r="B1159" s="17" t="s">
        <v>1480</v>
      </c>
      <c r="C1159" s="17" t="s">
        <v>1481</v>
      </c>
      <c r="D1159" s="20" t="s">
        <v>25</v>
      </c>
      <c r="E1159" s="20" t="s">
        <v>26</v>
      </c>
      <c r="F1159" s="18">
        <v>1</v>
      </c>
      <c r="G1159" s="19">
        <v>12</v>
      </c>
      <c r="H1159" s="32">
        <v>125</v>
      </c>
      <c r="I1159" s="25">
        <f t="shared" si="69"/>
        <v>1500</v>
      </c>
      <c r="J1159" s="40"/>
      <c r="K1159" s="39"/>
      <c r="L1159" s="39"/>
      <c r="M1159" s="39"/>
      <c r="N1159" s="23"/>
      <c r="O1159" s="39"/>
      <c r="P1159" s="39"/>
      <c r="Q1159" s="39"/>
      <c r="R1159" s="39"/>
    </row>
    <row r="1160" spans="1:18" s="2" customFormat="1" ht="14.4">
      <c r="A1160" s="20">
        <f t="shared" si="71"/>
        <v>1087</v>
      </c>
      <c r="B1160" s="17" t="s">
        <v>1582</v>
      </c>
      <c r="C1160" s="17" t="s">
        <v>1583</v>
      </c>
      <c r="D1160" s="20" t="s">
        <v>5</v>
      </c>
      <c r="E1160" s="20" t="s">
        <v>6</v>
      </c>
      <c r="F1160" s="18">
        <v>1</v>
      </c>
      <c r="G1160" s="19">
        <v>30.48</v>
      </c>
      <c r="H1160" s="32">
        <v>7</v>
      </c>
      <c r="I1160" s="25">
        <f t="shared" si="69"/>
        <v>213.36</v>
      </c>
      <c r="J1160" s="40"/>
      <c r="K1160" s="39"/>
      <c r="L1160" s="39"/>
      <c r="M1160" s="39"/>
      <c r="N1160" s="23"/>
      <c r="O1160" s="39"/>
      <c r="P1160" s="39"/>
      <c r="Q1160" s="39"/>
      <c r="R1160" s="39"/>
    </row>
    <row r="1161" spans="1:18" s="2" customFormat="1" ht="14.4">
      <c r="A1161" s="20">
        <f t="shared" si="71"/>
        <v>1088</v>
      </c>
      <c r="B1161" s="17" t="s">
        <v>1584</v>
      </c>
      <c r="C1161" s="17" t="s">
        <v>1585</v>
      </c>
      <c r="D1161" s="20" t="s">
        <v>5</v>
      </c>
      <c r="E1161" s="20" t="s">
        <v>6</v>
      </c>
      <c r="F1161" s="18">
        <v>1</v>
      </c>
      <c r="G1161" s="19">
        <v>128</v>
      </c>
      <c r="H1161" s="32">
        <v>7</v>
      </c>
      <c r="I1161" s="25">
        <f t="shared" si="69"/>
        <v>896</v>
      </c>
      <c r="J1161" s="40"/>
      <c r="K1161" s="39"/>
      <c r="L1161" s="39"/>
      <c r="M1161" s="39"/>
      <c r="N1161" s="23"/>
      <c r="O1161" s="39"/>
      <c r="P1161" s="39"/>
      <c r="Q1161" s="39"/>
      <c r="R1161" s="39"/>
    </row>
    <row r="1162" spans="1:18" s="2" customFormat="1" ht="14.4">
      <c r="A1162" s="20">
        <f t="shared" si="71"/>
        <v>1089</v>
      </c>
      <c r="B1162" s="17" t="s">
        <v>1586</v>
      </c>
      <c r="C1162" s="17" t="s">
        <v>1587</v>
      </c>
      <c r="D1162" s="20" t="s">
        <v>5</v>
      </c>
      <c r="E1162" s="20" t="s">
        <v>6</v>
      </c>
      <c r="F1162" s="18">
        <v>1</v>
      </c>
      <c r="G1162" s="19">
        <v>720</v>
      </c>
      <c r="H1162" s="32">
        <v>1</v>
      </c>
      <c r="I1162" s="25">
        <f t="shared" si="69"/>
        <v>720</v>
      </c>
      <c r="J1162" s="40"/>
      <c r="K1162" s="39"/>
      <c r="L1162" s="39"/>
      <c r="M1162" s="39"/>
      <c r="N1162" s="23"/>
      <c r="O1162" s="39"/>
      <c r="P1162" s="39"/>
      <c r="Q1162" s="39"/>
      <c r="R1162" s="39"/>
    </row>
    <row r="1163" spans="1:18" s="2" customFormat="1" ht="92.4">
      <c r="A1163" s="20">
        <f t="shared" si="71"/>
        <v>1090</v>
      </c>
      <c r="B1163" s="17" t="s">
        <v>1588</v>
      </c>
      <c r="C1163" s="17" t="s">
        <v>1589</v>
      </c>
      <c r="D1163" s="20"/>
      <c r="E1163" s="20"/>
      <c r="F1163" s="18">
        <v>1</v>
      </c>
      <c r="G1163" s="19">
        <v>800</v>
      </c>
      <c r="H1163" s="32">
        <v>1</v>
      </c>
      <c r="I1163" s="25">
        <f t="shared" si="69"/>
        <v>800</v>
      </c>
      <c r="J1163" s="40"/>
      <c r="K1163" s="39"/>
      <c r="L1163" s="39"/>
      <c r="M1163" s="39"/>
      <c r="N1163" s="23"/>
      <c r="O1163" s="39"/>
      <c r="P1163" s="39"/>
      <c r="Q1163" s="39"/>
      <c r="R1163" s="39"/>
    </row>
    <row r="1164" spans="1:18" s="2" customFormat="1" ht="14.4">
      <c r="A1164" s="20">
        <f t="shared" si="71"/>
        <v>1091</v>
      </c>
      <c r="B1164" s="17" t="s">
        <v>1590</v>
      </c>
      <c r="C1164" s="17" t="s">
        <v>1591</v>
      </c>
      <c r="D1164" s="20" t="s">
        <v>25</v>
      </c>
      <c r="E1164" s="20" t="s">
        <v>26</v>
      </c>
      <c r="F1164" s="18">
        <v>1</v>
      </c>
      <c r="G1164" s="19">
        <v>165</v>
      </c>
      <c r="H1164" s="32">
        <v>35</v>
      </c>
      <c r="I1164" s="25">
        <f t="shared" ref="I1164:I1226" si="72">G1164*H1164</f>
        <v>5775</v>
      </c>
      <c r="J1164" s="40"/>
      <c r="K1164" s="39"/>
      <c r="L1164" s="39"/>
      <c r="M1164" s="39"/>
      <c r="N1164" s="23"/>
      <c r="O1164" s="39"/>
      <c r="P1164" s="39"/>
      <c r="Q1164" s="39"/>
      <c r="R1164" s="39"/>
    </row>
    <row r="1165" spans="1:18" s="2" customFormat="1" ht="14.4">
      <c r="A1165" s="20">
        <f t="shared" si="71"/>
        <v>1092</v>
      </c>
      <c r="B1165" s="17" t="s">
        <v>218</v>
      </c>
      <c r="C1165" s="17" t="s">
        <v>219</v>
      </c>
      <c r="D1165" s="20" t="s">
        <v>48</v>
      </c>
      <c r="E1165" s="20" t="s">
        <v>49</v>
      </c>
      <c r="F1165" s="18">
        <v>1</v>
      </c>
      <c r="G1165" s="19"/>
      <c r="H1165" s="32">
        <v>1</v>
      </c>
      <c r="I1165" s="25">
        <f>SUM(I1155:I1164)*0.05</f>
        <v>1582.04</v>
      </c>
      <c r="J1165" s="40"/>
      <c r="K1165" s="39"/>
      <c r="L1165" s="39"/>
      <c r="M1165" s="39"/>
      <c r="N1165" s="23"/>
      <c r="O1165" s="39"/>
      <c r="P1165" s="39"/>
      <c r="Q1165" s="39"/>
      <c r="R1165" s="39"/>
    </row>
    <row r="1166" spans="1:18" s="2" customFormat="1" ht="14.4">
      <c r="A1166" s="9" t="s">
        <v>61</v>
      </c>
      <c r="B1166" s="13"/>
      <c r="C1166" s="13" t="s">
        <v>1592</v>
      </c>
      <c r="D1166" s="14"/>
      <c r="E1166" s="14"/>
      <c r="F1166" s="18"/>
      <c r="G1166" s="19"/>
      <c r="H1166" s="15"/>
      <c r="I1166" s="25"/>
      <c r="J1166" s="24"/>
      <c r="K1166" s="22"/>
      <c r="L1166" s="22"/>
      <c r="M1166" s="22"/>
      <c r="N1166" s="23"/>
      <c r="O1166" s="22"/>
      <c r="P1166" s="22"/>
      <c r="Q1166" s="22"/>
      <c r="R1166" s="22"/>
    </row>
    <row r="1167" spans="1:18" s="2" customFormat="1" ht="26.4">
      <c r="A1167" s="20">
        <f>A1165+1</f>
        <v>1093</v>
      </c>
      <c r="B1167" s="17" t="s">
        <v>1593</v>
      </c>
      <c r="C1167" s="17" t="s">
        <v>1594</v>
      </c>
      <c r="D1167" s="20" t="s">
        <v>25</v>
      </c>
      <c r="E1167" s="20" t="s">
        <v>26</v>
      </c>
      <c r="F1167" s="18">
        <v>1</v>
      </c>
      <c r="G1167" s="19">
        <v>109.9</v>
      </c>
      <c r="H1167" s="32">
        <v>15</v>
      </c>
      <c r="I1167" s="25">
        <f t="shared" si="72"/>
        <v>1648.5</v>
      </c>
      <c r="J1167" s="40"/>
      <c r="K1167" s="39"/>
      <c r="L1167" s="39"/>
      <c r="M1167" s="39"/>
      <c r="N1167" s="23"/>
      <c r="O1167" s="39"/>
      <c r="P1167" s="39"/>
      <c r="Q1167" s="39"/>
      <c r="R1167" s="39"/>
    </row>
    <row r="1168" spans="1:18" s="2" customFormat="1" ht="26.4">
      <c r="A1168" s="20">
        <f t="shared" ref="A1168:A1175" si="73">A1167+1</f>
        <v>1094</v>
      </c>
      <c r="B1168" s="17" t="s">
        <v>1595</v>
      </c>
      <c r="C1168" s="17" t="s">
        <v>1596</v>
      </c>
      <c r="D1168" s="20" t="s">
        <v>25</v>
      </c>
      <c r="E1168" s="20" t="s">
        <v>26</v>
      </c>
      <c r="F1168" s="18">
        <v>1</v>
      </c>
      <c r="G1168" s="19">
        <v>40.24</v>
      </c>
      <c r="H1168" s="32">
        <v>1</v>
      </c>
      <c r="I1168" s="25">
        <f t="shared" si="72"/>
        <v>40.24</v>
      </c>
      <c r="J1168" s="40"/>
      <c r="K1168" s="39"/>
      <c r="L1168" s="39"/>
      <c r="M1168" s="39"/>
      <c r="N1168" s="23"/>
      <c r="O1168" s="39"/>
      <c r="P1168" s="39"/>
      <c r="Q1168" s="39"/>
      <c r="R1168" s="39"/>
    </row>
    <row r="1169" spans="1:18" s="2" customFormat="1" ht="26.4">
      <c r="A1169" s="20">
        <f t="shared" si="73"/>
        <v>1095</v>
      </c>
      <c r="B1169" s="17" t="s">
        <v>1597</v>
      </c>
      <c r="C1169" s="17" t="s">
        <v>1598</v>
      </c>
      <c r="D1169" s="20" t="s">
        <v>5</v>
      </c>
      <c r="E1169" s="20" t="s">
        <v>6</v>
      </c>
      <c r="F1169" s="18">
        <v>1</v>
      </c>
      <c r="G1169" s="19">
        <v>10.63</v>
      </c>
      <c r="H1169" s="32">
        <v>2</v>
      </c>
      <c r="I1169" s="25">
        <f t="shared" si="72"/>
        <v>21.26</v>
      </c>
      <c r="J1169" s="40"/>
      <c r="K1169" s="39"/>
      <c r="L1169" s="39"/>
      <c r="M1169" s="39"/>
      <c r="N1169" s="23"/>
      <c r="O1169" s="39"/>
      <c r="P1169" s="39"/>
      <c r="Q1169" s="39"/>
      <c r="R1169" s="39"/>
    </row>
    <row r="1170" spans="1:18" s="2" customFormat="1" ht="26.4">
      <c r="A1170" s="20">
        <f t="shared" si="73"/>
        <v>1096</v>
      </c>
      <c r="B1170" s="17" t="s">
        <v>1599</v>
      </c>
      <c r="C1170" s="17" t="s">
        <v>1600</v>
      </c>
      <c r="D1170" s="20" t="s">
        <v>5</v>
      </c>
      <c r="E1170" s="20" t="s">
        <v>6</v>
      </c>
      <c r="F1170" s="18">
        <v>1</v>
      </c>
      <c r="G1170" s="19">
        <v>599.1</v>
      </c>
      <c r="H1170" s="32">
        <v>21</v>
      </c>
      <c r="I1170" s="25">
        <f t="shared" si="72"/>
        <v>12581.1</v>
      </c>
      <c r="J1170" s="40"/>
      <c r="K1170" s="39"/>
      <c r="L1170" s="39"/>
      <c r="M1170" s="39"/>
      <c r="N1170" s="23"/>
      <c r="O1170" s="39"/>
      <c r="P1170" s="39"/>
      <c r="Q1170" s="39"/>
      <c r="R1170" s="39"/>
    </row>
    <row r="1171" spans="1:18" s="2" customFormat="1" ht="26.4">
      <c r="A1171" s="20">
        <f t="shared" si="73"/>
        <v>1097</v>
      </c>
      <c r="B1171" s="17" t="s">
        <v>1601</v>
      </c>
      <c r="C1171" s="17" t="s">
        <v>1602</v>
      </c>
      <c r="D1171" s="20" t="s">
        <v>5</v>
      </c>
      <c r="E1171" s="20" t="s">
        <v>6</v>
      </c>
      <c r="F1171" s="18">
        <v>1</v>
      </c>
      <c r="G1171" s="19">
        <v>124.75</v>
      </c>
      <c r="H1171" s="32">
        <v>3</v>
      </c>
      <c r="I1171" s="25">
        <f t="shared" si="72"/>
        <v>374.25</v>
      </c>
      <c r="J1171" s="40"/>
      <c r="K1171" s="39"/>
      <c r="L1171" s="39"/>
      <c r="M1171" s="39"/>
      <c r="N1171" s="23"/>
      <c r="O1171" s="39"/>
      <c r="P1171" s="39"/>
      <c r="Q1171" s="39"/>
      <c r="R1171" s="39"/>
    </row>
    <row r="1172" spans="1:18" s="2" customFormat="1" ht="26.4">
      <c r="A1172" s="20">
        <f t="shared" si="73"/>
        <v>1098</v>
      </c>
      <c r="B1172" s="17" t="s">
        <v>1603</v>
      </c>
      <c r="C1172" s="17" t="s">
        <v>1604</v>
      </c>
      <c r="D1172" s="20" t="s">
        <v>5</v>
      </c>
      <c r="E1172" s="20" t="s">
        <v>6</v>
      </c>
      <c r="F1172" s="18">
        <v>1</v>
      </c>
      <c r="G1172" s="19">
        <v>160.91</v>
      </c>
      <c r="H1172" s="32">
        <v>18</v>
      </c>
      <c r="I1172" s="25">
        <f t="shared" si="72"/>
        <v>2896.38</v>
      </c>
      <c r="J1172" s="40"/>
      <c r="K1172" s="39"/>
      <c r="L1172" s="39"/>
      <c r="M1172" s="39"/>
      <c r="N1172" s="23"/>
      <c r="O1172" s="39"/>
      <c r="P1172" s="39"/>
      <c r="Q1172" s="39"/>
      <c r="R1172" s="39"/>
    </row>
    <row r="1173" spans="1:18" s="2" customFormat="1" ht="26.4">
      <c r="A1173" s="20">
        <f t="shared" si="73"/>
        <v>1099</v>
      </c>
      <c r="B1173" s="17" t="s">
        <v>1605</v>
      </c>
      <c r="C1173" s="17" t="s">
        <v>1606</v>
      </c>
      <c r="D1173" s="20" t="s">
        <v>5</v>
      </c>
      <c r="E1173" s="20" t="s">
        <v>6</v>
      </c>
      <c r="F1173" s="18">
        <v>1</v>
      </c>
      <c r="G1173" s="19">
        <v>519.1</v>
      </c>
      <c r="H1173" s="32">
        <v>3</v>
      </c>
      <c r="I1173" s="25">
        <f t="shared" si="72"/>
        <v>1557.3000000000002</v>
      </c>
      <c r="J1173" s="40"/>
      <c r="K1173" s="39"/>
      <c r="L1173" s="39"/>
      <c r="M1173" s="39"/>
      <c r="N1173" s="23"/>
      <c r="O1173" s="39"/>
      <c r="P1173" s="39"/>
      <c r="Q1173" s="39"/>
      <c r="R1173" s="39"/>
    </row>
    <row r="1174" spans="1:18" s="2" customFormat="1" ht="26.4">
      <c r="A1174" s="20">
        <f t="shared" si="73"/>
        <v>1100</v>
      </c>
      <c r="B1174" s="17" t="s">
        <v>1607</v>
      </c>
      <c r="C1174" s="17" t="s">
        <v>1608</v>
      </c>
      <c r="D1174" s="20" t="s">
        <v>5</v>
      </c>
      <c r="E1174" s="20" t="s">
        <v>6</v>
      </c>
      <c r="F1174" s="18">
        <v>1</v>
      </c>
      <c r="G1174" s="19">
        <v>571.69000000000005</v>
      </c>
      <c r="H1174" s="32">
        <v>1</v>
      </c>
      <c r="I1174" s="25">
        <f t="shared" si="72"/>
        <v>571.69000000000005</v>
      </c>
      <c r="J1174" s="40"/>
      <c r="K1174" s="39"/>
      <c r="L1174" s="39"/>
      <c r="M1174" s="39"/>
      <c r="N1174" s="23"/>
      <c r="O1174" s="39"/>
      <c r="P1174" s="39"/>
      <c r="Q1174" s="39"/>
      <c r="R1174" s="39"/>
    </row>
    <row r="1175" spans="1:18" s="2" customFormat="1" ht="14.4">
      <c r="A1175" s="20">
        <f t="shared" si="73"/>
        <v>1101</v>
      </c>
      <c r="B1175" s="17" t="s">
        <v>218</v>
      </c>
      <c r="C1175" s="17" t="s">
        <v>219</v>
      </c>
      <c r="D1175" s="20" t="s">
        <v>48</v>
      </c>
      <c r="E1175" s="20" t="s">
        <v>49</v>
      </c>
      <c r="F1175" s="18">
        <v>1</v>
      </c>
      <c r="G1175" s="19"/>
      <c r="H1175" s="32">
        <v>1</v>
      </c>
      <c r="I1175" s="25">
        <f>SUM(I1167:I1174)*0.05</f>
        <v>984.53599999999994</v>
      </c>
      <c r="J1175" s="40"/>
      <c r="K1175" s="39"/>
      <c r="L1175" s="39"/>
      <c r="M1175" s="39"/>
      <c r="N1175" s="23"/>
      <c r="O1175" s="39"/>
      <c r="P1175" s="39"/>
      <c r="Q1175" s="39"/>
      <c r="R1175" s="39"/>
    </row>
    <row r="1176" spans="1:18" ht="39.6">
      <c r="A1176" s="9" t="s">
        <v>61</v>
      </c>
      <c r="B1176" s="13" t="s">
        <v>1609</v>
      </c>
      <c r="C1176" s="13" t="s">
        <v>1610</v>
      </c>
      <c r="D1176" s="14"/>
      <c r="E1176" s="14"/>
      <c r="F1176" s="18"/>
      <c r="G1176" s="19"/>
      <c r="H1176" s="15"/>
      <c r="I1176" s="25"/>
      <c r="J1176" s="24"/>
      <c r="K1176" s="22"/>
      <c r="L1176" s="22"/>
      <c r="M1176" s="22"/>
      <c r="N1176" s="23"/>
      <c r="O1176" s="22"/>
      <c r="P1176" s="22"/>
      <c r="Q1176" s="22"/>
      <c r="R1176" s="22"/>
    </row>
    <row r="1177" spans="1:18" s="2" customFormat="1" ht="79.2">
      <c r="A1177" s="20">
        <f>A1175+1</f>
        <v>1102</v>
      </c>
      <c r="B1177" s="17" t="s">
        <v>1611</v>
      </c>
      <c r="C1177" s="17" t="s">
        <v>1612</v>
      </c>
      <c r="D1177" s="20" t="s">
        <v>1261</v>
      </c>
      <c r="E1177" s="20" t="s">
        <v>1262</v>
      </c>
      <c r="F1177" s="18">
        <v>1</v>
      </c>
      <c r="G1177" s="19">
        <f>1.633198857*17734.8</f>
        <v>28964.455089123599</v>
      </c>
      <c r="H1177" s="32">
        <v>3</v>
      </c>
      <c r="I1177" s="25">
        <f t="shared" si="72"/>
        <v>86893.365267370798</v>
      </c>
      <c r="J1177" s="40"/>
      <c r="K1177" s="39"/>
      <c r="L1177" s="39"/>
      <c r="M1177" s="39"/>
      <c r="N1177" s="23"/>
      <c r="O1177" s="39"/>
      <c r="P1177" s="39"/>
      <c r="Q1177" s="39"/>
      <c r="R1177" s="39"/>
    </row>
    <row r="1178" spans="1:18" s="2" customFormat="1" ht="39.6">
      <c r="A1178" s="20">
        <f>A1177+1</f>
        <v>1103</v>
      </c>
      <c r="B1178" s="17" t="s">
        <v>1613</v>
      </c>
      <c r="C1178" s="17" t="s">
        <v>1614</v>
      </c>
      <c r="D1178" s="20" t="s">
        <v>1261</v>
      </c>
      <c r="E1178" s="20" t="s">
        <v>1262</v>
      </c>
      <c r="F1178" s="18">
        <v>1</v>
      </c>
      <c r="G1178" s="19">
        <f>1.633198857*3074.03</f>
        <v>5020.5022823837107</v>
      </c>
      <c r="H1178" s="32">
        <v>2</v>
      </c>
      <c r="I1178" s="25">
        <f t="shared" si="72"/>
        <v>10041.004564767421</v>
      </c>
      <c r="J1178" s="40"/>
      <c r="K1178" s="39"/>
      <c r="L1178" s="39"/>
      <c r="M1178" s="39"/>
      <c r="N1178" s="23"/>
      <c r="O1178" s="39"/>
      <c r="P1178" s="39"/>
      <c r="Q1178" s="39"/>
      <c r="R1178" s="39"/>
    </row>
    <row r="1179" spans="1:18" s="2" customFormat="1" ht="39.6">
      <c r="A1179" s="20">
        <f>A1178+1</f>
        <v>1104</v>
      </c>
      <c r="B1179" s="17" t="s">
        <v>1615</v>
      </c>
      <c r="C1179" s="17" t="s">
        <v>1616</v>
      </c>
      <c r="D1179" s="20" t="s">
        <v>1617</v>
      </c>
      <c r="E1179" s="20" t="s">
        <v>1618</v>
      </c>
      <c r="F1179" s="18">
        <v>1</v>
      </c>
      <c r="G1179" s="19">
        <f>1.633198857*1300.55</f>
        <v>2124.05677347135</v>
      </c>
      <c r="H1179" s="32">
        <v>32</v>
      </c>
      <c r="I1179" s="25">
        <f t="shared" si="72"/>
        <v>67969.816751083199</v>
      </c>
      <c r="J1179" s="40"/>
      <c r="K1179" s="39"/>
      <c r="L1179" s="39"/>
      <c r="M1179" s="39"/>
      <c r="N1179" s="23"/>
      <c r="O1179" s="39"/>
      <c r="P1179" s="39"/>
      <c r="Q1179" s="39"/>
      <c r="R1179" s="39"/>
    </row>
    <row r="1180" spans="1:18" ht="26.4">
      <c r="A1180" s="9" t="s">
        <v>61</v>
      </c>
      <c r="B1180" s="13" t="s">
        <v>1619</v>
      </c>
      <c r="C1180" s="13" t="s">
        <v>1620</v>
      </c>
      <c r="D1180" s="14"/>
      <c r="E1180" s="14"/>
      <c r="F1180" s="18"/>
      <c r="G1180" s="19"/>
      <c r="H1180" s="15"/>
      <c r="I1180" s="25"/>
      <c r="J1180" s="24"/>
      <c r="K1180" s="22"/>
      <c r="L1180" s="22"/>
      <c r="M1180" s="22"/>
      <c r="N1180" s="23"/>
      <c r="O1180" s="22"/>
      <c r="P1180" s="22"/>
      <c r="Q1180" s="22"/>
      <c r="R1180" s="22"/>
    </row>
    <row r="1181" spans="1:18" ht="14.4">
      <c r="A1181" s="9" t="s">
        <v>61</v>
      </c>
      <c r="B1181" s="13" t="s">
        <v>1621</v>
      </c>
      <c r="C1181" s="13" t="s">
        <v>1622</v>
      </c>
      <c r="D1181" s="14"/>
      <c r="E1181" s="14"/>
      <c r="F1181" s="18"/>
      <c r="G1181" s="19"/>
      <c r="H1181" s="15"/>
      <c r="I1181" s="25"/>
      <c r="J1181" s="24"/>
      <c r="K1181" s="22"/>
      <c r="L1181" s="22"/>
      <c r="M1181" s="22"/>
      <c r="N1181" s="23"/>
      <c r="O1181" s="22"/>
      <c r="P1181" s="22"/>
      <c r="Q1181" s="22"/>
      <c r="R1181" s="22"/>
    </row>
    <row r="1182" spans="1:18" s="2" customFormat="1" ht="26.4">
      <c r="A1182" s="20">
        <f>A1179+1</f>
        <v>1105</v>
      </c>
      <c r="B1182" s="17" t="s">
        <v>1623</v>
      </c>
      <c r="C1182" s="17" t="s">
        <v>1624</v>
      </c>
      <c r="D1182" s="20" t="s">
        <v>5</v>
      </c>
      <c r="E1182" s="20" t="s">
        <v>6</v>
      </c>
      <c r="F1182" s="18">
        <v>1</v>
      </c>
      <c r="G1182" s="19">
        <f>1.633198857*86.76</f>
        <v>141.69633283332001</v>
      </c>
      <c r="H1182" s="32">
        <v>2</v>
      </c>
      <c r="I1182" s="25">
        <f t="shared" si="72"/>
        <v>283.39266566664003</v>
      </c>
      <c r="J1182" s="40"/>
      <c r="K1182" s="39"/>
      <c r="L1182" s="39"/>
      <c r="M1182" s="39"/>
      <c r="N1182" s="23"/>
      <c r="O1182" s="39"/>
      <c r="P1182" s="39"/>
      <c r="Q1182" s="39"/>
      <c r="R1182" s="39"/>
    </row>
    <row r="1183" spans="1:18" s="2" customFormat="1" ht="26.4">
      <c r="A1183" s="20">
        <f>A1182+1</f>
        <v>1106</v>
      </c>
      <c r="B1183" s="17" t="s">
        <v>1625</v>
      </c>
      <c r="C1183" s="17" t="s">
        <v>1626</v>
      </c>
      <c r="D1183" s="20" t="s">
        <v>5</v>
      </c>
      <c r="E1183" s="20" t="s">
        <v>6</v>
      </c>
      <c r="F1183" s="18">
        <v>1</v>
      </c>
      <c r="G1183" s="19">
        <f>2534.98</f>
        <v>2534.98</v>
      </c>
      <c r="H1183" s="32">
        <v>1</v>
      </c>
      <c r="I1183" s="25">
        <f t="shared" si="72"/>
        <v>2534.98</v>
      </c>
      <c r="J1183" s="40"/>
      <c r="K1183" s="39"/>
      <c r="L1183" s="39"/>
      <c r="M1183" s="39"/>
      <c r="N1183" s="23"/>
      <c r="O1183" s="39"/>
      <c r="P1183" s="39"/>
      <c r="Q1183" s="39"/>
      <c r="R1183" s="39"/>
    </row>
    <row r="1184" spans="1:18" s="2" customFormat="1" ht="26.4">
      <c r="A1184" s="20">
        <f t="shared" ref="A1184:A1315" si="74">A1183+1</f>
        <v>1107</v>
      </c>
      <c r="B1184" s="17" t="s">
        <v>1627</v>
      </c>
      <c r="C1184" s="17" t="s">
        <v>1628</v>
      </c>
      <c r="D1184" s="20" t="s">
        <v>5</v>
      </c>
      <c r="E1184" s="20" t="s">
        <v>6</v>
      </c>
      <c r="F1184" s="18">
        <v>1</v>
      </c>
      <c r="G1184" s="19">
        <v>5726.3</v>
      </c>
      <c r="H1184" s="32">
        <v>1</v>
      </c>
      <c r="I1184" s="25">
        <f t="shared" si="72"/>
        <v>5726.3</v>
      </c>
      <c r="J1184" s="40"/>
      <c r="K1184" s="39"/>
      <c r="L1184" s="39"/>
      <c r="M1184" s="39"/>
      <c r="N1184" s="23"/>
      <c r="O1184" s="39"/>
      <c r="P1184" s="39"/>
      <c r="Q1184" s="39"/>
      <c r="R1184" s="39"/>
    </row>
    <row r="1185" spans="1:18" s="2" customFormat="1" ht="14.4">
      <c r="A1185" s="20">
        <f t="shared" si="74"/>
        <v>1108</v>
      </c>
      <c r="B1185" s="17" t="s">
        <v>1629</v>
      </c>
      <c r="C1185" s="17" t="s">
        <v>1630</v>
      </c>
      <c r="D1185" s="20" t="s">
        <v>5</v>
      </c>
      <c r="E1185" s="20" t="s">
        <v>6</v>
      </c>
      <c r="F1185" s="18">
        <v>1</v>
      </c>
      <c r="G1185" s="19">
        <v>115.27</v>
      </c>
      <c r="H1185" s="32">
        <v>2</v>
      </c>
      <c r="I1185" s="25">
        <f t="shared" si="72"/>
        <v>230.54</v>
      </c>
      <c r="J1185" s="40"/>
      <c r="K1185" s="39"/>
      <c r="L1185" s="39"/>
      <c r="M1185" s="39"/>
      <c r="N1185" s="23"/>
      <c r="O1185" s="39"/>
      <c r="P1185" s="39"/>
      <c r="Q1185" s="39"/>
      <c r="R1185" s="39"/>
    </row>
    <row r="1186" spans="1:18" s="2" customFormat="1" ht="52.8">
      <c r="A1186" s="20">
        <f t="shared" ref="A1186:A1221" si="75">A1185+1</f>
        <v>1109</v>
      </c>
      <c r="B1186" s="17" t="s">
        <v>1631</v>
      </c>
      <c r="C1186" s="17" t="s">
        <v>1632</v>
      </c>
      <c r="D1186" s="20" t="s">
        <v>5</v>
      </c>
      <c r="E1186" s="20" t="s">
        <v>6</v>
      </c>
      <c r="F1186" s="18">
        <v>1</v>
      </c>
      <c r="G1186" s="19">
        <f>1.633198857*455.64</f>
        <v>744.15072720347996</v>
      </c>
      <c r="H1186" s="32">
        <f>H1187+H1188</f>
        <v>3</v>
      </c>
      <c r="I1186" s="25">
        <f t="shared" si="72"/>
        <v>2232.4521816104398</v>
      </c>
      <c r="J1186" s="40"/>
      <c r="K1186" s="39"/>
      <c r="L1186" s="39"/>
      <c r="M1186" s="39"/>
      <c r="N1186" s="23"/>
      <c r="O1186" s="39"/>
      <c r="P1186" s="39"/>
      <c r="Q1186" s="39"/>
      <c r="R1186" s="39"/>
    </row>
    <row r="1187" spans="1:18" s="2" customFormat="1" ht="14.4">
      <c r="A1187" s="20">
        <f t="shared" si="75"/>
        <v>1110</v>
      </c>
      <c r="B1187" s="17" t="s">
        <v>1633</v>
      </c>
      <c r="C1187" s="17" t="s">
        <v>1634</v>
      </c>
      <c r="D1187" s="20" t="s">
        <v>5</v>
      </c>
      <c r="E1187" s="20" t="s">
        <v>6</v>
      </c>
      <c r="F1187" s="18">
        <v>1</v>
      </c>
      <c r="G1187" s="19">
        <f>186.19</f>
        <v>186.19</v>
      </c>
      <c r="H1187" s="32">
        <v>2</v>
      </c>
      <c r="I1187" s="25">
        <f t="shared" si="72"/>
        <v>372.38</v>
      </c>
      <c r="J1187" s="40"/>
      <c r="K1187" s="39"/>
      <c r="L1187" s="39"/>
      <c r="M1187" s="39"/>
      <c r="N1187" s="23"/>
      <c r="O1187" s="39"/>
      <c r="P1187" s="39"/>
      <c r="Q1187" s="39"/>
      <c r="R1187" s="39"/>
    </row>
    <row r="1188" spans="1:18" s="2" customFormat="1" ht="14.4">
      <c r="A1188" s="20">
        <f t="shared" si="75"/>
        <v>1111</v>
      </c>
      <c r="B1188" s="17" t="s">
        <v>1635</v>
      </c>
      <c r="C1188" s="17" t="s">
        <v>1636</v>
      </c>
      <c r="D1188" s="20" t="s">
        <v>5</v>
      </c>
      <c r="E1188" s="20" t="s">
        <v>6</v>
      </c>
      <c r="F1188" s="18">
        <v>1</v>
      </c>
      <c r="G1188" s="19">
        <f>165.81</f>
        <v>165.81</v>
      </c>
      <c r="H1188" s="32">
        <v>1</v>
      </c>
      <c r="I1188" s="25">
        <f t="shared" si="72"/>
        <v>165.81</v>
      </c>
      <c r="J1188" s="40"/>
      <c r="K1188" s="39"/>
      <c r="L1188" s="39"/>
      <c r="M1188" s="39"/>
      <c r="N1188" s="23"/>
      <c r="O1188" s="39"/>
      <c r="P1188" s="39"/>
      <c r="Q1188" s="39"/>
      <c r="R1188" s="39"/>
    </row>
    <row r="1189" spans="1:18" s="2" customFormat="1" ht="52.8">
      <c r="A1189" s="20">
        <f t="shared" si="75"/>
        <v>1112</v>
      </c>
      <c r="B1189" s="17" t="s">
        <v>1637</v>
      </c>
      <c r="C1189" s="17" t="s">
        <v>1638</v>
      </c>
      <c r="D1189" s="20" t="s">
        <v>5</v>
      </c>
      <c r="E1189" s="20" t="s">
        <v>6</v>
      </c>
      <c r="F1189" s="18">
        <v>1</v>
      </c>
      <c r="G1189" s="19">
        <f>1.633198857*572.97</f>
        <v>935.77394909529005</v>
      </c>
      <c r="H1189" s="32">
        <f>H1190</f>
        <v>2</v>
      </c>
      <c r="I1189" s="25">
        <f t="shared" si="72"/>
        <v>1871.5478981905801</v>
      </c>
      <c r="J1189" s="40"/>
      <c r="K1189" s="39"/>
      <c r="L1189" s="39"/>
      <c r="M1189" s="39"/>
      <c r="N1189" s="23"/>
      <c r="O1189" s="39"/>
      <c r="P1189" s="39"/>
      <c r="Q1189" s="39"/>
      <c r="R1189" s="39"/>
    </row>
    <row r="1190" spans="1:18" s="2" customFormat="1" ht="26.4">
      <c r="A1190" s="20">
        <f t="shared" si="75"/>
        <v>1113</v>
      </c>
      <c r="B1190" s="17" t="s">
        <v>1639</v>
      </c>
      <c r="C1190" s="17" t="s">
        <v>1640</v>
      </c>
      <c r="D1190" s="20" t="s">
        <v>5</v>
      </c>
      <c r="E1190" s="20" t="s">
        <v>6</v>
      </c>
      <c r="F1190" s="18">
        <v>1</v>
      </c>
      <c r="G1190" s="19">
        <f>656.67</f>
        <v>656.67</v>
      </c>
      <c r="H1190" s="32">
        <v>2</v>
      </c>
      <c r="I1190" s="25">
        <f t="shared" si="72"/>
        <v>1313.34</v>
      </c>
      <c r="J1190" s="40"/>
      <c r="K1190" s="39"/>
      <c r="L1190" s="39"/>
      <c r="M1190" s="39"/>
      <c r="N1190" s="23"/>
      <c r="O1190" s="39"/>
      <c r="P1190" s="39"/>
      <c r="Q1190" s="39"/>
      <c r="R1190" s="39"/>
    </row>
    <row r="1191" spans="1:18" s="2" customFormat="1" ht="14.4">
      <c r="A1191" s="20">
        <f t="shared" si="75"/>
        <v>1114</v>
      </c>
      <c r="B1191" s="17" t="s">
        <v>1641</v>
      </c>
      <c r="C1191" s="17" t="s">
        <v>1642</v>
      </c>
      <c r="D1191" s="20" t="s">
        <v>5</v>
      </c>
      <c r="E1191" s="20" t="s">
        <v>6</v>
      </c>
      <c r="F1191" s="18">
        <v>1</v>
      </c>
      <c r="G1191" s="19">
        <f>270.57</f>
        <v>270.57</v>
      </c>
      <c r="H1191" s="32">
        <v>4</v>
      </c>
      <c r="I1191" s="25">
        <f t="shared" si="72"/>
        <v>1082.28</v>
      </c>
      <c r="J1191" s="40"/>
      <c r="K1191" s="39"/>
      <c r="L1191" s="39"/>
      <c r="M1191" s="39"/>
      <c r="N1191" s="23"/>
      <c r="O1191" s="39"/>
      <c r="P1191" s="39"/>
      <c r="Q1191" s="39"/>
      <c r="R1191" s="39"/>
    </row>
    <row r="1192" spans="1:18" s="2" customFormat="1" ht="14.4">
      <c r="A1192" s="20">
        <f t="shared" si="75"/>
        <v>1115</v>
      </c>
      <c r="B1192" s="17" t="s">
        <v>1643</v>
      </c>
      <c r="C1192" s="17" t="s">
        <v>1644</v>
      </c>
      <c r="D1192" s="20" t="s">
        <v>5</v>
      </c>
      <c r="E1192" s="20" t="s">
        <v>6</v>
      </c>
      <c r="F1192" s="18">
        <v>1</v>
      </c>
      <c r="G1192" s="19">
        <v>4652.49</v>
      </c>
      <c r="H1192" s="32">
        <v>5</v>
      </c>
      <c r="I1192" s="25">
        <f t="shared" si="72"/>
        <v>23262.449999999997</v>
      </c>
      <c r="J1192" s="40"/>
      <c r="K1192" s="39"/>
      <c r="L1192" s="39"/>
      <c r="M1192" s="39"/>
      <c r="N1192" s="23"/>
      <c r="O1192" s="39"/>
      <c r="P1192" s="39"/>
      <c r="Q1192" s="39"/>
      <c r="R1192" s="39"/>
    </row>
    <row r="1193" spans="1:18" s="2" customFormat="1" ht="14.4">
      <c r="A1193" s="20">
        <f t="shared" si="75"/>
        <v>1116</v>
      </c>
      <c r="B1193" s="17" t="s">
        <v>1645</v>
      </c>
      <c r="C1193" s="17" t="s">
        <v>1646</v>
      </c>
      <c r="D1193" s="20" t="s">
        <v>5</v>
      </c>
      <c r="E1193" s="20" t="s">
        <v>6</v>
      </c>
      <c r="F1193" s="18">
        <v>1</v>
      </c>
      <c r="G1193" s="19">
        <v>352.17</v>
      </c>
      <c r="H1193" s="32">
        <v>14</v>
      </c>
      <c r="I1193" s="25">
        <f t="shared" si="72"/>
        <v>4930.38</v>
      </c>
      <c r="J1193" s="40"/>
      <c r="K1193" s="39"/>
      <c r="L1193" s="39"/>
      <c r="M1193" s="39"/>
      <c r="N1193" s="23"/>
      <c r="O1193" s="39"/>
      <c r="P1193" s="39"/>
      <c r="Q1193" s="39"/>
      <c r="R1193" s="39"/>
    </row>
    <row r="1194" spans="1:18" s="2" customFormat="1" ht="26.4">
      <c r="A1194" s="20">
        <f t="shared" si="75"/>
        <v>1117</v>
      </c>
      <c r="B1194" s="17" t="s">
        <v>1647</v>
      </c>
      <c r="C1194" s="17" t="s">
        <v>1648</v>
      </c>
      <c r="D1194" s="20" t="s">
        <v>5</v>
      </c>
      <c r="E1194" s="20" t="s">
        <v>6</v>
      </c>
      <c r="F1194" s="18">
        <v>1</v>
      </c>
      <c r="G1194" s="19">
        <v>120</v>
      </c>
      <c r="H1194" s="32">
        <f>H1195+H1196</f>
        <v>2</v>
      </c>
      <c r="I1194" s="25">
        <f t="shared" si="72"/>
        <v>240</v>
      </c>
      <c r="J1194" s="40"/>
      <c r="K1194" s="39"/>
      <c r="L1194" s="39"/>
      <c r="M1194" s="39"/>
      <c r="N1194" s="23"/>
      <c r="O1194" s="39"/>
      <c r="P1194" s="39"/>
      <c r="Q1194" s="39"/>
      <c r="R1194" s="39"/>
    </row>
    <row r="1195" spans="1:18" s="2" customFormat="1" ht="26.4">
      <c r="A1195" s="20">
        <f t="shared" si="75"/>
        <v>1118</v>
      </c>
      <c r="B1195" s="17" t="s">
        <v>1649</v>
      </c>
      <c r="C1195" s="17" t="s">
        <v>1650</v>
      </c>
      <c r="D1195" s="20" t="s">
        <v>1651</v>
      </c>
      <c r="E1195" s="20" t="s">
        <v>49</v>
      </c>
      <c r="F1195" s="18">
        <v>1</v>
      </c>
      <c r="G1195" s="19">
        <v>692.56</v>
      </c>
      <c r="H1195" s="32">
        <v>1</v>
      </c>
      <c r="I1195" s="25">
        <f t="shared" si="72"/>
        <v>692.56</v>
      </c>
      <c r="J1195" s="40"/>
      <c r="K1195" s="39"/>
      <c r="L1195" s="39"/>
      <c r="M1195" s="39"/>
      <c r="N1195" s="23"/>
      <c r="O1195" s="39"/>
      <c r="P1195" s="39"/>
      <c r="Q1195" s="39"/>
      <c r="R1195" s="39"/>
    </row>
    <row r="1196" spans="1:18" s="2" customFormat="1" ht="26.4">
      <c r="A1196" s="20">
        <f t="shared" si="75"/>
        <v>1119</v>
      </c>
      <c r="B1196" s="17" t="s">
        <v>1649</v>
      </c>
      <c r="C1196" s="17" t="s">
        <v>1652</v>
      </c>
      <c r="D1196" s="20" t="s">
        <v>1651</v>
      </c>
      <c r="E1196" s="20" t="s">
        <v>49</v>
      </c>
      <c r="F1196" s="18">
        <v>1</v>
      </c>
      <c r="G1196" s="19">
        <v>849.32</v>
      </c>
      <c r="H1196" s="32">
        <v>1</v>
      </c>
      <c r="I1196" s="25">
        <f t="shared" si="72"/>
        <v>849.32</v>
      </c>
      <c r="J1196" s="40"/>
      <c r="K1196" s="39"/>
      <c r="L1196" s="39"/>
      <c r="M1196" s="39"/>
      <c r="N1196" s="23"/>
      <c r="O1196" s="39"/>
      <c r="P1196" s="39"/>
      <c r="Q1196" s="39"/>
      <c r="R1196" s="39"/>
    </row>
    <row r="1197" spans="1:18" s="2" customFormat="1" ht="26.4">
      <c r="A1197" s="20">
        <f t="shared" si="75"/>
        <v>1120</v>
      </c>
      <c r="B1197" s="17" t="s">
        <v>1653</v>
      </c>
      <c r="C1197" s="17" t="s">
        <v>1654</v>
      </c>
      <c r="D1197" s="20" t="s">
        <v>5</v>
      </c>
      <c r="E1197" s="20" t="s">
        <v>6</v>
      </c>
      <c r="F1197" s="18">
        <v>1</v>
      </c>
      <c r="G1197" s="19">
        <v>221.35</v>
      </c>
      <c r="H1197" s="32">
        <v>2</v>
      </c>
      <c r="I1197" s="25">
        <f t="shared" si="72"/>
        <v>442.7</v>
      </c>
      <c r="J1197" s="40"/>
      <c r="K1197" s="39"/>
      <c r="L1197" s="39"/>
      <c r="M1197" s="39"/>
      <c r="N1197" s="23"/>
      <c r="O1197" s="39"/>
      <c r="P1197" s="39"/>
      <c r="Q1197" s="39"/>
      <c r="R1197" s="39"/>
    </row>
    <row r="1198" spans="1:18" s="2" customFormat="1" ht="14.4">
      <c r="A1198" s="20">
        <f t="shared" si="75"/>
        <v>1121</v>
      </c>
      <c r="B1198" s="17" t="s">
        <v>1655</v>
      </c>
      <c r="C1198" s="17" t="s">
        <v>1656</v>
      </c>
      <c r="D1198" s="20" t="s">
        <v>5</v>
      </c>
      <c r="E1198" s="20" t="s">
        <v>6</v>
      </c>
      <c r="F1198" s="18">
        <v>1</v>
      </c>
      <c r="G1198" s="19">
        <v>115.27</v>
      </c>
      <c r="H1198" s="32">
        <v>2</v>
      </c>
      <c r="I1198" s="25">
        <f t="shared" si="72"/>
        <v>230.54</v>
      </c>
      <c r="J1198" s="40"/>
      <c r="K1198" s="39"/>
      <c r="L1198" s="39"/>
      <c r="M1198" s="39"/>
      <c r="N1198" s="23"/>
      <c r="O1198" s="39"/>
      <c r="P1198" s="39"/>
      <c r="Q1198" s="39"/>
      <c r="R1198" s="39"/>
    </row>
    <row r="1199" spans="1:18" s="2" customFormat="1" ht="26.4">
      <c r="A1199" s="20">
        <f t="shared" si="75"/>
        <v>1122</v>
      </c>
      <c r="B1199" s="17" t="s">
        <v>1657</v>
      </c>
      <c r="C1199" s="17" t="s">
        <v>1658</v>
      </c>
      <c r="D1199" s="20" t="s">
        <v>25</v>
      </c>
      <c r="E1199" s="20" t="s">
        <v>26</v>
      </c>
      <c r="F1199" s="18">
        <v>1</v>
      </c>
      <c r="G1199" s="19">
        <v>132.66</v>
      </c>
      <c r="H1199" s="32">
        <v>0.4</v>
      </c>
      <c r="I1199" s="25">
        <f t="shared" si="72"/>
        <v>53.064</v>
      </c>
      <c r="J1199" s="40"/>
      <c r="K1199" s="39"/>
      <c r="L1199" s="39"/>
      <c r="M1199" s="39"/>
      <c r="N1199" s="23"/>
      <c r="O1199" s="39"/>
      <c r="P1199" s="39"/>
      <c r="Q1199" s="39"/>
      <c r="R1199" s="39"/>
    </row>
    <row r="1200" spans="1:18" s="2" customFormat="1" ht="14.4">
      <c r="A1200" s="20">
        <f t="shared" si="75"/>
        <v>1123</v>
      </c>
      <c r="B1200" s="17" t="s">
        <v>1659</v>
      </c>
      <c r="C1200" s="17" t="s">
        <v>1660</v>
      </c>
      <c r="D1200" s="9" t="s">
        <v>5</v>
      </c>
      <c r="E1200" s="20" t="s">
        <v>6</v>
      </c>
      <c r="F1200" s="18">
        <v>1</v>
      </c>
      <c r="G1200" s="19">
        <v>444.22</v>
      </c>
      <c r="H1200" s="32">
        <v>1</v>
      </c>
      <c r="I1200" s="25">
        <f t="shared" si="72"/>
        <v>444.22</v>
      </c>
      <c r="J1200" s="40"/>
      <c r="K1200" s="39"/>
      <c r="L1200" s="39"/>
      <c r="M1200" s="39"/>
      <c r="N1200" s="23"/>
      <c r="O1200" s="39"/>
      <c r="P1200" s="39"/>
      <c r="Q1200" s="39"/>
      <c r="R1200" s="39"/>
    </row>
    <row r="1201" spans="1:18" s="2" customFormat="1" ht="14.4">
      <c r="A1201" s="20">
        <f t="shared" si="75"/>
        <v>1124</v>
      </c>
      <c r="B1201" s="17" t="s">
        <v>1661</v>
      </c>
      <c r="C1201" s="17" t="s">
        <v>1662</v>
      </c>
      <c r="D1201" s="20" t="s">
        <v>5</v>
      </c>
      <c r="E1201" s="20" t="s">
        <v>6</v>
      </c>
      <c r="F1201" s="18">
        <v>1</v>
      </c>
      <c r="G1201" s="19">
        <v>246.54</v>
      </c>
      <c r="H1201" s="32">
        <v>2</v>
      </c>
      <c r="I1201" s="25">
        <f t="shared" si="72"/>
        <v>493.08</v>
      </c>
      <c r="J1201" s="40"/>
      <c r="K1201" s="39"/>
      <c r="L1201" s="39"/>
      <c r="M1201" s="39"/>
      <c r="N1201" s="23"/>
      <c r="O1201" s="39"/>
      <c r="P1201" s="39"/>
      <c r="Q1201" s="39"/>
      <c r="R1201" s="39"/>
    </row>
    <row r="1202" spans="1:18" s="2" customFormat="1" ht="14.4">
      <c r="A1202" s="20">
        <f t="shared" si="75"/>
        <v>1125</v>
      </c>
      <c r="B1202" s="17" t="s">
        <v>1663</v>
      </c>
      <c r="C1202" s="17" t="s">
        <v>1664</v>
      </c>
      <c r="D1202" s="20" t="s">
        <v>5</v>
      </c>
      <c r="E1202" s="20" t="s">
        <v>6</v>
      </c>
      <c r="F1202" s="18">
        <v>1</v>
      </c>
      <c r="G1202" s="19">
        <v>185.3</v>
      </c>
      <c r="H1202" s="32">
        <v>2</v>
      </c>
      <c r="I1202" s="25">
        <f t="shared" si="72"/>
        <v>370.6</v>
      </c>
      <c r="J1202" s="40"/>
      <c r="K1202" s="39"/>
      <c r="L1202" s="39"/>
      <c r="M1202" s="39"/>
      <c r="N1202" s="23"/>
      <c r="O1202" s="39"/>
      <c r="P1202" s="39"/>
      <c r="Q1202" s="39"/>
      <c r="R1202" s="39"/>
    </row>
    <row r="1203" spans="1:18" s="2" customFormat="1" ht="14.4">
      <c r="A1203" s="20">
        <f t="shared" si="75"/>
        <v>1126</v>
      </c>
      <c r="B1203" s="17" t="s">
        <v>1665</v>
      </c>
      <c r="C1203" s="17" t="s">
        <v>1666</v>
      </c>
      <c r="D1203" s="20" t="s">
        <v>5</v>
      </c>
      <c r="E1203" s="20" t="s">
        <v>6</v>
      </c>
      <c r="F1203" s="18">
        <v>1</v>
      </c>
      <c r="G1203" s="19">
        <v>46.42</v>
      </c>
      <c r="H1203" s="32">
        <v>1</v>
      </c>
      <c r="I1203" s="25">
        <f t="shared" si="72"/>
        <v>46.42</v>
      </c>
      <c r="J1203" s="40"/>
      <c r="K1203" s="39"/>
      <c r="L1203" s="39"/>
      <c r="M1203" s="39"/>
      <c r="N1203" s="23"/>
      <c r="O1203" s="39"/>
      <c r="P1203" s="39"/>
      <c r="Q1203" s="39"/>
      <c r="R1203" s="39"/>
    </row>
    <row r="1204" spans="1:18" s="2" customFormat="1" ht="14.4">
      <c r="A1204" s="20">
        <f t="shared" si="75"/>
        <v>1127</v>
      </c>
      <c r="B1204" s="17" t="s">
        <v>1667</v>
      </c>
      <c r="C1204" s="17" t="s">
        <v>1668</v>
      </c>
      <c r="D1204" s="20" t="s">
        <v>5</v>
      </c>
      <c r="E1204" s="20" t="s">
        <v>6</v>
      </c>
      <c r="F1204" s="18">
        <v>1</v>
      </c>
      <c r="G1204" s="19">
        <v>36.22</v>
      </c>
      <c r="H1204" s="32">
        <v>2</v>
      </c>
      <c r="I1204" s="25">
        <f t="shared" si="72"/>
        <v>72.44</v>
      </c>
      <c r="J1204" s="40"/>
      <c r="K1204" s="39"/>
      <c r="L1204" s="39"/>
      <c r="M1204" s="39"/>
      <c r="N1204" s="23"/>
      <c r="O1204" s="39"/>
      <c r="P1204" s="39"/>
      <c r="Q1204" s="39"/>
      <c r="R1204" s="39"/>
    </row>
    <row r="1205" spans="1:18" s="2" customFormat="1" ht="14.4">
      <c r="A1205" s="20">
        <f t="shared" si="75"/>
        <v>1128</v>
      </c>
      <c r="B1205" s="17" t="s">
        <v>1669</v>
      </c>
      <c r="C1205" s="17" t="s">
        <v>1670</v>
      </c>
      <c r="D1205" s="20" t="s">
        <v>5</v>
      </c>
      <c r="E1205" s="20" t="s">
        <v>6</v>
      </c>
      <c r="F1205" s="18">
        <v>1</v>
      </c>
      <c r="G1205" s="19">
        <v>36.22</v>
      </c>
      <c r="H1205" s="32">
        <v>1</v>
      </c>
      <c r="I1205" s="25">
        <f t="shared" si="72"/>
        <v>36.22</v>
      </c>
      <c r="J1205" s="40"/>
      <c r="K1205" s="39"/>
      <c r="L1205" s="39"/>
      <c r="M1205" s="39"/>
      <c r="N1205" s="23"/>
      <c r="O1205" s="39"/>
      <c r="P1205" s="39"/>
      <c r="Q1205" s="39"/>
      <c r="R1205" s="39"/>
    </row>
    <row r="1206" spans="1:18" s="2" customFormat="1" ht="14.4">
      <c r="A1206" s="20">
        <f t="shared" si="75"/>
        <v>1129</v>
      </c>
      <c r="B1206" s="17" t="s">
        <v>1671</v>
      </c>
      <c r="C1206" s="17" t="s">
        <v>1672</v>
      </c>
      <c r="D1206" s="20" t="s">
        <v>5</v>
      </c>
      <c r="E1206" s="20" t="s">
        <v>6</v>
      </c>
      <c r="F1206" s="18">
        <v>1</v>
      </c>
      <c r="G1206" s="19">
        <v>36.22</v>
      </c>
      <c r="H1206" s="32">
        <v>1</v>
      </c>
      <c r="I1206" s="25">
        <f t="shared" si="72"/>
        <v>36.22</v>
      </c>
      <c r="J1206" s="40"/>
      <c r="K1206" s="39"/>
      <c r="L1206" s="39"/>
      <c r="M1206" s="39"/>
      <c r="N1206" s="23"/>
      <c r="O1206" s="39"/>
      <c r="P1206" s="39"/>
      <c r="Q1206" s="39"/>
      <c r="R1206" s="39"/>
    </row>
    <row r="1207" spans="1:18" s="2" customFormat="1" ht="14.4">
      <c r="A1207" s="20">
        <f t="shared" si="75"/>
        <v>1130</v>
      </c>
      <c r="B1207" s="17" t="s">
        <v>1673</v>
      </c>
      <c r="C1207" s="17" t="s">
        <v>1674</v>
      </c>
      <c r="D1207" s="20" t="s">
        <v>5</v>
      </c>
      <c r="E1207" s="20" t="s">
        <v>6</v>
      </c>
      <c r="F1207" s="18">
        <v>1</v>
      </c>
      <c r="G1207" s="19">
        <v>36.22</v>
      </c>
      <c r="H1207" s="32">
        <v>4</v>
      </c>
      <c r="I1207" s="25">
        <f t="shared" si="72"/>
        <v>144.88</v>
      </c>
      <c r="J1207" s="40"/>
      <c r="K1207" s="39"/>
      <c r="L1207" s="39"/>
      <c r="M1207" s="39"/>
      <c r="N1207" s="23"/>
      <c r="O1207" s="39"/>
      <c r="P1207" s="39"/>
      <c r="Q1207" s="39"/>
      <c r="R1207" s="39"/>
    </row>
    <row r="1208" spans="1:18" s="2" customFormat="1" ht="14.4">
      <c r="A1208" s="20">
        <f t="shared" si="75"/>
        <v>1131</v>
      </c>
      <c r="B1208" s="17" t="s">
        <v>1675</v>
      </c>
      <c r="C1208" s="17" t="s">
        <v>1676</v>
      </c>
      <c r="D1208" s="20" t="s">
        <v>5</v>
      </c>
      <c r="E1208" s="20" t="s">
        <v>6</v>
      </c>
      <c r="F1208" s="18">
        <v>1</v>
      </c>
      <c r="G1208" s="19">
        <v>36.22</v>
      </c>
      <c r="H1208" s="32">
        <v>1</v>
      </c>
      <c r="I1208" s="25">
        <f t="shared" si="72"/>
        <v>36.22</v>
      </c>
      <c r="J1208" s="40"/>
      <c r="K1208" s="39"/>
      <c r="L1208" s="39"/>
      <c r="M1208" s="39"/>
      <c r="N1208" s="23"/>
      <c r="O1208" s="39"/>
      <c r="P1208" s="39"/>
      <c r="Q1208" s="39"/>
      <c r="R1208" s="39"/>
    </row>
    <row r="1209" spans="1:18" s="2" customFormat="1" ht="14.4">
      <c r="A1209" s="20">
        <f t="shared" si="75"/>
        <v>1132</v>
      </c>
      <c r="B1209" s="17" t="s">
        <v>1677</v>
      </c>
      <c r="C1209" s="17" t="s">
        <v>1678</v>
      </c>
      <c r="D1209" s="20" t="s">
        <v>5</v>
      </c>
      <c r="E1209" s="20" t="s">
        <v>6</v>
      </c>
      <c r="F1209" s="18">
        <v>1</v>
      </c>
      <c r="G1209" s="19">
        <v>379.14</v>
      </c>
      <c r="H1209" s="32">
        <v>4</v>
      </c>
      <c r="I1209" s="25">
        <f t="shared" si="72"/>
        <v>1516.56</v>
      </c>
      <c r="J1209" s="40"/>
      <c r="K1209" s="39"/>
      <c r="L1209" s="39"/>
      <c r="M1209" s="39"/>
      <c r="N1209" s="23"/>
      <c r="O1209" s="39"/>
      <c r="P1209" s="39"/>
      <c r="Q1209" s="39"/>
      <c r="R1209" s="39"/>
    </row>
    <row r="1210" spans="1:18" s="2" customFormat="1" ht="14.4">
      <c r="A1210" s="20">
        <f t="shared" si="75"/>
        <v>1133</v>
      </c>
      <c r="B1210" s="17" t="s">
        <v>1679</v>
      </c>
      <c r="C1210" s="17" t="s">
        <v>1680</v>
      </c>
      <c r="D1210" s="20" t="s">
        <v>5</v>
      </c>
      <c r="E1210" s="20" t="s">
        <v>6</v>
      </c>
      <c r="F1210" s="18">
        <v>1</v>
      </c>
      <c r="G1210" s="19">
        <v>297.54000000000002</v>
      </c>
      <c r="H1210" s="32">
        <v>2</v>
      </c>
      <c r="I1210" s="25">
        <f t="shared" si="72"/>
        <v>595.08000000000004</v>
      </c>
      <c r="J1210" s="40"/>
      <c r="K1210" s="39"/>
      <c r="L1210" s="39"/>
      <c r="M1210" s="39"/>
      <c r="N1210" s="23"/>
      <c r="O1210" s="39"/>
      <c r="P1210" s="39"/>
      <c r="Q1210" s="39"/>
      <c r="R1210" s="39"/>
    </row>
    <row r="1211" spans="1:18" s="2" customFormat="1" ht="14.4">
      <c r="A1211" s="20">
        <f t="shared" si="75"/>
        <v>1134</v>
      </c>
      <c r="B1211" s="17" t="s">
        <v>1645</v>
      </c>
      <c r="C1211" s="17" t="s">
        <v>1646</v>
      </c>
      <c r="D1211" s="20" t="s">
        <v>5</v>
      </c>
      <c r="E1211" s="20" t="s">
        <v>6</v>
      </c>
      <c r="F1211" s="18">
        <v>1</v>
      </c>
      <c r="G1211" s="19">
        <f>1.633198857*266.3</f>
        <v>434.9208556191</v>
      </c>
      <c r="H1211" s="32">
        <v>14</v>
      </c>
      <c r="I1211" s="25">
        <f t="shared" si="72"/>
        <v>6088.8919786673996</v>
      </c>
      <c r="J1211" s="40"/>
      <c r="K1211" s="39"/>
      <c r="L1211" s="39"/>
      <c r="M1211" s="39"/>
      <c r="N1211" s="23"/>
      <c r="O1211" s="39"/>
      <c r="P1211" s="39"/>
      <c r="Q1211" s="39"/>
      <c r="R1211" s="39"/>
    </row>
    <row r="1212" spans="1:18" s="2" customFormat="1" ht="14.4">
      <c r="A1212" s="20">
        <f t="shared" si="75"/>
        <v>1135</v>
      </c>
      <c r="B1212" s="17" t="s">
        <v>1681</v>
      </c>
      <c r="C1212" s="17" t="s">
        <v>1682</v>
      </c>
      <c r="D1212" s="20" t="s">
        <v>5</v>
      </c>
      <c r="E1212" s="20" t="s">
        <v>6</v>
      </c>
      <c r="F1212" s="18">
        <v>1</v>
      </c>
      <c r="G1212" s="19">
        <f>805.83</f>
        <v>805.83</v>
      </c>
      <c r="H1212" s="32">
        <v>1</v>
      </c>
      <c r="I1212" s="25">
        <f t="shared" si="72"/>
        <v>805.83</v>
      </c>
      <c r="J1212" s="40"/>
      <c r="K1212" s="39"/>
      <c r="L1212" s="39"/>
      <c r="M1212" s="39"/>
      <c r="N1212" s="23"/>
      <c r="O1212" s="39"/>
      <c r="P1212" s="39"/>
      <c r="Q1212" s="39"/>
      <c r="R1212" s="39"/>
    </row>
    <row r="1213" spans="1:18" s="2" customFormat="1" ht="14.4">
      <c r="A1213" s="20">
        <f t="shared" si="75"/>
        <v>1136</v>
      </c>
      <c r="B1213" s="17" t="s">
        <v>1683</v>
      </c>
      <c r="C1213" s="17" t="s">
        <v>1684</v>
      </c>
      <c r="D1213" s="20" t="s">
        <v>5</v>
      </c>
      <c r="E1213" s="20" t="s">
        <v>6</v>
      </c>
      <c r="F1213" s="18">
        <v>1</v>
      </c>
      <c r="G1213" s="19">
        <f>1.633198857*259</f>
        <v>422.99850396300002</v>
      </c>
      <c r="H1213" s="32">
        <v>1</v>
      </c>
      <c r="I1213" s="25">
        <f t="shared" si="72"/>
        <v>422.99850396300002</v>
      </c>
      <c r="J1213" s="40"/>
      <c r="K1213" s="39"/>
      <c r="L1213" s="39"/>
      <c r="M1213" s="39"/>
      <c r="N1213" s="23"/>
      <c r="O1213" s="39"/>
      <c r="P1213" s="39"/>
      <c r="Q1213" s="39"/>
      <c r="R1213" s="39"/>
    </row>
    <row r="1214" spans="1:18" s="2" customFormat="1" ht="14.4">
      <c r="A1214" s="20">
        <f t="shared" si="75"/>
        <v>1137</v>
      </c>
      <c r="B1214" s="17" t="s">
        <v>1685</v>
      </c>
      <c r="C1214" s="17" t="s">
        <v>1686</v>
      </c>
      <c r="D1214" s="20" t="s">
        <v>1687</v>
      </c>
      <c r="E1214" s="20" t="s">
        <v>105</v>
      </c>
      <c r="F1214" s="18">
        <v>1</v>
      </c>
      <c r="G1214" s="19">
        <v>969.22</v>
      </c>
      <c r="H1214" s="32">
        <v>1</v>
      </c>
      <c r="I1214" s="25">
        <f t="shared" si="72"/>
        <v>969.22</v>
      </c>
      <c r="J1214" s="40"/>
      <c r="K1214" s="39"/>
      <c r="L1214" s="39"/>
      <c r="M1214" s="39"/>
      <c r="N1214" s="23"/>
      <c r="O1214" s="39"/>
      <c r="P1214" s="39"/>
      <c r="Q1214" s="39"/>
      <c r="R1214" s="39"/>
    </row>
    <row r="1215" spans="1:18" s="2" customFormat="1" ht="14.4">
      <c r="A1215" s="20">
        <f t="shared" si="75"/>
        <v>1138</v>
      </c>
      <c r="B1215" s="17" t="s">
        <v>1688</v>
      </c>
      <c r="C1215" s="17" t="s">
        <v>1689</v>
      </c>
      <c r="D1215" s="20" t="s">
        <v>1687</v>
      </c>
      <c r="E1215" s="20" t="s">
        <v>105</v>
      </c>
      <c r="F1215" s="18">
        <v>1</v>
      </c>
      <c r="G1215" s="19">
        <v>470.99</v>
      </c>
      <c r="H1215" s="32">
        <v>1</v>
      </c>
      <c r="I1215" s="25">
        <f t="shared" si="72"/>
        <v>470.99</v>
      </c>
      <c r="J1215" s="40"/>
      <c r="K1215" s="39"/>
      <c r="L1215" s="39"/>
      <c r="M1215" s="39"/>
      <c r="N1215" s="23"/>
      <c r="O1215" s="39"/>
      <c r="P1215" s="39"/>
      <c r="Q1215" s="39"/>
      <c r="R1215" s="39"/>
    </row>
    <row r="1216" spans="1:18" s="2" customFormat="1" ht="14.4">
      <c r="A1216" s="20">
        <f t="shared" si="75"/>
        <v>1139</v>
      </c>
      <c r="B1216" s="17" t="s">
        <v>1690</v>
      </c>
      <c r="C1216" s="17" t="s">
        <v>1691</v>
      </c>
      <c r="D1216" s="20" t="s">
        <v>5</v>
      </c>
      <c r="E1216" s="20" t="s">
        <v>6</v>
      </c>
      <c r="F1216" s="18">
        <v>1</v>
      </c>
      <c r="G1216" s="19">
        <v>17</v>
      </c>
      <c r="H1216" s="32">
        <v>2</v>
      </c>
      <c r="I1216" s="25">
        <f t="shared" si="72"/>
        <v>34</v>
      </c>
      <c r="J1216" s="40"/>
      <c r="K1216" s="39"/>
      <c r="L1216" s="39"/>
      <c r="M1216" s="39"/>
      <c r="N1216" s="23"/>
      <c r="O1216" s="39"/>
      <c r="P1216" s="39"/>
      <c r="Q1216" s="39"/>
      <c r="R1216" s="39"/>
    </row>
    <row r="1217" spans="1:18" s="2" customFormat="1" ht="14.4">
      <c r="A1217" s="20">
        <f t="shared" si="75"/>
        <v>1140</v>
      </c>
      <c r="B1217" s="17" t="s">
        <v>1692</v>
      </c>
      <c r="C1217" s="17" t="s">
        <v>1693</v>
      </c>
      <c r="D1217" s="20" t="s">
        <v>5</v>
      </c>
      <c r="E1217" s="20" t="s">
        <v>6</v>
      </c>
      <c r="F1217" s="18">
        <v>1</v>
      </c>
      <c r="G1217" s="19">
        <v>30</v>
      </c>
      <c r="H1217" s="32">
        <v>14</v>
      </c>
      <c r="I1217" s="25">
        <f t="shared" si="72"/>
        <v>420</v>
      </c>
      <c r="J1217" s="40"/>
      <c r="K1217" s="39"/>
      <c r="L1217" s="39"/>
      <c r="M1217" s="39"/>
      <c r="N1217" s="23"/>
      <c r="O1217" s="39"/>
      <c r="P1217" s="39"/>
      <c r="Q1217" s="39"/>
      <c r="R1217" s="39"/>
    </row>
    <row r="1218" spans="1:18" s="2" customFormat="1" ht="14.4">
      <c r="A1218" s="20">
        <f t="shared" si="75"/>
        <v>1141</v>
      </c>
      <c r="B1218" s="17" t="s">
        <v>1694</v>
      </c>
      <c r="C1218" s="17" t="s">
        <v>1695</v>
      </c>
      <c r="D1218" s="20" t="s">
        <v>1651</v>
      </c>
      <c r="E1218" s="20" t="s">
        <v>49</v>
      </c>
      <c r="F1218" s="18">
        <v>1</v>
      </c>
      <c r="G1218" s="19">
        <v>79.73</v>
      </c>
      <c r="H1218" s="32">
        <v>126</v>
      </c>
      <c r="I1218" s="25">
        <f t="shared" si="72"/>
        <v>10045.980000000001</v>
      </c>
      <c r="J1218" s="40"/>
      <c r="K1218" s="39"/>
      <c r="L1218" s="39"/>
      <c r="M1218" s="39"/>
      <c r="N1218" s="23"/>
      <c r="O1218" s="39"/>
      <c r="P1218" s="39"/>
      <c r="Q1218" s="39"/>
      <c r="R1218" s="39"/>
    </row>
    <row r="1219" spans="1:18" s="2" customFormat="1" ht="14.4">
      <c r="A1219" s="20">
        <f t="shared" si="75"/>
        <v>1142</v>
      </c>
      <c r="B1219" s="17" t="s">
        <v>1696</v>
      </c>
      <c r="C1219" s="17" t="s">
        <v>1697</v>
      </c>
      <c r="D1219" s="20" t="s">
        <v>5</v>
      </c>
      <c r="E1219" s="20" t="s">
        <v>6</v>
      </c>
      <c r="F1219" s="18">
        <v>1</v>
      </c>
      <c r="G1219" s="19">
        <v>20.7</v>
      </c>
      <c r="H1219" s="32">
        <v>2</v>
      </c>
      <c r="I1219" s="25">
        <f t="shared" si="72"/>
        <v>41.4</v>
      </c>
      <c r="J1219" s="40"/>
      <c r="K1219" s="39"/>
      <c r="L1219" s="39"/>
      <c r="M1219" s="39"/>
      <c r="N1219" s="23"/>
      <c r="O1219" s="39"/>
      <c r="P1219" s="39"/>
      <c r="Q1219" s="39"/>
      <c r="R1219" s="39"/>
    </row>
    <row r="1220" spans="1:18" s="2" customFormat="1" ht="14.4">
      <c r="A1220" s="20">
        <f t="shared" si="75"/>
        <v>1143</v>
      </c>
      <c r="B1220" s="17" t="s">
        <v>1698</v>
      </c>
      <c r="C1220" s="17" t="s">
        <v>1699</v>
      </c>
      <c r="D1220" s="20" t="s">
        <v>5</v>
      </c>
      <c r="E1220" s="20" t="s">
        <v>6</v>
      </c>
      <c r="F1220" s="18">
        <v>1</v>
      </c>
      <c r="G1220" s="19">
        <v>18</v>
      </c>
      <c r="H1220" s="32">
        <v>2</v>
      </c>
      <c r="I1220" s="25">
        <f t="shared" si="72"/>
        <v>36</v>
      </c>
      <c r="J1220" s="40"/>
      <c r="K1220" s="39"/>
      <c r="L1220" s="39"/>
      <c r="M1220" s="39"/>
      <c r="N1220" s="23"/>
      <c r="O1220" s="39"/>
      <c r="P1220" s="39"/>
      <c r="Q1220" s="39"/>
      <c r="R1220" s="39"/>
    </row>
    <row r="1221" spans="1:18" s="2" customFormat="1" ht="14.4">
      <c r="A1221" s="20">
        <f t="shared" si="75"/>
        <v>1144</v>
      </c>
      <c r="B1221" s="17" t="s">
        <v>218</v>
      </c>
      <c r="C1221" s="17" t="s">
        <v>219</v>
      </c>
      <c r="D1221" s="20" t="s">
        <v>48</v>
      </c>
      <c r="E1221" s="20" t="s">
        <v>49</v>
      </c>
      <c r="F1221" s="18">
        <v>1</v>
      </c>
      <c r="G1221" s="19"/>
      <c r="H1221" s="32">
        <v>1</v>
      </c>
      <c r="I1221" s="25">
        <f>SUM(I1177:I1220)*0.05</f>
        <v>11727.273690565977</v>
      </c>
      <c r="J1221" s="40"/>
      <c r="K1221" s="39"/>
      <c r="L1221" s="39"/>
      <c r="M1221" s="39"/>
      <c r="N1221" s="23"/>
      <c r="O1221" s="39"/>
      <c r="P1221" s="39"/>
      <c r="Q1221" s="39"/>
      <c r="R1221" s="39"/>
    </row>
    <row r="1222" spans="1:18" ht="14.4">
      <c r="A1222" s="20"/>
      <c r="B1222" s="13" t="s">
        <v>1700</v>
      </c>
      <c r="C1222" s="13" t="s">
        <v>1701</v>
      </c>
      <c r="D1222" s="14"/>
      <c r="E1222" s="14"/>
      <c r="F1222" s="18"/>
      <c r="G1222" s="19"/>
      <c r="H1222" s="15"/>
      <c r="I1222" s="25"/>
      <c r="J1222" s="24"/>
      <c r="K1222" s="22"/>
      <c r="L1222" s="22"/>
      <c r="M1222" s="22"/>
      <c r="N1222" s="23"/>
      <c r="O1222" s="22"/>
      <c r="P1222" s="22"/>
      <c r="Q1222" s="22"/>
      <c r="R1222" s="22"/>
    </row>
    <row r="1223" spans="1:18" s="2" customFormat="1" ht="26.4">
      <c r="A1223" s="20">
        <f>A1221+1</f>
        <v>1145</v>
      </c>
      <c r="B1223" s="17" t="s">
        <v>1702</v>
      </c>
      <c r="C1223" s="17" t="s">
        <v>1703</v>
      </c>
      <c r="D1223" s="20" t="s">
        <v>5</v>
      </c>
      <c r="E1223" s="20" t="s">
        <v>6</v>
      </c>
      <c r="F1223" s="18">
        <v>1</v>
      </c>
      <c r="G1223" s="19">
        <f>1.633198857*95.26</f>
        <v>155.57852311782</v>
      </c>
      <c r="H1223" s="32">
        <v>3</v>
      </c>
      <c r="I1223" s="25">
        <f t="shared" si="72"/>
        <v>466.73556935345999</v>
      </c>
      <c r="J1223" s="40"/>
      <c r="K1223" s="39"/>
      <c r="L1223" s="39"/>
      <c r="M1223" s="39"/>
      <c r="N1223" s="23"/>
      <c r="O1223" s="39"/>
      <c r="P1223" s="39"/>
      <c r="Q1223" s="39"/>
      <c r="R1223" s="39"/>
    </row>
    <row r="1224" spans="1:18" s="2" customFormat="1" ht="14.4">
      <c r="A1224" s="20">
        <f t="shared" si="74"/>
        <v>1146</v>
      </c>
      <c r="B1224" s="17" t="s">
        <v>1704</v>
      </c>
      <c r="C1224" s="17" t="s">
        <v>1705</v>
      </c>
      <c r="D1224" s="20" t="s">
        <v>5</v>
      </c>
      <c r="E1224" s="20" t="s">
        <v>6</v>
      </c>
      <c r="F1224" s="18">
        <v>1</v>
      </c>
      <c r="G1224" s="19">
        <f>184.03</f>
        <v>184.03</v>
      </c>
      <c r="H1224" s="32">
        <v>3</v>
      </c>
      <c r="I1224" s="25">
        <f t="shared" si="72"/>
        <v>552.09</v>
      </c>
      <c r="J1224" s="40"/>
      <c r="K1224" s="39"/>
      <c r="L1224" s="39"/>
      <c r="M1224" s="39"/>
      <c r="N1224" s="23"/>
      <c r="O1224" s="39"/>
      <c r="P1224" s="39"/>
      <c r="Q1224" s="39"/>
      <c r="R1224" s="39"/>
    </row>
    <row r="1225" spans="1:18" s="2" customFormat="1" ht="14.4">
      <c r="A1225" s="20">
        <f t="shared" si="74"/>
        <v>1147</v>
      </c>
      <c r="B1225" s="17" t="s">
        <v>1706</v>
      </c>
      <c r="C1225" s="17" t="s">
        <v>1707</v>
      </c>
      <c r="D1225" s="20" t="s">
        <v>5</v>
      </c>
      <c r="E1225" s="20" t="s">
        <v>6</v>
      </c>
      <c r="F1225" s="18">
        <v>1</v>
      </c>
      <c r="G1225" s="19">
        <f>112.02</f>
        <v>112.02</v>
      </c>
      <c r="H1225" s="32">
        <v>3</v>
      </c>
      <c r="I1225" s="25">
        <f t="shared" si="72"/>
        <v>336.06</v>
      </c>
      <c r="J1225" s="40"/>
      <c r="K1225" s="39"/>
      <c r="L1225" s="39"/>
      <c r="M1225" s="39"/>
      <c r="N1225" s="23"/>
      <c r="O1225" s="39"/>
      <c r="P1225" s="39"/>
      <c r="Q1225" s="39"/>
      <c r="R1225" s="39"/>
    </row>
    <row r="1226" spans="1:18" s="2" customFormat="1" ht="26.4">
      <c r="A1226" s="20">
        <f t="shared" si="74"/>
        <v>1148</v>
      </c>
      <c r="B1226" s="17" t="s">
        <v>1708</v>
      </c>
      <c r="C1226" s="17" t="s">
        <v>1709</v>
      </c>
      <c r="D1226" s="20" t="s">
        <v>5</v>
      </c>
      <c r="E1226" s="20" t="s">
        <v>6</v>
      </c>
      <c r="F1226" s="18">
        <v>1</v>
      </c>
      <c r="G1226" s="19">
        <f>1.633198857*95.26</f>
        <v>155.57852311782</v>
      </c>
      <c r="H1226" s="32">
        <v>5</v>
      </c>
      <c r="I1226" s="25">
        <f t="shared" si="72"/>
        <v>777.89261558909993</v>
      </c>
      <c r="J1226" s="40"/>
      <c r="K1226" s="39"/>
      <c r="L1226" s="39"/>
      <c r="M1226" s="39"/>
      <c r="N1226" s="23"/>
      <c r="O1226" s="39"/>
      <c r="P1226" s="39"/>
      <c r="Q1226" s="39"/>
      <c r="R1226" s="39"/>
    </row>
    <row r="1227" spans="1:18" s="2" customFormat="1" ht="14.4">
      <c r="A1227" s="20">
        <f t="shared" si="74"/>
        <v>1149</v>
      </c>
      <c r="B1227" s="17" t="s">
        <v>1710</v>
      </c>
      <c r="C1227" s="17" t="s">
        <v>1711</v>
      </c>
      <c r="D1227" s="20" t="s">
        <v>5</v>
      </c>
      <c r="E1227" s="20" t="s">
        <v>6</v>
      </c>
      <c r="F1227" s="18">
        <v>1</v>
      </c>
      <c r="G1227" s="19">
        <f>143.23</f>
        <v>143.22999999999999</v>
      </c>
      <c r="H1227" s="32">
        <v>5</v>
      </c>
      <c r="I1227" s="25">
        <f t="shared" ref="I1227:I1290" si="76">G1227*H1227</f>
        <v>716.15</v>
      </c>
      <c r="J1227" s="40"/>
      <c r="K1227" s="39"/>
      <c r="L1227" s="39"/>
      <c r="M1227" s="39"/>
      <c r="N1227" s="23"/>
      <c r="O1227" s="39"/>
      <c r="P1227" s="39"/>
      <c r="Q1227" s="39"/>
      <c r="R1227" s="39"/>
    </row>
    <row r="1228" spans="1:18" s="2" customFormat="1" ht="14.4">
      <c r="A1228" s="20">
        <f t="shared" si="74"/>
        <v>1150</v>
      </c>
      <c r="B1228" s="17" t="s">
        <v>1712</v>
      </c>
      <c r="C1228" s="17" t="s">
        <v>1713</v>
      </c>
      <c r="D1228" s="20" t="s">
        <v>5</v>
      </c>
      <c r="E1228" s="20" t="s">
        <v>6</v>
      </c>
      <c r="F1228" s="18">
        <v>1</v>
      </c>
      <c r="G1228" s="19">
        <f>112.02</f>
        <v>112.02</v>
      </c>
      <c r="H1228" s="32">
        <v>5</v>
      </c>
      <c r="I1228" s="25">
        <f t="shared" si="76"/>
        <v>560.1</v>
      </c>
      <c r="J1228" s="40"/>
      <c r="K1228" s="39"/>
      <c r="L1228" s="39"/>
      <c r="M1228" s="39"/>
      <c r="N1228" s="23"/>
      <c r="O1228" s="39"/>
      <c r="P1228" s="39"/>
      <c r="Q1228" s="39"/>
      <c r="R1228" s="39"/>
    </row>
    <row r="1229" spans="1:18" s="2" customFormat="1" ht="26.4">
      <c r="A1229" s="20">
        <f t="shared" si="74"/>
        <v>1151</v>
      </c>
      <c r="B1229" s="17" t="s">
        <v>1714</v>
      </c>
      <c r="C1229" s="17" t="s">
        <v>1715</v>
      </c>
      <c r="D1229" s="20" t="s">
        <v>5</v>
      </c>
      <c r="E1229" s="20" t="s">
        <v>6</v>
      </c>
      <c r="F1229" s="18">
        <v>1</v>
      </c>
      <c r="G1229" s="19">
        <f>1.633198857*4656.48</f>
        <v>7604.9578136433593</v>
      </c>
      <c r="H1229" s="32">
        <v>8</v>
      </c>
      <c r="I1229" s="25">
        <f t="shared" si="76"/>
        <v>60839.662509146874</v>
      </c>
      <c r="J1229" s="40"/>
      <c r="K1229" s="39"/>
      <c r="L1229" s="39"/>
      <c r="M1229" s="39"/>
      <c r="N1229" s="23"/>
      <c r="O1229" s="39"/>
      <c r="P1229" s="39"/>
      <c r="Q1229" s="39"/>
      <c r="R1229" s="39"/>
    </row>
    <row r="1230" spans="1:18" s="2" customFormat="1" ht="26.4">
      <c r="A1230" s="20">
        <f t="shared" si="74"/>
        <v>1152</v>
      </c>
      <c r="B1230" s="17" t="s">
        <v>1716</v>
      </c>
      <c r="C1230" s="17" t="s">
        <v>1717</v>
      </c>
      <c r="D1230" s="20" t="s">
        <v>5</v>
      </c>
      <c r="E1230" s="20" t="s">
        <v>6</v>
      </c>
      <c r="F1230" s="18">
        <v>1</v>
      </c>
      <c r="G1230" s="19">
        <f>14833.33</f>
        <v>14833.33</v>
      </c>
      <c r="H1230" s="32">
        <v>8</v>
      </c>
      <c r="I1230" s="25">
        <f t="shared" si="76"/>
        <v>118666.64</v>
      </c>
      <c r="J1230" s="40"/>
      <c r="K1230" s="39"/>
      <c r="L1230" s="39"/>
      <c r="M1230" s="39"/>
      <c r="N1230" s="23"/>
      <c r="O1230" s="39"/>
      <c r="P1230" s="39"/>
      <c r="Q1230" s="39"/>
      <c r="R1230" s="39"/>
    </row>
    <row r="1231" spans="1:18" s="2" customFormat="1" ht="14.4">
      <c r="A1231" s="20">
        <f t="shared" si="74"/>
        <v>1153</v>
      </c>
      <c r="B1231" s="17" t="s">
        <v>1718</v>
      </c>
      <c r="C1231" s="17" t="s">
        <v>1719</v>
      </c>
      <c r="D1231" s="20" t="s">
        <v>5</v>
      </c>
      <c r="E1231" s="20" t="s">
        <v>6</v>
      </c>
      <c r="F1231" s="18">
        <v>1</v>
      </c>
      <c r="G1231" s="19">
        <f>108.29</f>
        <v>108.29</v>
      </c>
      <c r="H1231" s="32">
        <v>8</v>
      </c>
      <c r="I1231" s="25">
        <f t="shared" si="76"/>
        <v>866.32</v>
      </c>
      <c r="J1231" s="40"/>
      <c r="K1231" s="39"/>
      <c r="L1231" s="39"/>
      <c r="M1231" s="39"/>
      <c r="N1231" s="23"/>
      <c r="O1231" s="39"/>
      <c r="P1231" s="39"/>
      <c r="Q1231" s="39"/>
      <c r="R1231" s="39"/>
    </row>
    <row r="1232" spans="1:18" s="2" customFormat="1" ht="52.8">
      <c r="A1232" s="20">
        <f t="shared" si="74"/>
        <v>1154</v>
      </c>
      <c r="B1232" s="17" t="s">
        <v>1720</v>
      </c>
      <c r="C1232" s="17" t="s">
        <v>1721</v>
      </c>
      <c r="D1232" s="20" t="s">
        <v>5</v>
      </c>
      <c r="E1232" s="20" t="s">
        <v>6</v>
      </c>
      <c r="F1232" s="18">
        <v>1</v>
      </c>
      <c r="G1232" s="19">
        <f>1.633198857*455.64</f>
        <v>744.15072720347996</v>
      </c>
      <c r="H1232" s="32">
        <f>H1233+H1234+H1235+H1236</f>
        <v>40</v>
      </c>
      <c r="I1232" s="25">
        <f t="shared" si="76"/>
        <v>29766.029088139199</v>
      </c>
      <c r="J1232" s="40"/>
      <c r="K1232" s="39"/>
      <c r="L1232" s="39"/>
      <c r="M1232" s="39"/>
      <c r="N1232" s="23"/>
      <c r="O1232" s="39"/>
      <c r="P1232" s="39"/>
      <c r="Q1232" s="39"/>
      <c r="R1232" s="39"/>
    </row>
    <row r="1233" spans="1:18" s="2" customFormat="1" ht="14.4">
      <c r="A1233" s="20">
        <f t="shared" si="74"/>
        <v>1155</v>
      </c>
      <c r="B1233" s="17" t="s">
        <v>1722</v>
      </c>
      <c r="C1233" s="17" t="s">
        <v>1723</v>
      </c>
      <c r="D1233" s="20" t="s">
        <v>5</v>
      </c>
      <c r="E1233" s="20" t="s">
        <v>6</v>
      </c>
      <c r="F1233" s="18">
        <v>1</v>
      </c>
      <c r="G1233" s="19">
        <f>186.19</f>
        <v>186.19</v>
      </c>
      <c r="H1233" s="32">
        <v>16</v>
      </c>
      <c r="I1233" s="25">
        <f t="shared" si="76"/>
        <v>2979.04</v>
      </c>
      <c r="J1233" s="40"/>
      <c r="K1233" s="39"/>
      <c r="L1233" s="39"/>
      <c r="M1233" s="39"/>
      <c r="N1233" s="23"/>
      <c r="O1233" s="39"/>
      <c r="P1233" s="39"/>
      <c r="Q1233" s="39"/>
      <c r="R1233" s="39"/>
    </row>
    <row r="1234" spans="1:18" s="2" customFormat="1" ht="14.4">
      <c r="A1234" s="20">
        <f t="shared" si="74"/>
        <v>1156</v>
      </c>
      <c r="B1234" s="17" t="s">
        <v>1724</v>
      </c>
      <c r="C1234" s="17" t="s">
        <v>1725</v>
      </c>
      <c r="D1234" s="20" t="s">
        <v>5</v>
      </c>
      <c r="E1234" s="20" t="s">
        <v>6</v>
      </c>
      <c r="F1234" s="18">
        <v>1</v>
      </c>
      <c r="G1234" s="19">
        <f>299.3</f>
        <v>299.3</v>
      </c>
      <c r="H1234" s="32">
        <v>8</v>
      </c>
      <c r="I1234" s="25">
        <f t="shared" si="76"/>
        <v>2394.4</v>
      </c>
      <c r="J1234" s="40"/>
      <c r="K1234" s="39"/>
      <c r="L1234" s="39"/>
      <c r="M1234" s="39"/>
      <c r="N1234" s="23"/>
      <c r="O1234" s="39"/>
      <c r="P1234" s="39"/>
      <c r="Q1234" s="39"/>
      <c r="R1234" s="39"/>
    </row>
    <row r="1235" spans="1:18" s="2" customFormat="1" ht="14.4">
      <c r="A1235" s="20">
        <f t="shared" si="74"/>
        <v>1157</v>
      </c>
      <c r="B1235" s="17" t="s">
        <v>1726</v>
      </c>
      <c r="C1235" s="17" t="s">
        <v>1727</v>
      </c>
      <c r="D1235" s="20" t="s">
        <v>5</v>
      </c>
      <c r="E1235" s="20" t="s">
        <v>6</v>
      </c>
      <c r="F1235" s="18">
        <v>1</v>
      </c>
      <c r="G1235" s="19">
        <f>289.1</f>
        <v>289.10000000000002</v>
      </c>
      <c r="H1235" s="32">
        <v>8</v>
      </c>
      <c r="I1235" s="25">
        <f t="shared" si="76"/>
        <v>2312.8000000000002</v>
      </c>
      <c r="J1235" s="40"/>
      <c r="K1235" s="39"/>
      <c r="L1235" s="39"/>
      <c r="M1235" s="39"/>
      <c r="N1235" s="23"/>
      <c r="O1235" s="39"/>
      <c r="P1235" s="39"/>
      <c r="Q1235" s="39"/>
      <c r="R1235" s="39"/>
    </row>
    <row r="1236" spans="1:18" s="2" customFormat="1" ht="14.4">
      <c r="A1236" s="20">
        <f t="shared" si="74"/>
        <v>1158</v>
      </c>
      <c r="B1236" s="17" t="s">
        <v>1728</v>
      </c>
      <c r="C1236" s="17" t="s">
        <v>1729</v>
      </c>
      <c r="D1236" s="20" t="s">
        <v>5</v>
      </c>
      <c r="E1236" s="20" t="s">
        <v>6</v>
      </c>
      <c r="F1236" s="18">
        <v>1</v>
      </c>
      <c r="G1236" s="19">
        <f>430.99</f>
        <v>430.99</v>
      </c>
      <c r="H1236" s="32">
        <v>8</v>
      </c>
      <c r="I1236" s="25">
        <f t="shared" si="76"/>
        <v>3447.92</v>
      </c>
      <c r="J1236" s="40"/>
      <c r="K1236" s="39"/>
      <c r="L1236" s="39"/>
      <c r="M1236" s="39"/>
      <c r="N1236" s="23"/>
      <c r="O1236" s="39"/>
      <c r="P1236" s="39"/>
      <c r="Q1236" s="39"/>
      <c r="R1236" s="39"/>
    </row>
    <row r="1237" spans="1:18" s="2" customFormat="1" ht="26.4">
      <c r="A1237" s="20">
        <f t="shared" si="74"/>
        <v>1159</v>
      </c>
      <c r="B1237" s="17" t="s">
        <v>1714</v>
      </c>
      <c r="C1237" s="17" t="s">
        <v>1715</v>
      </c>
      <c r="D1237" s="20" t="s">
        <v>5</v>
      </c>
      <c r="E1237" s="20" t="s">
        <v>6</v>
      </c>
      <c r="F1237" s="18">
        <v>1</v>
      </c>
      <c r="G1237" s="19">
        <f>1.633198857*4656.48</f>
        <v>7604.9578136433593</v>
      </c>
      <c r="H1237" s="32">
        <v>12</v>
      </c>
      <c r="I1237" s="25">
        <f t="shared" si="76"/>
        <v>91259.493763720311</v>
      </c>
      <c r="J1237" s="40"/>
      <c r="K1237" s="39"/>
      <c r="L1237" s="39"/>
      <c r="M1237" s="39"/>
      <c r="N1237" s="23"/>
      <c r="O1237" s="39"/>
      <c r="P1237" s="39"/>
      <c r="Q1237" s="39"/>
      <c r="R1237" s="39"/>
    </row>
    <row r="1238" spans="1:18" s="2" customFormat="1" ht="26.4">
      <c r="A1238" s="20">
        <f t="shared" si="74"/>
        <v>1160</v>
      </c>
      <c r="B1238" s="17" t="s">
        <v>1730</v>
      </c>
      <c r="C1238" s="17" t="s">
        <v>1731</v>
      </c>
      <c r="D1238" s="20" t="s">
        <v>5</v>
      </c>
      <c r="E1238" s="20" t="s">
        <v>6</v>
      </c>
      <c r="F1238" s="18">
        <v>1</v>
      </c>
      <c r="G1238" s="19">
        <f>8833.33</f>
        <v>8833.33</v>
      </c>
      <c r="H1238" s="32">
        <v>12</v>
      </c>
      <c r="I1238" s="25">
        <f t="shared" si="76"/>
        <v>105999.95999999999</v>
      </c>
      <c r="J1238" s="40"/>
      <c r="K1238" s="39"/>
      <c r="L1238" s="39"/>
      <c r="M1238" s="39"/>
      <c r="N1238" s="23"/>
      <c r="O1238" s="39"/>
      <c r="P1238" s="39"/>
      <c r="Q1238" s="39"/>
      <c r="R1238" s="39"/>
    </row>
    <row r="1239" spans="1:18" s="2" customFormat="1" ht="14.4">
      <c r="A1239" s="20">
        <f t="shared" si="74"/>
        <v>1161</v>
      </c>
      <c r="B1239" s="17" t="s">
        <v>1718</v>
      </c>
      <c r="C1239" s="17" t="s">
        <v>1719</v>
      </c>
      <c r="D1239" s="20" t="s">
        <v>5</v>
      </c>
      <c r="E1239" s="20" t="s">
        <v>6</v>
      </c>
      <c r="F1239" s="18">
        <v>1</v>
      </c>
      <c r="G1239" s="19">
        <f>108.29</f>
        <v>108.29</v>
      </c>
      <c r="H1239" s="32">
        <v>12</v>
      </c>
      <c r="I1239" s="25">
        <f t="shared" si="76"/>
        <v>1299.48</v>
      </c>
      <c r="J1239" s="40"/>
      <c r="K1239" s="39"/>
      <c r="L1239" s="39"/>
      <c r="M1239" s="39"/>
      <c r="N1239" s="23"/>
      <c r="O1239" s="39"/>
      <c r="P1239" s="39"/>
      <c r="Q1239" s="39"/>
      <c r="R1239" s="39"/>
    </row>
    <row r="1240" spans="1:18" s="2" customFormat="1" ht="52.8">
      <c r="A1240" s="20">
        <f t="shared" si="74"/>
        <v>1162</v>
      </c>
      <c r="B1240" s="17" t="s">
        <v>1720</v>
      </c>
      <c r="C1240" s="17" t="s">
        <v>1721</v>
      </c>
      <c r="D1240" s="20" t="s">
        <v>5</v>
      </c>
      <c r="E1240" s="20" t="s">
        <v>6</v>
      </c>
      <c r="F1240" s="18">
        <v>1</v>
      </c>
      <c r="G1240" s="19">
        <f>1.633198857*455.64</f>
        <v>744.15072720347996</v>
      </c>
      <c r="H1240" s="32">
        <f>H1241+H1242+H1243+H1244</f>
        <v>60</v>
      </c>
      <c r="I1240" s="25">
        <f t="shared" si="76"/>
        <v>44649.043632208799</v>
      </c>
      <c r="J1240" s="40"/>
      <c r="K1240" s="39"/>
      <c r="L1240" s="39"/>
      <c r="M1240" s="39"/>
      <c r="N1240" s="23"/>
      <c r="O1240" s="39"/>
      <c r="P1240" s="39"/>
      <c r="Q1240" s="39"/>
      <c r="R1240" s="39"/>
    </row>
    <row r="1241" spans="1:18" s="2" customFormat="1" ht="14.4">
      <c r="A1241" s="20">
        <f t="shared" si="74"/>
        <v>1163</v>
      </c>
      <c r="B1241" s="17" t="s">
        <v>1732</v>
      </c>
      <c r="C1241" s="17" t="s">
        <v>1733</v>
      </c>
      <c r="D1241" s="20" t="s">
        <v>5</v>
      </c>
      <c r="E1241" s="20" t="s">
        <v>6</v>
      </c>
      <c r="F1241" s="18">
        <v>1</v>
      </c>
      <c r="G1241" s="19">
        <v>165.79</v>
      </c>
      <c r="H1241" s="32">
        <v>24</v>
      </c>
      <c r="I1241" s="25">
        <f t="shared" si="76"/>
        <v>3978.96</v>
      </c>
      <c r="J1241" s="40"/>
      <c r="K1241" s="39"/>
      <c r="L1241" s="39"/>
      <c r="M1241" s="39"/>
      <c r="N1241" s="23"/>
      <c r="O1241" s="39"/>
      <c r="P1241" s="39"/>
      <c r="Q1241" s="39"/>
      <c r="R1241" s="39"/>
    </row>
    <row r="1242" spans="1:18" s="2" customFormat="1" ht="14.4">
      <c r="A1242" s="20">
        <f t="shared" si="74"/>
        <v>1164</v>
      </c>
      <c r="B1242" s="17" t="s">
        <v>1734</v>
      </c>
      <c r="C1242" s="17" t="s">
        <v>1735</v>
      </c>
      <c r="D1242" s="20" t="s">
        <v>5</v>
      </c>
      <c r="E1242" s="20" t="s">
        <v>6</v>
      </c>
      <c r="F1242" s="18">
        <v>1</v>
      </c>
      <c r="G1242" s="19">
        <v>248.3</v>
      </c>
      <c r="H1242" s="32">
        <v>12</v>
      </c>
      <c r="I1242" s="25">
        <f t="shared" si="76"/>
        <v>2979.6000000000004</v>
      </c>
      <c r="J1242" s="40"/>
      <c r="K1242" s="39"/>
      <c r="L1242" s="39"/>
      <c r="M1242" s="39"/>
      <c r="N1242" s="23"/>
      <c r="O1242" s="39"/>
      <c r="P1242" s="39"/>
      <c r="Q1242" s="39"/>
      <c r="R1242" s="39"/>
    </row>
    <row r="1243" spans="1:18" s="2" customFormat="1" ht="14.4">
      <c r="A1243" s="20">
        <f t="shared" si="74"/>
        <v>1165</v>
      </c>
      <c r="B1243" s="17" t="s">
        <v>1736</v>
      </c>
      <c r="C1243" s="17" t="s">
        <v>1737</v>
      </c>
      <c r="D1243" s="20" t="s">
        <v>5</v>
      </c>
      <c r="E1243" s="20" t="s">
        <v>6</v>
      </c>
      <c r="F1243" s="18">
        <v>1</v>
      </c>
      <c r="G1243" s="19">
        <v>248.3</v>
      </c>
      <c r="H1243" s="32">
        <v>12</v>
      </c>
      <c r="I1243" s="25">
        <f t="shared" si="76"/>
        <v>2979.6000000000004</v>
      </c>
      <c r="J1243" s="40"/>
      <c r="K1243" s="39"/>
      <c r="L1243" s="39"/>
      <c r="M1243" s="39"/>
      <c r="N1243" s="23"/>
      <c r="O1243" s="39"/>
      <c r="P1243" s="39"/>
      <c r="Q1243" s="39"/>
      <c r="R1243" s="39"/>
    </row>
    <row r="1244" spans="1:18" s="2" customFormat="1" ht="14.4">
      <c r="A1244" s="20">
        <f t="shared" si="74"/>
        <v>1166</v>
      </c>
      <c r="B1244" s="17" t="s">
        <v>1728</v>
      </c>
      <c r="C1244" s="17" t="s">
        <v>1729</v>
      </c>
      <c r="D1244" s="20" t="s">
        <v>5</v>
      </c>
      <c r="E1244" s="20" t="s">
        <v>6</v>
      </c>
      <c r="F1244" s="18">
        <v>1</v>
      </c>
      <c r="G1244" s="19">
        <v>430.99</v>
      </c>
      <c r="H1244" s="32">
        <v>12</v>
      </c>
      <c r="I1244" s="25">
        <f t="shared" si="76"/>
        <v>5171.88</v>
      </c>
      <c r="J1244" s="40"/>
      <c r="K1244" s="39"/>
      <c r="L1244" s="39"/>
      <c r="M1244" s="39"/>
      <c r="N1244" s="23"/>
      <c r="O1244" s="39"/>
      <c r="P1244" s="39"/>
      <c r="Q1244" s="39"/>
      <c r="R1244" s="39"/>
    </row>
    <row r="1245" spans="1:18" s="2" customFormat="1" ht="26.4">
      <c r="A1245" s="20">
        <f t="shared" si="74"/>
        <v>1167</v>
      </c>
      <c r="B1245" s="17" t="s">
        <v>1714</v>
      </c>
      <c r="C1245" s="17" t="s">
        <v>1715</v>
      </c>
      <c r="D1245" s="20" t="s">
        <v>5</v>
      </c>
      <c r="E1245" s="20" t="s">
        <v>6</v>
      </c>
      <c r="F1245" s="18">
        <v>1</v>
      </c>
      <c r="G1245" s="19">
        <f>1.633198857*4656.48</f>
        <v>7604.9578136433593</v>
      </c>
      <c r="H1245" s="32">
        <v>8</v>
      </c>
      <c r="I1245" s="25">
        <f t="shared" si="76"/>
        <v>60839.662509146874</v>
      </c>
      <c r="J1245" s="40"/>
      <c r="K1245" s="39"/>
      <c r="L1245" s="39"/>
      <c r="M1245" s="39"/>
      <c r="N1245" s="23"/>
      <c r="O1245" s="39"/>
      <c r="P1245" s="39"/>
      <c r="Q1245" s="39"/>
      <c r="R1245" s="39"/>
    </row>
    <row r="1246" spans="1:18" s="2" customFormat="1" ht="26.4">
      <c r="A1246" s="20">
        <f t="shared" si="74"/>
        <v>1168</v>
      </c>
      <c r="B1246" s="17" t="s">
        <v>1738</v>
      </c>
      <c r="C1246" s="17" t="s">
        <v>1739</v>
      </c>
      <c r="D1246" s="20" t="s">
        <v>5</v>
      </c>
      <c r="E1246" s="20" t="s">
        <v>6</v>
      </c>
      <c r="F1246" s="18">
        <v>1</v>
      </c>
      <c r="G1246" s="19">
        <f>6833.33</f>
        <v>6833.33</v>
      </c>
      <c r="H1246" s="32">
        <v>8</v>
      </c>
      <c r="I1246" s="25">
        <f t="shared" si="76"/>
        <v>54666.64</v>
      </c>
      <c r="J1246" s="40"/>
      <c r="K1246" s="39"/>
      <c r="L1246" s="39"/>
      <c r="M1246" s="39"/>
      <c r="N1246" s="23"/>
      <c r="O1246" s="39"/>
      <c r="P1246" s="39"/>
      <c r="Q1246" s="39"/>
      <c r="R1246" s="39"/>
    </row>
    <row r="1247" spans="1:18" s="2" customFormat="1" ht="14.4">
      <c r="A1247" s="20">
        <f t="shared" si="74"/>
        <v>1169</v>
      </c>
      <c r="B1247" s="17" t="s">
        <v>1718</v>
      </c>
      <c r="C1247" s="17" t="s">
        <v>1719</v>
      </c>
      <c r="D1247" s="9" t="s">
        <v>5</v>
      </c>
      <c r="E1247" s="20" t="s">
        <v>6</v>
      </c>
      <c r="F1247" s="18">
        <v>1</v>
      </c>
      <c r="G1247" s="19">
        <f>108.29</f>
        <v>108.29</v>
      </c>
      <c r="H1247" s="32">
        <v>8</v>
      </c>
      <c r="I1247" s="25">
        <f t="shared" si="76"/>
        <v>866.32</v>
      </c>
      <c r="J1247" s="40"/>
      <c r="K1247" s="39"/>
      <c r="L1247" s="39"/>
      <c r="M1247" s="39"/>
      <c r="N1247" s="23"/>
      <c r="O1247" s="39"/>
      <c r="P1247" s="39"/>
      <c r="Q1247" s="39"/>
      <c r="R1247" s="39"/>
    </row>
    <row r="1248" spans="1:18" s="2" customFormat="1" ht="52.8">
      <c r="A1248" s="20">
        <f t="shared" si="74"/>
        <v>1170</v>
      </c>
      <c r="B1248" s="17" t="s">
        <v>1720</v>
      </c>
      <c r="C1248" s="17" t="s">
        <v>1721</v>
      </c>
      <c r="D1248" s="20" t="s">
        <v>5</v>
      </c>
      <c r="E1248" s="20" t="s">
        <v>6</v>
      </c>
      <c r="F1248" s="18">
        <v>1</v>
      </c>
      <c r="G1248" s="19">
        <f>1.633198857*455.64</f>
        <v>744.15072720347996</v>
      </c>
      <c r="H1248" s="32">
        <f>H1249+H1250+H1251+H1252</f>
        <v>40</v>
      </c>
      <c r="I1248" s="25">
        <f t="shared" si="76"/>
        <v>29766.029088139199</v>
      </c>
      <c r="J1248" s="40"/>
      <c r="K1248" s="39"/>
      <c r="L1248" s="39"/>
      <c r="M1248" s="39"/>
      <c r="N1248" s="23"/>
      <c r="O1248" s="39"/>
      <c r="P1248" s="39"/>
      <c r="Q1248" s="39"/>
      <c r="R1248" s="39"/>
    </row>
    <row r="1249" spans="1:18" s="2" customFormat="1" ht="14.4">
      <c r="A1249" s="20">
        <f t="shared" si="74"/>
        <v>1171</v>
      </c>
      <c r="B1249" s="17" t="s">
        <v>1732</v>
      </c>
      <c r="C1249" s="17" t="s">
        <v>1733</v>
      </c>
      <c r="D1249" s="20" t="s">
        <v>5</v>
      </c>
      <c r="E1249" s="20" t="s">
        <v>6</v>
      </c>
      <c r="F1249" s="18">
        <v>1</v>
      </c>
      <c r="G1249" s="19">
        <f>165.79</f>
        <v>165.79</v>
      </c>
      <c r="H1249" s="32">
        <v>16</v>
      </c>
      <c r="I1249" s="25">
        <f t="shared" si="76"/>
        <v>2652.64</v>
      </c>
      <c r="J1249" s="40"/>
      <c r="K1249" s="39"/>
      <c r="L1249" s="39"/>
      <c r="M1249" s="39"/>
      <c r="N1249" s="23"/>
      <c r="O1249" s="39"/>
      <c r="P1249" s="39"/>
      <c r="Q1249" s="39"/>
      <c r="R1249" s="39"/>
    </row>
    <row r="1250" spans="1:18" s="2" customFormat="1" ht="14.4">
      <c r="A1250" s="20">
        <f t="shared" si="74"/>
        <v>1172</v>
      </c>
      <c r="B1250" s="17" t="s">
        <v>1734</v>
      </c>
      <c r="C1250" s="17" t="s">
        <v>1735</v>
      </c>
      <c r="D1250" s="20" t="s">
        <v>5</v>
      </c>
      <c r="E1250" s="20" t="s">
        <v>6</v>
      </c>
      <c r="F1250" s="18">
        <v>1</v>
      </c>
      <c r="G1250" s="19">
        <f>248.3</f>
        <v>248.3</v>
      </c>
      <c r="H1250" s="32">
        <v>8</v>
      </c>
      <c r="I1250" s="25">
        <f t="shared" si="76"/>
        <v>1986.4</v>
      </c>
      <c r="J1250" s="40"/>
      <c r="K1250" s="39"/>
      <c r="L1250" s="39"/>
      <c r="M1250" s="39"/>
      <c r="N1250" s="23"/>
      <c r="O1250" s="39"/>
      <c r="P1250" s="39"/>
      <c r="Q1250" s="39"/>
      <c r="R1250" s="39"/>
    </row>
    <row r="1251" spans="1:18" s="2" customFormat="1" ht="14.4">
      <c r="A1251" s="20">
        <f t="shared" si="74"/>
        <v>1173</v>
      </c>
      <c r="B1251" s="17" t="s">
        <v>1736</v>
      </c>
      <c r="C1251" s="17" t="s">
        <v>1737</v>
      </c>
      <c r="D1251" s="20" t="s">
        <v>5</v>
      </c>
      <c r="E1251" s="20" t="s">
        <v>6</v>
      </c>
      <c r="F1251" s="18">
        <v>1</v>
      </c>
      <c r="G1251" s="19">
        <f>248.3</f>
        <v>248.3</v>
      </c>
      <c r="H1251" s="32">
        <v>8</v>
      </c>
      <c r="I1251" s="25">
        <f t="shared" si="76"/>
        <v>1986.4</v>
      </c>
      <c r="J1251" s="40"/>
      <c r="K1251" s="39"/>
      <c r="L1251" s="39"/>
      <c r="M1251" s="39"/>
      <c r="N1251" s="23"/>
      <c r="O1251" s="39"/>
      <c r="P1251" s="39"/>
      <c r="Q1251" s="39"/>
      <c r="R1251" s="39"/>
    </row>
    <row r="1252" spans="1:18" s="2" customFormat="1" ht="14.4">
      <c r="A1252" s="20">
        <f t="shared" si="74"/>
        <v>1174</v>
      </c>
      <c r="B1252" s="17" t="s">
        <v>1728</v>
      </c>
      <c r="C1252" s="17" t="s">
        <v>1729</v>
      </c>
      <c r="D1252" s="20" t="s">
        <v>5</v>
      </c>
      <c r="E1252" s="20" t="s">
        <v>6</v>
      </c>
      <c r="F1252" s="18">
        <v>1</v>
      </c>
      <c r="G1252" s="19">
        <f>430.99</f>
        <v>430.99</v>
      </c>
      <c r="H1252" s="32">
        <v>8</v>
      </c>
      <c r="I1252" s="25">
        <f t="shared" si="76"/>
        <v>3447.92</v>
      </c>
      <c r="J1252" s="40"/>
      <c r="K1252" s="39"/>
      <c r="L1252" s="39"/>
      <c r="M1252" s="39"/>
      <c r="N1252" s="23"/>
      <c r="O1252" s="39"/>
      <c r="P1252" s="39"/>
      <c r="Q1252" s="39"/>
      <c r="R1252" s="39"/>
    </row>
    <row r="1253" spans="1:18" s="2" customFormat="1" ht="39.6">
      <c r="A1253" s="20">
        <f t="shared" si="74"/>
        <v>1175</v>
      </c>
      <c r="B1253" s="17" t="s">
        <v>1740</v>
      </c>
      <c r="C1253" s="17" t="s">
        <v>1741</v>
      </c>
      <c r="D1253" s="20" t="s">
        <v>5</v>
      </c>
      <c r="E1253" s="20" t="s">
        <v>6</v>
      </c>
      <c r="F1253" s="18">
        <v>1</v>
      </c>
      <c r="G1253" s="19">
        <v>320</v>
      </c>
      <c r="H1253" s="32">
        <v>180</v>
      </c>
      <c r="I1253" s="25">
        <f t="shared" si="76"/>
        <v>57600</v>
      </c>
      <c r="J1253" s="40"/>
      <c r="K1253" s="39"/>
      <c r="L1253" s="39"/>
      <c r="M1253" s="39"/>
      <c r="N1253" s="23"/>
      <c r="O1253" s="39"/>
      <c r="P1253" s="39"/>
      <c r="Q1253" s="39"/>
      <c r="R1253" s="39"/>
    </row>
    <row r="1254" spans="1:18" s="2" customFormat="1" ht="14.4">
      <c r="A1254" s="20">
        <f t="shared" si="74"/>
        <v>1176</v>
      </c>
      <c r="B1254" s="17" t="s">
        <v>1742</v>
      </c>
      <c r="C1254" s="17" t="s">
        <v>1743</v>
      </c>
      <c r="D1254" s="20" t="s">
        <v>5</v>
      </c>
      <c r="E1254" s="20" t="s">
        <v>6</v>
      </c>
      <c r="F1254" s="18">
        <v>1</v>
      </c>
      <c r="G1254" s="19">
        <v>267</v>
      </c>
      <c r="H1254" s="32">
        <v>180</v>
      </c>
      <c r="I1254" s="25">
        <f t="shared" si="76"/>
        <v>48060</v>
      </c>
      <c r="J1254" s="40"/>
      <c r="K1254" s="39"/>
      <c r="L1254" s="39"/>
      <c r="M1254" s="39"/>
      <c r="N1254" s="23"/>
      <c r="O1254" s="39"/>
      <c r="P1254" s="39"/>
      <c r="Q1254" s="39"/>
      <c r="R1254" s="39"/>
    </row>
    <row r="1255" spans="1:18" s="2" customFormat="1" ht="14.4">
      <c r="A1255" s="20">
        <f t="shared" si="74"/>
        <v>1177</v>
      </c>
      <c r="B1255" s="17" t="s">
        <v>1744</v>
      </c>
      <c r="C1255" s="17" t="s">
        <v>1745</v>
      </c>
      <c r="D1255" s="20" t="s">
        <v>5</v>
      </c>
      <c r="E1255" s="20" t="s">
        <v>6</v>
      </c>
      <c r="F1255" s="18">
        <v>1</v>
      </c>
      <c r="G1255" s="19">
        <v>393.5</v>
      </c>
      <c r="H1255" s="32">
        <v>180</v>
      </c>
      <c r="I1255" s="25">
        <f t="shared" si="76"/>
        <v>70830</v>
      </c>
      <c r="J1255" s="40"/>
      <c r="K1255" s="39"/>
      <c r="L1255" s="39"/>
      <c r="M1255" s="39"/>
      <c r="N1255" s="23"/>
      <c r="O1255" s="39"/>
      <c r="P1255" s="39"/>
      <c r="Q1255" s="39"/>
      <c r="R1255" s="39"/>
    </row>
    <row r="1256" spans="1:18" s="2" customFormat="1" ht="14.4">
      <c r="A1256" s="20">
        <f t="shared" si="74"/>
        <v>1178</v>
      </c>
      <c r="B1256" s="17" t="s">
        <v>1746</v>
      </c>
      <c r="C1256" s="17" t="s">
        <v>1747</v>
      </c>
      <c r="D1256" s="20" t="s">
        <v>5</v>
      </c>
      <c r="E1256" s="20" t="s">
        <v>6</v>
      </c>
      <c r="F1256" s="18">
        <v>1</v>
      </c>
      <c r="G1256" s="19">
        <v>176.71</v>
      </c>
      <c r="H1256" s="32">
        <v>180</v>
      </c>
      <c r="I1256" s="25">
        <f t="shared" si="76"/>
        <v>31807.800000000003</v>
      </c>
      <c r="J1256" s="40"/>
      <c r="K1256" s="39"/>
      <c r="L1256" s="39"/>
      <c r="M1256" s="39"/>
      <c r="N1256" s="23"/>
      <c r="O1256" s="39"/>
      <c r="P1256" s="39"/>
      <c r="Q1256" s="39"/>
      <c r="R1256" s="39"/>
    </row>
    <row r="1257" spans="1:18" s="2" customFormat="1" ht="52.8">
      <c r="A1257" s="20">
        <f t="shared" si="74"/>
        <v>1179</v>
      </c>
      <c r="B1257" s="17" t="s">
        <v>1748</v>
      </c>
      <c r="C1257" s="17" t="s">
        <v>1749</v>
      </c>
      <c r="D1257" s="20" t="s">
        <v>5</v>
      </c>
      <c r="E1257" s="20" t="s">
        <v>6</v>
      </c>
      <c r="F1257" s="18">
        <v>1</v>
      </c>
      <c r="G1257" s="19">
        <f>1.633198857*527.97</f>
        <v>862.28000053029007</v>
      </c>
      <c r="H1257" s="32">
        <v>1</v>
      </c>
      <c r="I1257" s="25">
        <f t="shared" si="76"/>
        <v>862.28000053029007</v>
      </c>
      <c r="J1257" s="40"/>
      <c r="K1257" s="39"/>
      <c r="L1257" s="39"/>
      <c r="M1257" s="39"/>
      <c r="N1257" s="23"/>
      <c r="O1257" s="39"/>
      <c r="P1257" s="39"/>
      <c r="Q1257" s="39"/>
      <c r="R1257" s="39"/>
    </row>
    <row r="1258" spans="1:18" s="2" customFormat="1" ht="14.4">
      <c r="A1258" s="20">
        <f t="shared" si="74"/>
        <v>1180</v>
      </c>
      <c r="B1258" s="17" t="s">
        <v>1750</v>
      </c>
      <c r="C1258" s="17" t="s">
        <v>1751</v>
      </c>
      <c r="D1258" s="20" t="s">
        <v>5</v>
      </c>
      <c r="E1258" s="20" t="s">
        <v>6</v>
      </c>
      <c r="F1258" s="18">
        <v>1</v>
      </c>
      <c r="G1258" s="19">
        <f>5577.46</f>
        <v>5577.46</v>
      </c>
      <c r="H1258" s="32">
        <v>1</v>
      </c>
      <c r="I1258" s="25">
        <f t="shared" si="76"/>
        <v>5577.46</v>
      </c>
      <c r="J1258" s="40"/>
      <c r="K1258" s="39"/>
      <c r="L1258" s="39"/>
      <c r="M1258" s="39"/>
      <c r="N1258" s="23"/>
      <c r="O1258" s="39"/>
      <c r="P1258" s="39"/>
      <c r="Q1258" s="39"/>
      <c r="R1258" s="39"/>
    </row>
    <row r="1259" spans="1:18" s="2" customFormat="1" ht="14.4">
      <c r="A1259" s="20">
        <f t="shared" si="74"/>
        <v>1181</v>
      </c>
      <c r="B1259" s="17" t="s">
        <v>1752</v>
      </c>
      <c r="C1259" s="17" t="s">
        <v>1753</v>
      </c>
      <c r="D1259" s="20" t="s">
        <v>5</v>
      </c>
      <c r="E1259" s="20" t="s">
        <v>6</v>
      </c>
      <c r="F1259" s="18">
        <v>1</v>
      </c>
      <c r="G1259" s="19">
        <f>1.633198857*65.45</f>
        <v>106.89286519065</v>
      </c>
      <c r="H1259" s="32">
        <f>H1260+H1261+H1262+H1263</f>
        <v>213</v>
      </c>
      <c r="I1259" s="25">
        <f t="shared" si="76"/>
        <v>22768.180285608451</v>
      </c>
      <c r="J1259" s="40"/>
      <c r="K1259" s="39"/>
      <c r="L1259" s="39"/>
      <c r="M1259" s="39"/>
      <c r="N1259" s="23"/>
      <c r="O1259" s="39"/>
      <c r="P1259" s="39"/>
      <c r="Q1259" s="39"/>
      <c r="R1259" s="39"/>
    </row>
    <row r="1260" spans="1:18" s="2" customFormat="1" ht="14.4">
      <c r="A1260" s="20">
        <f t="shared" si="74"/>
        <v>1182</v>
      </c>
      <c r="B1260" s="17" t="s">
        <v>1754</v>
      </c>
      <c r="C1260" s="17" t="s">
        <v>1755</v>
      </c>
      <c r="D1260" s="20" t="s">
        <v>5</v>
      </c>
      <c r="E1260" s="20" t="s">
        <v>6</v>
      </c>
      <c r="F1260" s="18">
        <v>1</v>
      </c>
      <c r="G1260" s="19">
        <f>248.57</f>
        <v>248.57</v>
      </c>
      <c r="H1260" s="32">
        <v>180</v>
      </c>
      <c r="I1260" s="25">
        <f t="shared" si="76"/>
        <v>44742.6</v>
      </c>
      <c r="J1260" s="40"/>
      <c r="K1260" s="39"/>
      <c r="L1260" s="39"/>
      <c r="M1260" s="39"/>
      <c r="N1260" s="23"/>
      <c r="O1260" s="39"/>
      <c r="P1260" s="39"/>
      <c r="Q1260" s="39"/>
      <c r="R1260" s="39"/>
    </row>
    <row r="1261" spans="1:18" s="2" customFormat="1" ht="14.4">
      <c r="A1261" s="20">
        <f t="shared" si="74"/>
        <v>1183</v>
      </c>
      <c r="B1261" s="17" t="s">
        <v>1756</v>
      </c>
      <c r="C1261" s="17" t="s">
        <v>1757</v>
      </c>
      <c r="D1261" s="9" t="s">
        <v>5</v>
      </c>
      <c r="E1261" s="20" t="s">
        <v>6</v>
      </c>
      <c r="F1261" s="18">
        <v>1</v>
      </c>
      <c r="G1261" s="19">
        <v>330.17</v>
      </c>
      <c r="H1261" s="32">
        <v>20</v>
      </c>
      <c r="I1261" s="25">
        <f t="shared" si="76"/>
        <v>6603.4000000000005</v>
      </c>
      <c r="J1261" s="40"/>
      <c r="K1261" s="39"/>
      <c r="L1261" s="39"/>
      <c r="M1261" s="39"/>
      <c r="N1261" s="23"/>
      <c r="O1261" s="39"/>
      <c r="P1261" s="39"/>
      <c r="Q1261" s="39"/>
      <c r="R1261" s="39"/>
    </row>
    <row r="1262" spans="1:18" s="2" customFormat="1" ht="14.4">
      <c r="A1262" s="20">
        <f t="shared" si="74"/>
        <v>1184</v>
      </c>
      <c r="B1262" s="17" t="s">
        <v>1758</v>
      </c>
      <c r="C1262" s="17" t="s">
        <v>1759</v>
      </c>
      <c r="D1262" s="9" t="s">
        <v>5</v>
      </c>
      <c r="E1262" s="20" t="s">
        <v>6</v>
      </c>
      <c r="F1262" s="18">
        <v>1</v>
      </c>
      <c r="G1262" s="19">
        <v>370.97</v>
      </c>
      <c r="H1262" s="32">
        <v>4</v>
      </c>
      <c r="I1262" s="25">
        <f t="shared" si="76"/>
        <v>1483.88</v>
      </c>
      <c r="J1262" s="40"/>
      <c r="K1262" s="39"/>
      <c r="L1262" s="39"/>
      <c r="M1262" s="39"/>
      <c r="N1262" s="23"/>
      <c r="O1262" s="39"/>
      <c r="P1262" s="39"/>
      <c r="Q1262" s="39"/>
      <c r="R1262" s="39"/>
    </row>
    <row r="1263" spans="1:18" s="2" customFormat="1" ht="14.4">
      <c r="A1263" s="20">
        <f t="shared" si="74"/>
        <v>1185</v>
      </c>
      <c r="B1263" s="17" t="s">
        <v>1760</v>
      </c>
      <c r="C1263" s="17" t="s">
        <v>1761</v>
      </c>
      <c r="D1263" s="20" t="s">
        <v>5</v>
      </c>
      <c r="E1263" s="20" t="s">
        <v>6</v>
      </c>
      <c r="F1263" s="18">
        <v>1</v>
      </c>
      <c r="G1263" s="19">
        <v>656.57</v>
      </c>
      <c r="H1263" s="32">
        <v>9</v>
      </c>
      <c r="I1263" s="25">
        <f t="shared" si="76"/>
        <v>5909.13</v>
      </c>
      <c r="J1263" s="40"/>
      <c r="K1263" s="39"/>
      <c r="L1263" s="39"/>
      <c r="M1263" s="39"/>
      <c r="N1263" s="23"/>
      <c r="O1263" s="39"/>
      <c r="P1263" s="39"/>
      <c r="Q1263" s="39"/>
      <c r="R1263" s="39"/>
    </row>
    <row r="1264" spans="1:18" s="2" customFormat="1" ht="52.8">
      <c r="A1264" s="20">
        <f t="shared" si="74"/>
        <v>1186</v>
      </c>
      <c r="B1264" s="17" t="s">
        <v>1762</v>
      </c>
      <c r="C1264" s="17" t="s">
        <v>1763</v>
      </c>
      <c r="D1264" s="9" t="s">
        <v>25</v>
      </c>
      <c r="E1264" s="20" t="s">
        <v>26</v>
      </c>
      <c r="F1264" s="18">
        <v>1</v>
      </c>
      <c r="G1264" s="19">
        <f>1.633198857*402.98</f>
        <v>658.14647539385999</v>
      </c>
      <c r="H1264" s="32">
        <v>420</v>
      </c>
      <c r="I1264" s="25">
        <f t="shared" si="76"/>
        <v>276421.51966542122</v>
      </c>
      <c r="J1264" s="40"/>
      <c r="K1264" s="39"/>
      <c r="L1264" s="39"/>
      <c r="M1264" s="39"/>
      <c r="N1264" s="23"/>
      <c r="O1264" s="39"/>
      <c r="P1264" s="39"/>
      <c r="Q1264" s="39"/>
      <c r="R1264" s="39"/>
    </row>
    <row r="1265" spans="1:18" s="2" customFormat="1" ht="14.4">
      <c r="A1265" s="20">
        <f t="shared" si="74"/>
        <v>1187</v>
      </c>
      <c r="B1265" s="17" t="s">
        <v>1764</v>
      </c>
      <c r="C1265" s="17" t="s">
        <v>1765</v>
      </c>
      <c r="D1265" s="20" t="s">
        <v>25</v>
      </c>
      <c r="E1265" s="20" t="s">
        <v>26</v>
      </c>
      <c r="F1265" s="18">
        <v>1</v>
      </c>
      <c r="G1265" s="19">
        <f>57.3</f>
        <v>57.3</v>
      </c>
      <c r="H1265" s="32">
        <v>420</v>
      </c>
      <c r="I1265" s="25">
        <f t="shared" si="76"/>
        <v>24066</v>
      </c>
      <c r="J1265" s="40"/>
      <c r="K1265" s="39"/>
      <c r="L1265" s="39"/>
      <c r="M1265" s="39"/>
      <c r="N1265" s="23"/>
      <c r="O1265" s="39"/>
      <c r="P1265" s="39"/>
      <c r="Q1265" s="39"/>
      <c r="R1265" s="39"/>
    </row>
    <row r="1266" spans="1:18" s="2" customFormat="1" ht="14.4">
      <c r="A1266" s="20">
        <f t="shared" si="74"/>
        <v>1188</v>
      </c>
      <c r="B1266" s="17" t="s">
        <v>1766</v>
      </c>
      <c r="C1266" s="17" t="s">
        <v>1767</v>
      </c>
      <c r="D1266" s="20" t="s">
        <v>1651</v>
      </c>
      <c r="E1266" s="20" t="s">
        <v>49</v>
      </c>
      <c r="F1266" s="18">
        <v>1</v>
      </c>
      <c r="G1266" s="19">
        <f>3.837+1.983+3.854+8.048+15.15+32.74+5.63</f>
        <v>71.24199999999999</v>
      </c>
      <c r="H1266" s="32">
        <v>1</v>
      </c>
      <c r="I1266" s="25">
        <f t="shared" si="76"/>
        <v>71.24199999999999</v>
      </c>
      <c r="J1266" s="40"/>
      <c r="K1266" s="39"/>
      <c r="L1266" s="39"/>
      <c r="M1266" s="39"/>
      <c r="N1266" s="23"/>
      <c r="O1266" s="39"/>
      <c r="P1266" s="39"/>
      <c r="Q1266" s="39"/>
      <c r="R1266" s="39"/>
    </row>
    <row r="1267" spans="1:18" s="2" customFormat="1" ht="52.8">
      <c r="A1267" s="20">
        <f t="shared" si="74"/>
        <v>1189</v>
      </c>
      <c r="B1267" s="17" t="s">
        <v>1768</v>
      </c>
      <c r="C1267" s="17" t="s">
        <v>1769</v>
      </c>
      <c r="D1267" s="9" t="s">
        <v>25</v>
      </c>
      <c r="E1267" s="20" t="s">
        <v>26</v>
      </c>
      <c r="F1267" s="18">
        <v>1</v>
      </c>
      <c r="G1267" s="19">
        <f>1.633198857*310.76</f>
        <v>507.53287680132001</v>
      </c>
      <c r="H1267" s="32">
        <v>320</v>
      </c>
      <c r="I1267" s="25">
        <f t="shared" si="76"/>
        <v>162410.52057642239</v>
      </c>
      <c r="J1267" s="40"/>
      <c r="K1267" s="39"/>
      <c r="L1267" s="39"/>
      <c r="M1267" s="39"/>
      <c r="N1267" s="23"/>
      <c r="O1267" s="39"/>
      <c r="P1267" s="39"/>
      <c r="Q1267" s="39"/>
      <c r="R1267" s="39"/>
    </row>
    <row r="1268" spans="1:18" s="2" customFormat="1" ht="14.4">
      <c r="A1268" s="20">
        <f t="shared" si="74"/>
        <v>1190</v>
      </c>
      <c r="B1268" s="17" t="s">
        <v>1770</v>
      </c>
      <c r="C1268" s="17" t="s">
        <v>1771</v>
      </c>
      <c r="D1268" s="9" t="s">
        <v>25</v>
      </c>
      <c r="E1268" s="20" t="s">
        <v>26</v>
      </c>
      <c r="F1268" s="18">
        <v>1</v>
      </c>
      <c r="G1268" s="19">
        <f>87.9</f>
        <v>87.9</v>
      </c>
      <c r="H1268" s="32">
        <v>320</v>
      </c>
      <c r="I1268" s="25">
        <f t="shared" si="76"/>
        <v>28128</v>
      </c>
      <c r="J1268" s="40"/>
      <c r="K1268" s="39"/>
      <c r="L1268" s="39"/>
      <c r="M1268" s="39"/>
      <c r="N1268" s="23"/>
      <c r="O1268" s="39"/>
      <c r="P1268" s="39"/>
      <c r="Q1268" s="39"/>
      <c r="R1268" s="39"/>
    </row>
    <row r="1269" spans="1:18" s="2" customFormat="1" ht="14.4">
      <c r="A1269" s="20">
        <f t="shared" si="74"/>
        <v>1191</v>
      </c>
      <c r="B1269" s="17" t="s">
        <v>1766</v>
      </c>
      <c r="C1269" s="17" t="s">
        <v>1767</v>
      </c>
      <c r="D1269" s="9" t="s">
        <v>1651</v>
      </c>
      <c r="E1269" s="20" t="s">
        <v>49</v>
      </c>
      <c r="F1269" s="18">
        <v>1</v>
      </c>
      <c r="G1269" s="19">
        <f>4.316+2.809+6.308+8.52+6.15+15.23+38.92</f>
        <v>82.253</v>
      </c>
      <c r="H1269" s="32">
        <v>1</v>
      </c>
      <c r="I1269" s="25">
        <f t="shared" si="76"/>
        <v>82.253</v>
      </c>
      <c r="J1269" s="40"/>
      <c r="K1269" s="39"/>
      <c r="L1269" s="39"/>
      <c r="M1269" s="39"/>
      <c r="N1269" s="23"/>
      <c r="O1269" s="39"/>
      <c r="P1269" s="39"/>
      <c r="Q1269" s="39"/>
      <c r="R1269" s="39"/>
    </row>
    <row r="1270" spans="1:18" s="2" customFormat="1" ht="52.8">
      <c r="A1270" s="20">
        <f t="shared" si="74"/>
        <v>1192</v>
      </c>
      <c r="B1270" s="17" t="s">
        <v>1772</v>
      </c>
      <c r="C1270" s="17" t="s">
        <v>1773</v>
      </c>
      <c r="D1270" s="9" t="s">
        <v>25</v>
      </c>
      <c r="E1270" s="20" t="s">
        <v>26</v>
      </c>
      <c r="F1270" s="18">
        <v>1</v>
      </c>
      <c r="G1270" s="19">
        <f>1.633198857*255.1</f>
        <v>416.62902842069997</v>
      </c>
      <c r="H1270" s="32">
        <v>25</v>
      </c>
      <c r="I1270" s="25">
        <f t="shared" si="76"/>
        <v>10415.725710517499</v>
      </c>
      <c r="J1270" s="40"/>
      <c r="K1270" s="39"/>
      <c r="L1270" s="39"/>
      <c r="M1270" s="39"/>
      <c r="N1270" s="23"/>
      <c r="O1270" s="39"/>
      <c r="P1270" s="39"/>
      <c r="Q1270" s="39"/>
      <c r="R1270" s="39"/>
    </row>
    <row r="1271" spans="1:18" s="2" customFormat="1" ht="14.4">
      <c r="A1271" s="20">
        <f t="shared" si="74"/>
        <v>1193</v>
      </c>
      <c r="B1271" s="17" t="s">
        <v>1774</v>
      </c>
      <c r="C1271" s="17" t="s">
        <v>1775</v>
      </c>
      <c r="D1271" s="9" t="s">
        <v>25</v>
      </c>
      <c r="E1271" s="20" t="s">
        <v>26</v>
      </c>
      <c r="F1271" s="18">
        <v>1</v>
      </c>
      <c r="G1271" s="19">
        <f>150.12</f>
        <v>150.12</v>
      </c>
      <c r="H1271" s="32">
        <v>25</v>
      </c>
      <c r="I1271" s="25">
        <f t="shared" si="76"/>
        <v>3753</v>
      </c>
      <c r="J1271" s="40"/>
      <c r="K1271" s="39"/>
      <c r="L1271" s="39"/>
      <c r="M1271" s="39"/>
      <c r="N1271" s="23"/>
      <c r="O1271" s="39"/>
      <c r="P1271" s="39"/>
      <c r="Q1271" s="39"/>
      <c r="R1271" s="39"/>
    </row>
    <row r="1272" spans="1:18" s="2" customFormat="1" ht="14.4">
      <c r="A1272" s="20">
        <f t="shared" si="74"/>
        <v>1194</v>
      </c>
      <c r="B1272" s="17" t="s">
        <v>1766</v>
      </c>
      <c r="C1272" s="17" t="s">
        <v>1767</v>
      </c>
      <c r="D1272" s="9" t="s">
        <v>1651</v>
      </c>
      <c r="E1272" s="20" t="s">
        <v>49</v>
      </c>
      <c r="F1272" s="18">
        <v>1</v>
      </c>
      <c r="G1272" s="19">
        <f>4.559+3.736+10.752+13.661+80.9+22.19+57.63</f>
        <v>193.428</v>
      </c>
      <c r="H1272" s="32">
        <v>1</v>
      </c>
      <c r="I1272" s="25">
        <f t="shared" si="76"/>
        <v>193.428</v>
      </c>
      <c r="J1272" s="40"/>
      <c r="K1272" s="39"/>
      <c r="L1272" s="39"/>
      <c r="M1272" s="39"/>
      <c r="N1272" s="23"/>
      <c r="O1272" s="39"/>
      <c r="P1272" s="39"/>
      <c r="Q1272" s="39"/>
      <c r="R1272" s="39"/>
    </row>
    <row r="1273" spans="1:18" s="2" customFormat="1" ht="52.8">
      <c r="A1273" s="20">
        <f t="shared" si="74"/>
        <v>1195</v>
      </c>
      <c r="B1273" s="17" t="s">
        <v>1776</v>
      </c>
      <c r="C1273" s="17" t="s">
        <v>1777</v>
      </c>
      <c r="D1273" s="9" t="s">
        <v>25</v>
      </c>
      <c r="E1273" s="20" t="s">
        <v>26</v>
      </c>
      <c r="F1273" s="18">
        <v>1</v>
      </c>
      <c r="G1273" s="19">
        <f>1.633198857*320.96</f>
        <v>524.19150514271996</v>
      </c>
      <c r="H1273" s="32">
        <v>110</v>
      </c>
      <c r="I1273" s="25">
        <f t="shared" si="76"/>
        <v>57661.065565699195</v>
      </c>
      <c r="J1273" s="40"/>
      <c r="K1273" s="39"/>
      <c r="L1273" s="39"/>
      <c r="M1273" s="39"/>
      <c r="N1273" s="23"/>
      <c r="O1273" s="39"/>
      <c r="P1273" s="39"/>
      <c r="Q1273" s="39"/>
      <c r="R1273" s="39"/>
    </row>
    <row r="1274" spans="1:18" s="2" customFormat="1" ht="26.4">
      <c r="A1274" s="20">
        <f t="shared" si="74"/>
        <v>1196</v>
      </c>
      <c r="B1274" s="17" t="s">
        <v>1778</v>
      </c>
      <c r="C1274" s="17" t="s">
        <v>1779</v>
      </c>
      <c r="D1274" s="20" t="s">
        <v>25</v>
      </c>
      <c r="E1274" s="20" t="s">
        <v>26</v>
      </c>
      <c r="F1274" s="18">
        <v>1</v>
      </c>
      <c r="G1274" s="19">
        <f>303.12</f>
        <v>303.12</v>
      </c>
      <c r="H1274" s="32">
        <v>110</v>
      </c>
      <c r="I1274" s="25">
        <f t="shared" si="76"/>
        <v>33343.199999999997</v>
      </c>
      <c r="J1274" s="40"/>
      <c r="K1274" s="39"/>
      <c r="L1274" s="39"/>
      <c r="M1274" s="39"/>
      <c r="N1274" s="23"/>
      <c r="O1274" s="39"/>
      <c r="P1274" s="39"/>
      <c r="Q1274" s="39"/>
      <c r="R1274" s="39"/>
    </row>
    <row r="1275" spans="1:18" s="2" customFormat="1" ht="14.4">
      <c r="A1275" s="20">
        <f t="shared" si="74"/>
        <v>1197</v>
      </c>
      <c r="B1275" s="17" t="s">
        <v>1780</v>
      </c>
      <c r="C1275" s="17" t="s">
        <v>1781</v>
      </c>
      <c r="D1275" s="20" t="s">
        <v>1651</v>
      </c>
      <c r="E1275" s="20" t="s">
        <v>49</v>
      </c>
      <c r="F1275" s="18">
        <v>1</v>
      </c>
      <c r="G1275" s="19">
        <v>39</v>
      </c>
      <c r="H1275" s="32">
        <v>110</v>
      </c>
      <c r="I1275" s="25">
        <f t="shared" si="76"/>
        <v>4290</v>
      </c>
      <c r="J1275" s="40"/>
      <c r="K1275" s="39"/>
      <c r="L1275" s="39"/>
      <c r="M1275" s="39"/>
      <c r="N1275" s="23"/>
      <c r="O1275" s="39"/>
      <c r="P1275" s="39"/>
      <c r="Q1275" s="39"/>
      <c r="R1275" s="39"/>
    </row>
    <row r="1276" spans="1:18" s="2" customFormat="1" ht="14.4">
      <c r="A1276" s="20">
        <f t="shared" si="74"/>
        <v>1198</v>
      </c>
      <c r="B1276" s="17" t="s">
        <v>1782</v>
      </c>
      <c r="C1276" s="17" t="s">
        <v>1783</v>
      </c>
      <c r="D1276" s="20" t="s">
        <v>1651</v>
      </c>
      <c r="E1276" s="20" t="s">
        <v>49</v>
      </c>
      <c r="F1276" s="18">
        <v>1</v>
      </c>
      <c r="G1276" s="19">
        <f>13.2+8.06+2.92+2.97+11.22+34.9+133.69</f>
        <v>206.95999999999998</v>
      </c>
      <c r="H1276" s="32">
        <v>1</v>
      </c>
      <c r="I1276" s="25">
        <f t="shared" si="76"/>
        <v>206.95999999999998</v>
      </c>
      <c r="J1276" s="40"/>
      <c r="K1276" s="39"/>
      <c r="L1276" s="39"/>
      <c r="M1276" s="39"/>
      <c r="N1276" s="23"/>
      <c r="O1276" s="39"/>
      <c r="P1276" s="39"/>
      <c r="Q1276" s="39"/>
      <c r="R1276" s="39"/>
    </row>
    <row r="1277" spans="1:18" s="2" customFormat="1" ht="52.8">
      <c r="A1277" s="20">
        <f t="shared" si="74"/>
        <v>1199</v>
      </c>
      <c r="B1277" s="17" t="s">
        <v>1784</v>
      </c>
      <c r="C1277" s="17" t="s">
        <v>1785</v>
      </c>
      <c r="D1277" s="9" t="s">
        <v>25</v>
      </c>
      <c r="E1277" s="20" t="s">
        <v>26</v>
      </c>
      <c r="F1277" s="18">
        <v>1</v>
      </c>
      <c r="G1277" s="19">
        <f>1.633198857*402.98</f>
        <v>658.14647539385999</v>
      </c>
      <c r="H1277" s="32">
        <v>60</v>
      </c>
      <c r="I1277" s="25">
        <f t="shared" si="76"/>
        <v>39488.7885236316</v>
      </c>
      <c r="J1277" s="40"/>
      <c r="K1277" s="39"/>
      <c r="L1277" s="39"/>
      <c r="M1277" s="39"/>
      <c r="N1277" s="23"/>
      <c r="O1277" s="39"/>
      <c r="P1277" s="39"/>
      <c r="Q1277" s="39"/>
      <c r="R1277" s="39"/>
    </row>
    <row r="1278" spans="1:18" s="2" customFormat="1" ht="26.4">
      <c r="A1278" s="20">
        <f t="shared" si="74"/>
        <v>1200</v>
      </c>
      <c r="B1278" s="17" t="s">
        <v>1786</v>
      </c>
      <c r="C1278" s="17" t="s">
        <v>1787</v>
      </c>
      <c r="D1278" s="20" t="s">
        <v>25</v>
      </c>
      <c r="E1278" s="20" t="s">
        <v>26</v>
      </c>
      <c r="F1278" s="18">
        <v>1</v>
      </c>
      <c r="G1278" s="19">
        <f>77.7</f>
        <v>77.7</v>
      </c>
      <c r="H1278" s="32">
        <v>60</v>
      </c>
      <c r="I1278" s="25">
        <f t="shared" si="76"/>
        <v>4662</v>
      </c>
      <c r="J1278" s="40"/>
      <c r="K1278" s="39"/>
      <c r="L1278" s="39"/>
      <c r="M1278" s="39"/>
      <c r="N1278" s="23"/>
      <c r="O1278" s="39"/>
      <c r="P1278" s="39"/>
      <c r="Q1278" s="39"/>
      <c r="R1278" s="39"/>
    </row>
    <row r="1279" spans="1:18" s="2" customFormat="1" ht="14.4">
      <c r="A1279" s="20">
        <f t="shared" si="74"/>
        <v>1201</v>
      </c>
      <c r="B1279" s="17" t="s">
        <v>1788</v>
      </c>
      <c r="C1279" s="17" t="s">
        <v>1789</v>
      </c>
      <c r="D1279" s="20" t="s">
        <v>1651</v>
      </c>
      <c r="E1279" s="20" t="s">
        <v>49</v>
      </c>
      <c r="F1279" s="18">
        <v>1</v>
      </c>
      <c r="G1279" s="19">
        <v>10.9</v>
      </c>
      <c r="H1279" s="32">
        <v>60</v>
      </c>
      <c r="I1279" s="25">
        <f t="shared" si="76"/>
        <v>654</v>
      </c>
      <c r="J1279" s="40"/>
      <c r="K1279" s="39"/>
      <c r="L1279" s="39"/>
      <c r="M1279" s="39"/>
      <c r="N1279" s="23"/>
      <c r="O1279" s="39"/>
      <c r="P1279" s="39"/>
      <c r="Q1279" s="39"/>
      <c r="R1279" s="39"/>
    </row>
    <row r="1280" spans="1:18" s="2" customFormat="1" ht="14.4">
      <c r="A1280" s="20">
        <f t="shared" si="74"/>
        <v>1202</v>
      </c>
      <c r="B1280" s="17" t="s">
        <v>1782</v>
      </c>
      <c r="C1280" s="17" t="s">
        <v>1783</v>
      </c>
      <c r="D1280" s="20" t="s">
        <v>1651</v>
      </c>
      <c r="E1280" s="20" t="s">
        <v>49</v>
      </c>
      <c r="F1280" s="18">
        <v>1</v>
      </c>
      <c r="G1280" s="19">
        <f>4.08+1.98+4.87+8.05+6.65+15.15+32.74</f>
        <v>73.52000000000001</v>
      </c>
      <c r="H1280" s="32">
        <v>1</v>
      </c>
      <c r="I1280" s="25">
        <f t="shared" si="76"/>
        <v>73.52000000000001</v>
      </c>
      <c r="J1280" s="40"/>
      <c r="K1280" s="39"/>
      <c r="L1280" s="39"/>
      <c r="M1280" s="39"/>
      <c r="N1280" s="23"/>
      <c r="O1280" s="39"/>
      <c r="P1280" s="39"/>
      <c r="Q1280" s="39"/>
      <c r="R1280" s="39"/>
    </row>
    <row r="1281" spans="1:18" s="2" customFormat="1" ht="52.8">
      <c r="A1281" s="20">
        <f t="shared" si="74"/>
        <v>1203</v>
      </c>
      <c r="B1281" s="17" t="s">
        <v>1790</v>
      </c>
      <c r="C1281" s="17" t="s">
        <v>1791</v>
      </c>
      <c r="D1281" s="9" t="s">
        <v>25</v>
      </c>
      <c r="E1281" s="20" t="s">
        <v>26</v>
      </c>
      <c r="F1281" s="18">
        <v>1</v>
      </c>
      <c r="G1281" s="19">
        <f>1.633198857*310.76</f>
        <v>507.53287680132001</v>
      </c>
      <c r="H1281" s="32">
        <v>75</v>
      </c>
      <c r="I1281" s="25">
        <f t="shared" si="76"/>
        <v>38064.965760099003</v>
      </c>
      <c r="J1281" s="40"/>
      <c r="K1281" s="39"/>
      <c r="L1281" s="39"/>
      <c r="M1281" s="39"/>
      <c r="N1281" s="23"/>
      <c r="O1281" s="39"/>
      <c r="P1281" s="39"/>
      <c r="Q1281" s="39"/>
      <c r="R1281" s="39"/>
    </row>
    <row r="1282" spans="1:18" s="2" customFormat="1" ht="26.4">
      <c r="A1282" s="20">
        <f t="shared" si="74"/>
        <v>1204</v>
      </c>
      <c r="B1282" s="17" t="s">
        <v>1792</v>
      </c>
      <c r="C1282" s="17" t="s">
        <v>1793</v>
      </c>
      <c r="D1282" s="20" t="s">
        <v>25</v>
      </c>
      <c r="E1282" s="20" t="s">
        <v>26</v>
      </c>
      <c r="F1282" s="18">
        <v>1</v>
      </c>
      <c r="G1282" s="19">
        <f>118.5</f>
        <v>118.5</v>
      </c>
      <c r="H1282" s="32">
        <v>75</v>
      </c>
      <c r="I1282" s="25">
        <f t="shared" si="76"/>
        <v>8887.5</v>
      </c>
      <c r="J1282" s="40"/>
      <c r="K1282" s="39"/>
      <c r="L1282" s="39"/>
      <c r="M1282" s="39"/>
      <c r="N1282" s="23"/>
      <c r="O1282" s="39"/>
      <c r="P1282" s="39"/>
      <c r="Q1282" s="39"/>
      <c r="R1282" s="39"/>
    </row>
    <row r="1283" spans="1:18" s="2" customFormat="1" ht="14.4">
      <c r="A1283" s="20">
        <f t="shared" si="74"/>
        <v>1205</v>
      </c>
      <c r="B1283" s="17" t="s">
        <v>1794</v>
      </c>
      <c r="C1283" s="17" t="s">
        <v>1795</v>
      </c>
      <c r="D1283" s="20" t="s">
        <v>1651</v>
      </c>
      <c r="E1283" s="20" t="s">
        <v>49</v>
      </c>
      <c r="F1283" s="18">
        <v>1</v>
      </c>
      <c r="G1283" s="19">
        <v>24</v>
      </c>
      <c r="H1283" s="32">
        <v>75</v>
      </c>
      <c r="I1283" s="25">
        <f t="shared" si="76"/>
        <v>1800</v>
      </c>
      <c r="J1283" s="40"/>
      <c r="K1283" s="39"/>
      <c r="L1283" s="39"/>
      <c r="M1283" s="39"/>
      <c r="N1283" s="23"/>
      <c r="O1283" s="39"/>
      <c r="P1283" s="39"/>
      <c r="Q1283" s="39"/>
      <c r="R1283" s="39"/>
    </row>
    <row r="1284" spans="1:18" s="2" customFormat="1" ht="14.4">
      <c r="A1284" s="20">
        <f t="shared" si="74"/>
        <v>1206</v>
      </c>
      <c r="B1284" s="17" t="s">
        <v>1782</v>
      </c>
      <c r="C1284" s="17" t="s">
        <v>1783</v>
      </c>
      <c r="D1284" s="20" t="s">
        <v>1651</v>
      </c>
      <c r="E1284" s="20" t="s">
        <v>49</v>
      </c>
      <c r="F1284" s="18">
        <v>1</v>
      </c>
      <c r="G1284" s="19">
        <f>4.31+2.81+6.31+8.52+6.15+15.23+38.92</f>
        <v>82.25</v>
      </c>
      <c r="H1284" s="32">
        <v>1</v>
      </c>
      <c r="I1284" s="25">
        <f t="shared" si="76"/>
        <v>82.25</v>
      </c>
      <c r="J1284" s="40"/>
      <c r="K1284" s="39"/>
      <c r="L1284" s="39"/>
      <c r="M1284" s="39"/>
      <c r="N1284" s="23"/>
      <c r="O1284" s="39"/>
      <c r="P1284" s="39"/>
      <c r="Q1284" s="39"/>
      <c r="R1284" s="39"/>
    </row>
    <row r="1285" spans="1:18" s="2" customFormat="1" ht="52.8">
      <c r="A1285" s="20">
        <f t="shared" si="74"/>
        <v>1207</v>
      </c>
      <c r="B1285" s="17" t="s">
        <v>1796</v>
      </c>
      <c r="C1285" s="17" t="s">
        <v>1797</v>
      </c>
      <c r="D1285" s="9" t="s">
        <v>25</v>
      </c>
      <c r="E1285" s="20" t="s">
        <v>26</v>
      </c>
      <c r="F1285" s="18">
        <v>1</v>
      </c>
      <c r="G1285" s="19">
        <f>1.633198857*255.1</f>
        <v>416.62902842069997</v>
      </c>
      <c r="H1285" s="32">
        <v>160</v>
      </c>
      <c r="I1285" s="25">
        <f t="shared" si="76"/>
        <v>66660.644547311997</v>
      </c>
      <c r="J1285" s="40"/>
      <c r="K1285" s="39"/>
      <c r="L1285" s="39"/>
      <c r="M1285" s="39"/>
      <c r="N1285" s="23"/>
      <c r="O1285" s="39"/>
      <c r="P1285" s="39"/>
      <c r="Q1285" s="39"/>
      <c r="R1285" s="39"/>
    </row>
    <row r="1286" spans="1:18" s="2" customFormat="1" ht="26.4">
      <c r="A1286" s="20">
        <f t="shared" si="74"/>
        <v>1208</v>
      </c>
      <c r="B1286" s="17" t="s">
        <v>1798</v>
      </c>
      <c r="C1286" s="17" t="s">
        <v>1799</v>
      </c>
      <c r="D1286" s="20" t="s">
        <v>25</v>
      </c>
      <c r="E1286" s="20" t="s">
        <v>26</v>
      </c>
      <c r="F1286" s="18">
        <v>1</v>
      </c>
      <c r="G1286" s="19">
        <f>150.12</f>
        <v>150.12</v>
      </c>
      <c r="H1286" s="32">
        <v>160</v>
      </c>
      <c r="I1286" s="25">
        <f t="shared" si="76"/>
        <v>24019.200000000001</v>
      </c>
      <c r="J1286" s="40"/>
      <c r="K1286" s="39"/>
      <c r="L1286" s="39"/>
      <c r="M1286" s="39"/>
      <c r="N1286" s="23"/>
      <c r="O1286" s="39"/>
      <c r="P1286" s="39"/>
      <c r="Q1286" s="39"/>
      <c r="R1286" s="39"/>
    </row>
    <row r="1287" spans="1:18" s="2" customFormat="1" ht="14.4">
      <c r="A1287" s="20">
        <f t="shared" si="74"/>
        <v>1209</v>
      </c>
      <c r="B1287" s="17" t="s">
        <v>1800</v>
      </c>
      <c r="C1287" s="17" t="s">
        <v>1801</v>
      </c>
      <c r="D1287" s="20" t="s">
        <v>1651</v>
      </c>
      <c r="E1287" s="20" t="s">
        <v>49</v>
      </c>
      <c r="F1287" s="18">
        <v>1</v>
      </c>
      <c r="G1287" s="19">
        <v>29.34</v>
      </c>
      <c r="H1287" s="32">
        <v>160</v>
      </c>
      <c r="I1287" s="25">
        <f t="shared" si="76"/>
        <v>4694.3999999999996</v>
      </c>
      <c r="J1287" s="40"/>
      <c r="K1287" s="39"/>
      <c r="L1287" s="39"/>
      <c r="M1287" s="39"/>
      <c r="N1287" s="23"/>
      <c r="O1287" s="39"/>
      <c r="P1287" s="39"/>
      <c r="Q1287" s="39"/>
      <c r="R1287" s="39"/>
    </row>
    <row r="1288" spans="1:18" s="2" customFormat="1" ht="14.4">
      <c r="A1288" s="20">
        <f t="shared" si="74"/>
        <v>1210</v>
      </c>
      <c r="B1288" s="17" t="s">
        <v>1782</v>
      </c>
      <c r="C1288" s="17" t="s">
        <v>1783</v>
      </c>
      <c r="D1288" s="20" t="s">
        <v>1651</v>
      </c>
      <c r="E1288" s="20" t="s">
        <v>49</v>
      </c>
      <c r="F1288" s="18">
        <v>1</v>
      </c>
      <c r="G1288" s="19">
        <f>4.56+3.74+10.75+13.6+8.09+22.19+57.63</f>
        <v>120.56</v>
      </c>
      <c r="H1288" s="32">
        <v>1</v>
      </c>
      <c r="I1288" s="25">
        <f t="shared" si="76"/>
        <v>120.56</v>
      </c>
      <c r="J1288" s="40"/>
      <c r="K1288" s="39"/>
      <c r="L1288" s="39"/>
      <c r="M1288" s="39"/>
      <c r="N1288" s="23"/>
      <c r="O1288" s="39"/>
      <c r="P1288" s="39"/>
      <c r="Q1288" s="39"/>
      <c r="R1288" s="39"/>
    </row>
    <row r="1289" spans="1:18" s="2" customFormat="1" ht="52.8">
      <c r="A1289" s="20">
        <f t="shared" si="74"/>
        <v>1211</v>
      </c>
      <c r="B1289" s="17" t="s">
        <v>1802</v>
      </c>
      <c r="C1289" s="17" t="s">
        <v>1803</v>
      </c>
      <c r="D1289" s="9" t="s">
        <v>25</v>
      </c>
      <c r="E1289" s="20" t="s">
        <v>26</v>
      </c>
      <c r="F1289" s="18">
        <v>1</v>
      </c>
      <c r="G1289" s="19">
        <f>1.633198857*320.95</f>
        <v>524.17517315415</v>
      </c>
      <c r="H1289" s="32">
        <v>125</v>
      </c>
      <c r="I1289" s="25">
        <f t="shared" si="76"/>
        <v>65521.896644268752</v>
      </c>
      <c r="J1289" s="40"/>
      <c r="K1289" s="39"/>
      <c r="L1289" s="39"/>
      <c r="M1289" s="39"/>
      <c r="N1289" s="23"/>
      <c r="O1289" s="39"/>
      <c r="P1289" s="39"/>
      <c r="Q1289" s="39"/>
      <c r="R1289" s="39"/>
    </row>
    <row r="1290" spans="1:18" s="2" customFormat="1" ht="26.4">
      <c r="A1290" s="20">
        <f t="shared" si="74"/>
        <v>1212</v>
      </c>
      <c r="B1290" s="17" t="s">
        <v>1804</v>
      </c>
      <c r="C1290" s="17" t="s">
        <v>1805</v>
      </c>
      <c r="D1290" s="20" t="s">
        <v>25</v>
      </c>
      <c r="E1290" s="20" t="s">
        <v>26</v>
      </c>
      <c r="F1290" s="18">
        <v>1</v>
      </c>
      <c r="G1290" s="19">
        <f>303.13</f>
        <v>303.13</v>
      </c>
      <c r="H1290" s="32">
        <v>125</v>
      </c>
      <c r="I1290" s="25">
        <f t="shared" si="76"/>
        <v>37891.25</v>
      </c>
      <c r="J1290" s="40"/>
      <c r="K1290" s="39"/>
      <c r="L1290" s="39"/>
      <c r="M1290" s="39"/>
      <c r="N1290" s="23"/>
      <c r="O1290" s="39"/>
      <c r="P1290" s="39"/>
      <c r="Q1290" s="39"/>
      <c r="R1290" s="39"/>
    </row>
    <row r="1291" spans="1:18" s="2" customFormat="1" ht="14.4">
      <c r="A1291" s="20">
        <f t="shared" si="74"/>
        <v>1213</v>
      </c>
      <c r="B1291" s="17" t="s">
        <v>1806</v>
      </c>
      <c r="C1291" s="17" t="s">
        <v>1807</v>
      </c>
      <c r="D1291" s="20" t="s">
        <v>1651</v>
      </c>
      <c r="E1291" s="20" t="s">
        <v>49</v>
      </c>
      <c r="F1291" s="18">
        <v>1</v>
      </c>
      <c r="G1291" s="19">
        <v>35</v>
      </c>
      <c r="H1291" s="32">
        <v>125</v>
      </c>
      <c r="I1291" s="25">
        <f t="shared" ref="I1291:I1354" si="77">G1291*H1291</f>
        <v>4375</v>
      </c>
      <c r="J1291" s="40"/>
      <c r="K1291" s="39"/>
      <c r="L1291" s="39"/>
      <c r="M1291" s="39"/>
      <c r="N1291" s="23"/>
      <c r="O1291" s="39"/>
      <c r="P1291" s="39"/>
      <c r="Q1291" s="39"/>
      <c r="R1291" s="39"/>
    </row>
    <row r="1292" spans="1:18" s="2" customFormat="1" ht="14.4">
      <c r="A1292" s="20">
        <f t="shared" si="74"/>
        <v>1214</v>
      </c>
      <c r="B1292" s="17" t="s">
        <v>1782</v>
      </c>
      <c r="C1292" s="17" t="s">
        <v>1808</v>
      </c>
      <c r="D1292" s="20" t="s">
        <v>1651</v>
      </c>
      <c r="E1292" s="20" t="s">
        <v>49</v>
      </c>
      <c r="F1292" s="18">
        <v>1</v>
      </c>
      <c r="G1292" s="19">
        <f>13.2+8.06+29.24+29.67+11.22+34.9+133.69</f>
        <v>259.98</v>
      </c>
      <c r="H1292" s="32">
        <v>1</v>
      </c>
      <c r="I1292" s="25">
        <f t="shared" si="77"/>
        <v>259.98</v>
      </c>
      <c r="J1292" s="40"/>
      <c r="K1292" s="39"/>
      <c r="L1292" s="39"/>
      <c r="M1292" s="39"/>
      <c r="N1292" s="23"/>
      <c r="O1292" s="39"/>
      <c r="P1292" s="39"/>
      <c r="Q1292" s="39"/>
      <c r="R1292" s="39"/>
    </row>
    <row r="1293" spans="1:18" s="2" customFormat="1" ht="26.4">
      <c r="A1293" s="20">
        <f t="shared" si="74"/>
        <v>1215</v>
      </c>
      <c r="B1293" s="17" t="s">
        <v>1159</v>
      </c>
      <c r="C1293" s="17" t="s">
        <v>1809</v>
      </c>
      <c r="D1293" s="9" t="s">
        <v>25</v>
      </c>
      <c r="E1293" s="20" t="s">
        <v>26</v>
      </c>
      <c r="F1293" s="18">
        <v>1</v>
      </c>
      <c r="G1293" s="19">
        <f>1.633198857*92.12</f>
        <v>150.45027870684001</v>
      </c>
      <c r="H1293" s="32">
        <f>H1294+H1295+H1296</f>
        <v>765</v>
      </c>
      <c r="I1293" s="25">
        <f t="shared" si="77"/>
        <v>115094.4632107326</v>
      </c>
      <c r="J1293" s="40"/>
      <c r="K1293" s="39"/>
      <c r="L1293" s="39"/>
      <c r="M1293" s="39"/>
      <c r="N1293" s="23"/>
      <c r="O1293" s="39"/>
      <c r="P1293" s="39"/>
      <c r="Q1293" s="39"/>
      <c r="R1293" s="39"/>
    </row>
    <row r="1294" spans="1:18" s="2" customFormat="1" ht="26.4">
      <c r="A1294" s="20">
        <f t="shared" si="74"/>
        <v>1216</v>
      </c>
      <c r="B1294" s="17" t="s">
        <v>1810</v>
      </c>
      <c r="C1294" s="17" t="s">
        <v>1811</v>
      </c>
      <c r="D1294" s="20" t="s">
        <v>25</v>
      </c>
      <c r="E1294" s="20" t="s">
        <v>26</v>
      </c>
      <c r="F1294" s="18">
        <v>1</v>
      </c>
      <c r="G1294" s="19">
        <f>20.17</f>
        <v>20.170000000000002</v>
      </c>
      <c r="H1294" s="32">
        <v>420</v>
      </c>
      <c r="I1294" s="25">
        <f t="shared" si="77"/>
        <v>8471.4000000000015</v>
      </c>
      <c r="J1294" s="40"/>
      <c r="K1294" s="39"/>
      <c r="L1294" s="39"/>
      <c r="M1294" s="39"/>
      <c r="N1294" s="23"/>
      <c r="O1294" s="39"/>
      <c r="P1294" s="39"/>
      <c r="Q1294" s="39"/>
      <c r="R1294" s="39"/>
    </row>
    <row r="1295" spans="1:18" s="2" customFormat="1" ht="26.4">
      <c r="A1295" s="20">
        <f t="shared" si="74"/>
        <v>1217</v>
      </c>
      <c r="B1295" s="17" t="s">
        <v>1812</v>
      </c>
      <c r="C1295" s="17" t="s">
        <v>1813</v>
      </c>
      <c r="D1295" s="20" t="s">
        <v>25</v>
      </c>
      <c r="E1295" s="20" t="s">
        <v>26</v>
      </c>
      <c r="F1295" s="18">
        <v>1</v>
      </c>
      <c r="G1295" s="19">
        <f>40.17</f>
        <v>40.17</v>
      </c>
      <c r="H1295" s="32">
        <v>320</v>
      </c>
      <c r="I1295" s="25">
        <f t="shared" si="77"/>
        <v>12854.400000000001</v>
      </c>
      <c r="J1295" s="40"/>
      <c r="K1295" s="39"/>
      <c r="L1295" s="39"/>
      <c r="M1295" s="39"/>
      <c r="N1295" s="23"/>
      <c r="O1295" s="39"/>
      <c r="P1295" s="39"/>
      <c r="Q1295" s="39"/>
      <c r="R1295" s="39"/>
    </row>
    <row r="1296" spans="1:18" s="2" customFormat="1" ht="26.4">
      <c r="A1296" s="20">
        <f t="shared" si="74"/>
        <v>1218</v>
      </c>
      <c r="B1296" s="17" t="s">
        <v>1814</v>
      </c>
      <c r="C1296" s="17" t="s">
        <v>1815</v>
      </c>
      <c r="D1296" s="20" t="s">
        <v>25</v>
      </c>
      <c r="E1296" s="20" t="s">
        <v>26</v>
      </c>
      <c r="F1296" s="18">
        <v>1</v>
      </c>
      <c r="G1296" s="19">
        <f>52.41</f>
        <v>52.41</v>
      </c>
      <c r="H1296" s="32">
        <v>25</v>
      </c>
      <c r="I1296" s="25">
        <f t="shared" si="77"/>
        <v>1310.25</v>
      </c>
      <c r="J1296" s="40"/>
      <c r="K1296" s="39"/>
      <c r="L1296" s="39"/>
      <c r="M1296" s="39"/>
      <c r="N1296" s="23"/>
      <c r="O1296" s="39"/>
      <c r="P1296" s="39"/>
      <c r="Q1296" s="39"/>
      <c r="R1296" s="39"/>
    </row>
    <row r="1297" spans="1:18" s="2" customFormat="1" ht="14.4">
      <c r="A1297" s="20">
        <f t="shared" si="74"/>
        <v>1219</v>
      </c>
      <c r="B1297" s="17" t="s">
        <v>1816</v>
      </c>
      <c r="C1297" s="17" t="s">
        <v>1817</v>
      </c>
      <c r="D1297" s="20" t="s">
        <v>25</v>
      </c>
      <c r="E1297" s="20" t="s">
        <v>26</v>
      </c>
      <c r="F1297" s="18">
        <v>1</v>
      </c>
      <c r="G1297" s="19">
        <f>27.1</f>
        <v>27.1</v>
      </c>
      <c r="H1297" s="32">
        <v>125</v>
      </c>
      <c r="I1297" s="25">
        <f t="shared" si="77"/>
        <v>3387.5</v>
      </c>
      <c r="J1297" s="40"/>
      <c r="K1297" s="39"/>
      <c r="L1297" s="39"/>
      <c r="M1297" s="39"/>
      <c r="N1297" s="23"/>
      <c r="O1297" s="39"/>
      <c r="P1297" s="39"/>
      <c r="Q1297" s="39"/>
      <c r="R1297" s="39"/>
    </row>
    <row r="1298" spans="1:18" s="2" customFormat="1" ht="26.4">
      <c r="A1298" s="20">
        <f t="shared" si="74"/>
        <v>1220</v>
      </c>
      <c r="B1298" s="17" t="s">
        <v>1159</v>
      </c>
      <c r="C1298" s="17" t="s">
        <v>1809</v>
      </c>
      <c r="D1298" s="9" t="s">
        <v>25</v>
      </c>
      <c r="E1298" s="20" t="s">
        <v>26</v>
      </c>
      <c r="F1298" s="18">
        <v>1</v>
      </c>
      <c r="G1298" s="19">
        <f>1.633198857*92.12</f>
        <v>150.45027870684001</v>
      </c>
      <c r="H1298" s="32">
        <f>H1299+H1300+H1301+H1302+H1303</f>
        <v>530</v>
      </c>
      <c r="I1298" s="25">
        <f t="shared" si="77"/>
        <v>79738.6477146252</v>
      </c>
      <c r="J1298" s="40"/>
      <c r="K1298" s="39"/>
      <c r="L1298" s="39"/>
      <c r="M1298" s="39"/>
      <c r="N1298" s="23"/>
      <c r="O1298" s="39"/>
      <c r="P1298" s="39"/>
      <c r="Q1298" s="39"/>
      <c r="R1298" s="39"/>
    </row>
    <row r="1299" spans="1:18" s="2" customFormat="1" ht="26.4">
      <c r="A1299" s="20">
        <f t="shared" si="74"/>
        <v>1221</v>
      </c>
      <c r="B1299" s="17" t="s">
        <v>1818</v>
      </c>
      <c r="C1299" s="17" t="s">
        <v>1819</v>
      </c>
      <c r="D1299" s="20" t="s">
        <v>25</v>
      </c>
      <c r="E1299" s="20" t="s">
        <v>26</v>
      </c>
      <c r="F1299" s="18">
        <v>1</v>
      </c>
      <c r="G1299" s="19">
        <f>32.01</f>
        <v>32.01</v>
      </c>
      <c r="H1299" s="32">
        <v>60</v>
      </c>
      <c r="I1299" s="25">
        <f t="shared" si="77"/>
        <v>1920.6</v>
      </c>
      <c r="J1299" s="40"/>
      <c r="K1299" s="39"/>
      <c r="L1299" s="39"/>
      <c r="M1299" s="39"/>
      <c r="N1299" s="23"/>
      <c r="O1299" s="39"/>
      <c r="P1299" s="39"/>
      <c r="Q1299" s="39"/>
      <c r="R1299" s="39"/>
    </row>
    <row r="1300" spans="1:18" s="2" customFormat="1" ht="26.4">
      <c r="A1300" s="20">
        <f t="shared" si="74"/>
        <v>1222</v>
      </c>
      <c r="B1300" s="17" t="s">
        <v>1812</v>
      </c>
      <c r="C1300" s="17" t="s">
        <v>1813</v>
      </c>
      <c r="D1300" s="20" t="s">
        <v>25</v>
      </c>
      <c r="E1300" s="20" t="s">
        <v>26</v>
      </c>
      <c r="F1300" s="18">
        <v>1</v>
      </c>
      <c r="G1300" s="19">
        <f>40.17</f>
        <v>40.17</v>
      </c>
      <c r="H1300" s="32">
        <v>75</v>
      </c>
      <c r="I1300" s="25">
        <f t="shared" si="77"/>
        <v>3012.75</v>
      </c>
      <c r="J1300" s="40"/>
      <c r="K1300" s="39"/>
      <c r="L1300" s="39"/>
      <c r="M1300" s="39"/>
      <c r="N1300" s="23"/>
      <c r="O1300" s="39"/>
      <c r="P1300" s="39"/>
      <c r="Q1300" s="39"/>
      <c r="R1300" s="39"/>
    </row>
    <row r="1301" spans="1:18" s="2" customFormat="1" ht="26.4">
      <c r="A1301" s="20">
        <f t="shared" si="74"/>
        <v>1223</v>
      </c>
      <c r="B1301" s="17" t="s">
        <v>1814</v>
      </c>
      <c r="C1301" s="17" t="s">
        <v>1815</v>
      </c>
      <c r="D1301" s="20" t="s">
        <v>25</v>
      </c>
      <c r="E1301" s="20" t="s">
        <v>26</v>
      </c>
      <c r="F1301" s="18">
        <v>1</v>
      </c>
      <c r="G1301" s="19">
        <f>52.41</f>
        <v>52.41</v>
      </c>
      <c r="H1301" s="32">
        <v>160</v>
      </c>
      <c r="I1301" s="25">
        <f t="shared" si="77"/>
        <v>8385.5999999999985</v>
      </c>
      <c r="J1301" s="40"/>
      <c r="K1301" s="39"/>
      <c r="L1301" s="39"/>
      <c r="M1301" s="39"/>
      <c r="N1301" s="23"/>
      <c r="O1301" s="39"/>
      <c r="P1301" s="39"/>
      <c r="Q1301" s="39"/>
      <c r="R1301" s="39"/>
    </row>
    <row r="1302" spans="1:18" s="2" customFormat="1" ht="26.4">
      <c r="A1302" s="20">
        <f t="shared" si="74"/>
        <v>1224</v>
      </c>
      <c r="B1302" s="17" t="s">
        <v>1820</v>
      </c>
      <c r="C1302" s="17" t="s">
        <v>1821</v>
      </c>
      <c r="D1302" s="20" t="s">
        <v>25</v>
      </c>
      <c r="E1302" s="20" t="s">
        <v>26</v>
      </c>
      <c r="F1302" s="18">
        <v>1</v>
      </c>
      <c r="G1302" s="19">
        <f>64.37</f>
        <v>64.37</v>
      </c>
      <c r="H1302" s="32">
        <v>125</v>
      </c>
      <c r="I1302" s="25">
        <f t="shared" si="77"/>
        <v>8046.2500000000009</v>
      </c>
      <c r="J1302" s="40"/>
      <c r="K1302" s="39"/>
      <c r="L1302" s="39"/>
      <c r="M1302" s="39"/>
      <c r="N1302" s="23"/>
      <c r="O1302" s="39"/>
      <c r="P1302" s="39"/>
      <c r="Q1302" s="39"/>
      <c r="R1302" s="39"/>
    </row>
    <row r="1303" spans="1:18" s="2" customFormat="1" ht="26.4">
      <c r="A1303" s="20">
        <f t="shared" si="74"/>
        <v>1225</v>
      </c>
      <c r="B1303" s="17" t="s">
        <v>1822</v>
      </c>
      <c r="C1303" s="17" t="s">
        <v>1823</v>
      </c>
      <c r="D1303" s="20" t="s">
        <v>25</v>
      </c>
      <c r="E1303" s="20" t="s">
        <v>26</v>
      </c>
      <c r="F1303" s="18">
        <v>1</v>
      </c>
      <c r="G1303" s="19">
        <f>83.15</f>
        <v>83.15</v>
      </c>
      <c r="H1303" s="32">
        <v>110</v>
      </c>
      <c r="I1303" s="25">
        <f t="shared" si="77"/>
        <v>9146.5</v>
      </c>
      <c r="J1303" s="40"/>
      <c r="K1303" s="39"/>
      <c r="L1303" s="39"/>
      <c r="M1303" s="39"/>
      <c r="N1303" s="23"/>
      <c r="O1303" s="39"/>
      <c r="P1303" s="39"/>
      <c r="Q1303" s="39"/>
      <c r="R1303" s="39"/>
    </row>
    <row r="1304" spans="1:18" s="2" customFormat="1" ht="39.6">
      <c r="A1304" s="20">
        <f t="shared" si="74"/>
        <v>1226</v>
      </c>
      <c r="B1304" s="17" t="s">
        <v>1824</v>
      </c>
      <c r="C1304" s="17" t="s">
        <v>1825</v>
      </c>
      <c r="D1304" s="9" t="s">
        <v>25</v>
      </c>
      <c r="E1304" s="20" t="s">
        <v>26</v>
      </c>
      <c r="F1304" s="18">
        <v>1</v>
      </c>
      <c r="G1304" s="19">
        <f>1.633198857*365.86</f>
        <v>597.52213382202001</v>
      </c>
      <c r="H1304" s="32">
        <v>12</v>
      </c>
      <c r="I1304" s="25">
        <f t="shared" si="77"/>
        <v>7170.2656058642406</v>
      </c>
      <c r="J1304" s="40"/>
      <c r="K1304" s="39"/>
      <c r="L1304" s="39"/>
      <c r="M1304" s="39"/>
      <c r="N1304" s="23"/>
      <c r="O1304" s="39"/>
      <c r="P1304" s="39"/>
      <c r="Q1304" s="39"/>
      <c r="R1304" s="39"/>
    </row>
    <row r="1305" spans="1:18" s="2" customFormat="1" ht="26.4">
      <c r="A1305" s="20">
        <f t="shared" si="74"/>
        <v>1227</v>
      </c>
      <c r="B1305" s="17" t="s">
        <v>1826</v>
      </c>
      <c r="C1305" s="17" t="s">
        <v>1827</v>
      </c>
      <c r="D1305" s="20" t="s">
        <v>25</v>
      </c>
      <c r="E1305" s="20" t="s">
        <v>26</v>
      </c>
      <c r="F1305" s="18">
        <v>1</v>
      </c>
      <c r="G1305" s="19">
        <f>98.34</f>
        <v>98.34</v>
      </c>
      <c r="H1305" s="32">
        <v>12</v>
      </c>
      <c r="I1305" s="25">
        <f t="shared" si="77"/>
        <v>1180.08</v>
      </c>
      <c r="J1305" s="40"/>
      <c r="K1305" s="39"/>
      <c r="L1305" s="39"/>
      <c r="M1305" s="39"/>
      <c r="N1305" s="23"/>
      <c r="O1305" s="39"/>
      <c r="P1305" s="39"/>
      <c r="Q1305" s="39"/>
      <c r="R1305" s="39"/>
    </row>
    <row r="1306" spans="1:18" s="2" customFormat="1" ht="14.4">
      <c r="A1306" s="20">
        <f t="shared" si="74"/>
        <v>1228</v>
      </c>
      <c r="B1306" s="17" t="s">
        <v>1828</v>
      </c>
      <c r="C1306" s="17" t="s">
        <v>1829</v>
      </c>
      <c r="D1306" s="9" t="s">
        <v>1830</v>
      </c>
      <c r="E1306" s="20" t="s">
        <v>1831</v>
      </c>
      <c r="F1306" s="18">
        <v>1</v>
      </c>
      <c r="G1306" s="19">
        <f>388.59</f>
        <v>388.59</v>
      </c>
      <c r="H1306" s="32">
        <v>2</v>
      </c>
      <c r="I1306" s="25">
        <f t="shared" si="77"/>
        <v>777.18</v>
      </c>
      <c r="J1306" s="40"/>
      <c r="K1306" s="39"/>
      <c r="L1306" s="39"/>
      <c r="M1306" s="39"/>
      <c r="N1306" s="23"/>
      <c r="O1306" s="39"/>
      <c r="P1306" s="39"/>
      <c r="Q1306" s="39"/>
      <c r="R1306" s="39"/>
    </row>
    <row r="1307" spans="1:18" s="2" customFormat="1" ht="14.4">
      <c r="A1307" s="20">
        <f t="shared" si="74"/>
        <v>1229</v>
      </c>
      <c r="B1307" s="17" t="s">
        <v>1832</v>
      </c>
      <c r="C1307" s="17" t="s">
        <v>1833</v>
      </c>
      <c r="D1307" s="20" t="s">
        <v>5</v>
      </c>
      <c r="E1307" s="20" t="s">
        <v>6</v>
      </c>
      <c r="F1307" s="18">
        <v>1</v>
      </c>
      <c r="G1307" s="19">
        <v>92.75</v>
      </c>
      <c r="H1307" s="32">
        <v>2</v>
      </c>
      <c r="I1307" s="25">
        <f t="shared" si="77"/>
        <v>185.5</v>
      </c>
      <c r="J1307" s="40"/>
      <c r="K1307" s="39"/>
      <c r="L1307" s="39"/>
      <c r="M1307" s="39"/>
      <c r="N1307" s="23"/>
      <c r="O1307" s="39"/>
      <c r="P1307" s="39"/>
      <c r="Q1307" s="39"/>
      <c r="R1307" s="39"/>
    </row>
    <row r="1308" spans="1:18" s="2" customFormat="1" ht="14.4">
      <c r="A1308" s="20">
        <f t="shared" si="74"/>
        <v>1230</v>
      </c>
      <c r="B1308" s="17" t="s">
        <v>1834</v>
      </c>
      <c r="C1308" s="17" t="s">
        <v>1835</v>
      </c>
      <c r="D1308" s="20" t="s">
        <v>44</v>
      </c>
      <c r="E1308" s="20" t="s">
        <v>45</v>
      </c>
      <c r="F1308" s="18">
        <v>1</v>
      </c>
      <c r="G1308" s="19">
        <f>87.54</f>
        <v>87.54</v>
      </c>
      <c r="H1308" s="32">
        <v>710</v>
      </c>
      <c r="I1308" s="25">
        <f t="shared" si="77"/>
        <v>62153.4</v>
      </c>
      <c r="J1308" s="40"/>
      <c r="K1308" s="39"/>
      <c r="L1308" s="39"/>
      <c r="M1308" s="39"/>
      <c r="N1308" s="23"/>
      <c r="O1308" s="39"/>
      <c r="P1308" s="39"/>
      <c r="Q1308" s="39"/>
      <c r="R1308" s="39"/>
    </row>
    <row r="1309" spans="1:18" s="2" customFormat="1" ht="26.4">
      <c r="A1309" s="20">
        <f t="shared" si="74"/>
        <v>1231</v>
      </c>
      <c r="B1309" s="17" t="s">
        <v>1836</v>
      </c>
      <c r="C1309" s="17" t="s">
        <v>1837</v>
      </c>
      <c r="D1309" s="20" t="s">
        <v>8</v>
      </c>
      <c r="E1309" s="20" t="s">
        <v>9</v>
      </c>
      <c r="F1309" s="18">
        <v>1</v>
      </c>
      <c r="G1309" s="19">
        <f>1.633198857*20.86</f>
        <v>34.068528157019998</v>
      </c>
      <c r="H1309" s="32">
        <v>27.2</v>
      </c>
      <c r="I1309" s="25">
        <f t="shared" si="77"/>
        <v>926.66396587094391</v>
      </c>
      <c r="J1309" s="40"/>
      <c r="K1309" s="39"/>
      <c r="L1309" s="39"/>
      <c r="M1309" s="39"/>
      <c r="N1309" s="23"/>
      <c r="O1309" s="39"/>
      <c r="P1309" s="39"/>
      <c r="Q1309" s="39"/>
      <c r="R1309" s="39"/>
    </row>
    <row r="1310" spans="1:18" s="2" customFormat="1" ht="26.4">
      <c r="A1310" s="20">
        <f t="shared" si="74"/>
        <v>1232</v>
      </c>
      <c r="B1310" s="17" t="s">
        <v>1838</v>
      </c>
      <c r="C1310" s="17" t="s">
        <v>1839</v>
      </c>
      <c r="D1310" s="20" t="s">
        <v>8</v>
      </c>
      <c r="E1310" s="20" t="s">
        <v>9</v>
      </c>
      <c r="F1310" s="18">
        <v>1</v>
      </c>
      <c r="G1310" s="19">
        <f>1.633198857*65.11</f>
        <v>106.33757757927</v>
      </c>
      <c r="H1310" s="32">
        <v>27.2</v>
      </c>
      <c r="I1310" s="25">
        <f t="shared" si="77"/>
        <v>2892.3821101561439</v>
      </c>
      <c r="J1310" s="40"/>
      <c r="K1310" s="39"/>
      <c r="L1310" s="39"/>
      <c r="M1310" s="39"/>
      <c r="N1310" s="23"/>
      <c r="O1310" s="39"/>
      <c r="P1310" s="39"/>
      <c r="Q1310" s="39"/>
      <c r="R1310" s="39"/>
    </row>
    <row r="1311" spans="1:18" s="2" customFormat="1" ht="14.4">
      <c r="A1311" s="20">
        <f t="shared" si="74"/>
        <v>1233</v>
      </c>
      <c r="B1311" s="17" t="s">
        <v>1840</v>
      </c>
      <c r="C1311" s="17" t="s">
        <v>1841</v>
      </c>
      <c r="D1311" s="9" t="s">
        <v>25</v>
      </c>
      <c r="E1311" s="20" t="s">
        <v>26</v>
      </c>
      <c r="F1311" s="18">
        <v>1</v>
      </c>
      <c r="G1311" s="19">
        <f>1.633198857*420.12</f>
        <v>686.13950380283995</v>
      </c>
      <c r="H1311" s="32">
        <v>60</v>
      </c>
      <c r="I1311" s="25">
        <f t="shared" si="77"/>
        <v>41168.370228170395</v>
      </c>
      <c r="J1311" s="40"/>
      <c r="K1311" s="39"/>
      <c r="L1311" s="39"/>
      <c r="M1311" s="39"/>
      <c r="N1311" s="23"/>
      <c r="O1311" s="39"/>
      <c r="P1311" s="39"/>
      <c r="Q1311" s="39"/>
      <c r="R1311" s="39"/>
    </row>
    <row r="1312" spans="1:18" s="2" customFormat="1" ht="14.4">
      <c r="A1312" s="20">
        <f t="shared" si="74"/>
        <v>1234</v>
      </c>
      <c r="B1312" s="17" t="s">
        <v>1842</v>
      </c>
      <c r="C1312" s="17" t="s">
        <v>1843</v>
      </c>
      <c r="D1312" s="20" t="s">
        <v>25</v>
      </c>
      <c r="E1312" s="20" t="s">
        <v>26</v>
      </c>
      <c r="F1312" s="18">
        <v>1</v>
      </c>
      <c r="G1312" s="19">
        <f>42.17</f>
        <v>42.17</v>
      </c>
      <c r="H1312" s="32">
        <v>60</v>
      </c>
      <c r="I1312" s="25">
        <f t="shared" si="77"/>
        <v>2530.2000000000003</v>
      </c>
      <c r="J1312" s="40"/>
      <c r="K1312" s="39"/>
      <c r="L1312" s="39"/>
      <c r="M1312" s="39"/>
      <c r="N1312" s="23"/>
      <c r="O1312" s="39"/>
      <c r="P1312" s="39"/>
      <c r="Q1312" s="39"/>
      <c r="R1312" s="39"/>
    </row>
    <row r="1313" spans="1:18" s="2" customFormat="1" ht="26.4">
      <c r="A1313" s="20">
        <f t="shared" si="74"/>
        <v>1235</v>
      </c>
      <c r="B1313" s="17" t="s">
        <v>1844</v>
      </c>
      <c r="C1313" s="17" t="s">
        <v>1845</v>
      </c>
      <c r="D1313" s="20" t="s">
        <v>1651</v>
      </c>
      <c r="E1313" s="20" t="s">
        <v>49</v>
      </c>
      <c r="F1313" s="18">
        <v>1</v>
      </c>
      <c r="G1313" s="19">
        <f>32.74</f>
        <v>32.74</v>
      </c>
      <c r="H1313" s="32">
        <v>1</v>
      </c>
      <c r="I1313" s="25">
        <f t="shared" si="77"/>
        <v>32.74</v>
      </c>
      <c r="J1313" s="40"/>
      <c r="K1313" s="39"/>
      <c r="L1313" s="39"/>
      <c r="M1313" s="39"/>
      <c r="N1313" s="23"/>
      <c r="O1313" s="39"/>
      <c r="P1313" s="39"/>
      <c r="Q1313" s="39"/>
      <c r="R1313" s="39"/>
    </row>
    <row r="1314" spans="1:18" s="2" customFormat="1" ht="14.4">
      <c r="A1314" s="20">
        <f t="shared" si="74"/>
        <v>1236</v>
      </c>
      <c r="B1314" s="17" t="s">
        <v>1846</v>
      </c>
      <c r="C1314" s="17" t="s">
        <v>1847</v>
      </c>
      <c r="D1314" s="20" t="s">
        <v>1651</v>
      </c>
      <c r="E1314" s="20" t="s">
        <v>49</v>
      </c>
      <c r="F1314" s="18">
        <v>1</v>
      </c>
      <c r="G1314" s="19">
        <f>4.08+1.98+4.87+8.04+5.63+15.15</f>
        <v>39.75</v>
      </c>
      <c r="H1314" s="32">
        <v>1</v>
      </c>
      <c r="I1314" s="25">
        <f t="shared" si="77"/>
        <v>39.75</v>
      </c>
      <c r="J1314" s="40"/>
      <c r="K1314" s="39"/>
      <c r="L1314" s="39"/>
      <c r="M1314" s="39"/>
      <c r="N1314" s="23"/>
      <c r="O1314" s="39"/>
      <c r="P1314" s="39"/>
      <c r="Q1314" s="39"/>
      <c r="R1314" s="39"/>
    </row>
    <row r="1315" spans="1:18" s="2" customFormat="1" ht="26.4">
      <c r="A1315" s="20">
        <f t="shared" si="74"/>
        <v>1237</v>
      </c>
      <c r="B1315" s="17" t="s">
        <v>1848</v>
      </c>
      <c r="C1315" s="17" t="s">
        <v>1849</v>
      </c>
      <c r="D1315" s="20" t="s">
        <v>1651</v>
      </c>
      <c r="E1315" s="20" t="s">
        <v>49</v>
      </c>
      <c r="F1315" s="18">
        <v>1</v>
      </c>
      <c r="G1315" s="19">
        <f>32.74</f>
        <v>32.74</v>
      </c>
      <c r="H1315" s="32">
        <v>1</v>
      </c>
      <c r="I1315" s="25">
        <f t="shared" si="77"/>
        <v>32.74</v>
      </c>
      <c r="J1315" s="40"/>
      <c r="K1315" s="39"/>
      <c r="L1315" s="39"/>
      <c r="M1315" s="39"/>
      <c r="N1315" s="23"/>
      <c r="O1315" s="39"/>
      <c r="P1315" s="39"/>
      <c r="Q1315" s="39"/>
      <c r="R1315" s="39"/>
    </row>
    <row r="1316" spans="1:18" s="2" customFormat="1" ht="14.4">
      <c r="A1316" s="20">
        <f>A1315+1</f>
        <v>1238</v>
      </c>
      <c r="B1316" s="17" t="s">
        <v>218</v>
      </c>
      <c r="C1316" s="17" t="s">
        <v>219</v>
      </c>
      <c r="D1316" s="20" t="s">
        <v>48</v>
      </c>
      <c r="E1316" s="20" t="s">
        <v>49</v>
      </c>
      <c r="F1316" s="18">
        <v>1</v>
      </c>
      <c r="G1316" s="19"/>
      <c r="H1316" s="32">
        <v>1</v>
      </c>
      <c r="I1316" s="25">
        <f>SUM(I1223:I1315)*0.05</f>
        <v>110210.65509451873</v>
      </c>
      <c r="J1316" s="40"/>
      <c r="K1316" s="39"/>
      <c r="L1316" s="39"/>
      <c r="M1316" s="39"/>
      <c r="N1316" s="23"/>
      <c r="O1316" s="39"/>
      <c r="P1316" s="39"/>
      <c r="Q1316" s="39"/>
      <c r="R1316" s="39"/>
    </row>
    <row r="1317" spans="1:18" ht="26.4">
      <c r="A1317" s="9" t="s">
        <v>61</v>
      </c>
      <c r="B1317" s="13" t="s">
        <v>1850</v>
      </c>
      <c r="C1317" s="13" t="s">
        <v>1851</v>
      </c>
      <c r="D1317" s="14"/>
      <c r="E1317" s="14"/>
      <c r="F1317" s="18"/>
      <c r="G1317" s="19"/>
      <c r="H1317" s="15"/>
      <c r="I1317" s="25"/>
      <c r="J1317" s="24"/>
      <c r="K1317" s="22"/>
      <c r="L1317" s="22"/>
      <c r="M1317" s="22"/>
      <c r="N1317" s="23"/>
      <c r="O1317" s="22"/>
      <c r="P1317" s="22"/>
      <c r="Q1317" s="22"/>
      <c r="R1317" s="22"/>
    </row>
    <row r="1318" spans="1:18" s="2" customFormat="1" ht="26.4">
      <c r="A1318" s="20">
        <f>A1315+1</f>
        <v>1238</v>
      </c>
      <c r="B1318" s="17" t="s">
        <v>70</v>
      </c>
      <c r="C1318" s="17" t="s">
        <v>1852</v>
      </c>
      <c r="D1318" s="20" t="s">
        <v>1651</v>
      </c>
      <c r="E1318" s="20" t="s">
        <v>49</v>
      </c>
      <c r="F1318" s="18">
        <v>1</v>
      </c>
      <c r="G1318" s="19">
        <f>1.633198857*463.8</f>
        <v>757.47762987660008</v>
      </c>
      <c r="H1318" s="32">
        <v>40</v>
      </c>
      <c r="I1318" s="25">
        <f t="shared" si="77"/>
        <v>30299.105195064003</v>
      </c>
      <c r="J1318" s="40"/>
      <c r="K1318" s="39"/>
      <c r="L1318" s="39"/>
      <c r="M1318" s="39"/>
      <c r="N1318" s="23"/>
      <c r="O1318" s="39"/>
      <c r="P1318" s="39"/>
      <c r="Q1318" s="39"/>
      <c r="R1318" s="39"/>
    </row>
    <row r="1319" spans="1:18" s="2" customFormat="1" ht="26.4">
      <c r="A1319" s="20">
        <f>A1318+1</f>
        <v>1239</v>
      </c>
      <c r="B1319" s="17" t="s">
        <v>1853</v>
      </c>
      <c r="C1319" s="17" t="s">
        <v>1854</v>
      </c>
      <c r="D1319" s="20" t="s">
        <v>1651</v>
      </c>
      <c r="E1319" s="20" t="s">
        <v>49</v>
      </c>
      <c r="F1319" s="18">
        <v>1</v>
      </c>
      <c r="G1319" s="19">
        <f>3505.58</f>
        <v>3505.58</v>
      </c>
      <c r="H1319" s="32">
        <v>40</v>
      </c>
      <c r="I1319" s="25">
        <f t="shared" si="77"/>
        <v>140223.20000000001</v>
      </c>
      <c r="J1319" s="40"/>
      <c r="K1319" s="39"/>
      <c r="L1319" s="39"/>
      <c r="M1319" s="39"/>
      <c r="N1319" s="23"/>
      <c r="O1319" s="39"/>
      <c r="P1319" s="39"/>
      <c r="Q1319" s="39"/>
      <c r="R1319" s="39"/>
    </row>
    <row r="1320" spans="1:18" s="2" customFormat="1" ht="14.4">
      <c r="A1320" s="20">
        <f t="shared" ref="A1320:A1349" si="78">A1319+1</f>
        <v>1240</v>
      </c>
      <c r="B1320" s="17" t="s">
        <v>1855</v>
      </c>
      <c r="C1320" s="17" t="s">
        <v>1856</v>
      </c>
      <c r="D1320" s="20" t="s">
        <v>1857</v>
      </c>
      <c r="E1320" s="20" t="s">
        <v>1858</v>
      </c>
      <c r="F1320" s="18">
        <v>1</v>
      </c>
      <c r="G1320" s="19">
        <f>1588.88</f>
        <v>1588.88</v>
      </c>
      <c r="H1320" s="32">
        <v>40</v>
      </c>
      <c r="I1320" s="25">
        <f t="shared" si="77"/>
        <v>63555.200000000004</v>
      </c>
      <c r="J1320" s="40"/>
      <c r="K1320" s="39"/>
      <c r="L1320" s="39"/>
      <c r="M1320" s="39"/>
      <c r="N1320" s="23"/>
      <c r="O1320" s="39"/>
      <c r="P1320" s="39"/>
      <c r="Q1320" s="39"/>
      <c r="R1320" s="39"/>
    </row>
    <row r="1321" spans="1:18" s="2" customFormat="1" ht="26.4">
      <c r="A1321" s="20">
        <f t="shared" si="78"/>
        <v>1241</v>
      </c>
      <c r="B1321" s="17" t="s">
        <v>1859</v>
      </c>
      <c r="C1321" s="17" t="s">
        <v>1860</v>
      </c>
      <c r="D1321" s="20" t="s">
        <v>5</v>
      </c>
      <c r="E1321" s="20" t="s">
        <v>6</v>
      </c>
      <c r="F1321" s="18">
        <v>1</v>
      </c>
      <c r="G1321" s="19">
        <v>5663.94</v>
      </c>
      <c r="H1321" s="32">
        <v>1</v>
      </c>
      <c r="I1321" s="25">
        <f t="shared" si="77"/>
        <v>5663.94</v>
      </c>
      <c r="J1321" s="40"/>
      <c r="K1321" s="39"/>
      <c r="L1321" s="39"/>
      <c r="M1321" s="39"/>
      <c r="N1321" s="23"/>
      <c r="O1321" s="39"/>
      <c r="P1321" s="39"/>
      <c r="Q1321" s="39"/>
      <c r="R1321" s="39"/>
    </row>
    <row r="1322" spans="1:18" s="2" customFormat="1" ht="26.4">
      <c r="A1322" s="20">
        <f t="shared" si="78"/>
        <v>1242</v>
      </c>
      <c r="B1322" s="17" t="s">
        <v>1861</v>
      </c>
      <c r="C1322" s="17" t="s">
        <v>1862</v>
      </c>
      <c r="D1322" s="20" t="s">
        <v>1857</v>
      </c>
      <c r="E1322" s="20" t="s">
        <v>1858</v>
      </c>
      <c r="F1322" s="18">
        <v>1</v>
      </c>
      <c r="G1322" s="19">
        <f>2574.7</f>
        <v>2574.6999999999998</v>
      </c>
      <c r="H1322" s="32">
        <v>1</v>
      </c>
      <c r="I1322" s="25">
        <f t="shared" si="77"/>
        <v>2574.6999999999998</v>
      </c>
      <c r="J1322" s="40"/>
      <c r="K1322" s="39"/>
      <c r="L1322" s="39"/>
      <c r="M1322" s="39"/>
      <c r="N1322" s="23"/>
      <c r="O1322" s="39"/>
      <c r="P1322" s="39"/>
      <c r="Q1322" s="39"/>
      <c r="R1322" s="39"/>
    </row>
    <row r="1323" spans="1:18" s="2" customFormat="1" ht="39.6">
      <c r="A1323" s="20">
        <f t="shared" si="78"/>
        <v>1243</v>
      </c>
      <c r="B1323" s="17" t="s">
        <v>1863</v>
      </c>
      <c r="C1323" s="17" t="s">
        <v>692</v>
      </c>
      <c r="D1323" s="20" t="s">
        <v>1651</v>
      </c>
      <c r="E1323" s="20" t="s">
        <v>49</v>
      </c>
      <c r="F1323" s="18">
        <v>1</v>
      </c>
      <c r="G1323" s="19">
        <f>1.633198857*629.33</f>
        <v>1027.8210366758101</v>
      </c>
      <c r="H1323" s="32">
        <v>40</v>
      </c>
      <c r="I1323" s="25">
        <f t="shared" si="77"/>
        <v>41112.841467032405</v>
      </c>
      <c r="J1323" s="40"/>
      <c r="K1323" s="39"/>
      <c r="L1323" s="39"/>
      <c r="M1323" s="39"/>
      <c r="N1323" s="23"/>
      <c r="O1323" s="39"/>
      <c r="P1323" s="39"/>
      <c r="Q1323" s="39"/>
      <c r="R1323" s="39"/>
    </row>
    <row r="1324" spans="1:18" s="2" customFormat="1" ht="14.4">
      <c r="A1324" s="20">
        <f t="shared" si="78"/>
        <v>1244</v>
      </c>
      <c r="B1324" s="17" t="s">
        <v>1864</v>
      </c>
      <c r="C1324" s="17" t="s">
        <v>1865</v>
      </c>
      <c r="D1324" s="20" t="s">
        <v>5</v>
      </c>
      <c r="E1324" s="20" t="s">
        <v>6</v>
      </c>
      <c r="F1324" s="18">
        <v>1</v>
      </c>
      <c r="G1324" s="19">
        <f>2450.21</f>
        <v>2450.21</v>
      </c>
      <c r="H1324" s="32">
        <v>3</v>
      </c>
      <c r="I1324" s="25">
        <f t="shared" si="77"/>
        <v>7350.63</v>
      </c>
      <c r="J1324" s="40"/>
      <c r="K1324" s="39"/>
      <c r="L1324" s="39"/>
      <c r="M1324" s="39"/>
      <c r="N1324" s="23"/>
      <c r="O1324" s="39"/>
      <c r="P1324" s="39"/>
      <c r="Q1324" s="39"/>
      <c r="R1324" s="39"/>
    </row>
    <row r="1325" spans="1:18" s="2" customFormat="1" ht="14.4">
      <c r="A1325" s="20">
        <f t="shared" si="78"/>
        <v>1245</v>
      </c>
      <c r="B1325" s="17" t="s">
        <v>1866</v>
      </c>
      <c r="C1325" s="17" t="s">
        <v>1867</v>
      </c>
      <c r="D1325" s="20" t="s">
        <v>5</v>
      </c>
      <c r="E1325" s="20" t="s">
        <v>6</v>
      </c>
      <c r="F1325" s="18">
        <v>1</v>
      </c>
      <c r="G1325" s="19">
        <f>2858.21</f>
        <v>2858.21</v>
      </c>
      <c r="H1325" s="32">
        <v>1</v>
      </c>
      <c r="I1325" s="25">
        <f t="shared" si="77"/>
        <v>2858.21</v>
      </c>
      <c r="J1325" s="40"/>
      <c r="K1325" s="39"/>
      <c r="L1325" s="39"/>
      <c r="M1325" s="39"/>
      <c r="N1325" s="23"/>
      <c r="O1325" s="39"/>
      <c r="P1325" s="39"/>
      <c r="Q1325" s="39"/>
      <c r="R1325" s="39"/>
    </row>
    <row r="1326" spans="1:18" s="2" customFormat="1" ht="14.4">
      <c r="A1326" s="20">
        <f t="shared" si="78"/>
        <v>1246</v>
      </c>
      <c r="B1326" s="17" t="s">
        <v>476</v>
      </c>
      <c r="C1326" s="17" t="s">
        <v>477</v>
      </c>
      <c r="D1326" s="20" t="s">
        <v>5</v>
      </c>
      <c r="E1326" s="20" t="s">
        <v>6</v>
      </c>
      <c r="F1326" s="18">
        <v>1</v>
      </c>
      <c r="G1326" s="19">
        <f>250.5</f>
        <v>250.5</v>
      </c>
      <c r="H1326" s="32">
        <v>8</v>
      </c>
      <c r="I1326" s="25">
        <f t="shared" si="77"/>
        <v>2004</v>
      </c>
      <c r="J1326" s="40"/>
      <c r="K1326" s="39"/>
      <c r="L1326" s="39"/>
      <c r="M1326" s="39"/>
      <c r="N1326" s="23"/>
      <c r="O1326" s="39"/>
      <c r="P1326" s="39"/>
      <c r="Q1326" s="39"/>
      <c r="R1326" s="39"/>
    </row>
    <row r="1327" spans="1:18" s="2" customFormat="1" ht="26.4">
      <c r="A1327" s="20">
        <f t="shared" si="78"/>
        <v>1247</v>
      </c>
      <c r="B1327" s="17" t="s">
        <v>71</v>
      </c>
      <c r="C1327" s="17" t="s">
        <v>1868</v>
      </c>
      <c r="D1327" s="20" t="s">
        <v>1651</v>
      </c>
      <c r="E1327" s="20" t="s">
        <v>49</v>
      </c>
      <c r="F1327" s="18">
        <v>1</v>
      </c>
      <c r="G1327" s="19">
        <f>1.633198857*625.44</f>
        <v>1021.4678931220801</v>
      </c>
      <c r="H1327" s="32">
        <v>30</v>
      </c>
      <c r="I1327" s="25">
        <f t="shared" si="77"/>
        <v>30644.036793662402</v>
      </c>
      <c r="J1327" s="40"/>
      <c r="K1327" s="39"/>
      <c r="L1327" s="39"/>
      <c r="M1327" s="39"/>
      <c r="N1327" s="23"/>
      <c r="O1327" s="39"/>
      <c r="P1327" s="39"/>
      <c r="Q1327" s="39"/>
      <c r="R1327" s="39"/>
    </row>
    <row r="1328" spans="1:18" s="2" customFormat="1" ht="14.4">
      <c r="A1328" s="20">
        <f t="shared" si="78"/>
        <v>1248</v>
      </c>
      <c r="B1328" s="17" t="s">
        <v>1869</v>
      </c>
      <c r="C1328" s="17" t="s">
        <v>1870</v>
      </c>
      <c r="D1328" s="20" t="s">
        <v>5</v>
      </c>
      <c r="E1328" s="20" t="s">
        <v>6</v>
      </c>
      <c r="F1328" s="18">
        <v>1</v>
      </c>
      <c r="G1328" s="19">
        <f>3690.44</f>
        <v>3690.44</v>
      </c>
      <c r="H1328" s="32">
        <v>28</v>
      </c>
      <c r="I1328" s="25">
        <f t="shared" si="77"/>
        <v>103332.32</v>
      </c>
      <c r="J1328" s="40"/>
      <c r="K1328" s="39"/>
      <c r="L1328" s="39"/>
      <c r="M1328" s="39"/>
      <c r="N1328" s="23"/>
      <c r="O1328" s="39"/>
      <c r="P1328" s="39"/>
      <c r="Q1328" s="39"/>
      <c r="R1328" s="39"/>
    </row>
    <row r="1329" spans="1:18" s="2" customFormat="1" ht="26.4">
      <c r="A1329" s="20">
        <f t="shared" si="78"/>
        <v>1249</v>
      </c>
      <c r="B1329" s="17" t="s">
        <v>1871</v>
      </c>
      <c r="C1329" s="17" t="s">
        <v>1872</v>
      </c>
      <c r="D1329" s="20" t="s">
        <v>5</v>
      </c>
      <c r="E1329" s="20" t="s">
        <v>6</v>
      </c>
      <c r="F1329" s="18">
        <v>1</v>
      </c>
      <c r="G1329" s="19">
        <f>8304.31</f>
        <v>8304.31</v>
      </c>
      <c r="H1329" s="32">
        <v>2</v>
      </c>
      <c r="I1329" s="25">
        <f t="shared" si="77"/>
        <v>16608.62</v>
      </c>
      <c r="J1329" s="40"/>
      <c r="K1329" s="39"/>
      <c r="L1329" s="39"/>
      <c r="M1329" s="39"/>
      <c r="N1329" s="23"/>
      <c r="O1329" s="39"/>
      <c r="P1329" s="39"/>
      <c r="Q1329" s="39"/>
      <c r="R1329" s="39"/>
    </row>
    <row r="1330" spans="1:18" s="2" customFormat="1" ht="14.4">
      <c r="A1330" s="20">
        <f t="shared" si="78"/>
        <v>1250</v>
      </c>
      <c r="B1330" s="17" t="s">
        <v>1873</v>
      </c>
      <c r="C1330" s="17" t="s">
        <v>1874</v>
      </c>
      <c r="D1330" s="20" t="s">
        <v>5</v>
      </c>
      <c r="E1330" s="20" t="s">
        <v>6</v>
      </c>
      <c r="F1330" s="18">
        <v>1</v>
      </c>
      <c r="G1330" s="19">
        <f>245.92</f>
        <v>245.92</v>
      </c>
      <c r="H1330" s="32">
        <v>30</v>
      </c>
      <c r="I1330" s="25">
        <f t="shared" si="77"/>
        <v>7377.5999999999995</v>
      </c>
      <c r="J1330" s="40"/>
      <c r="K1330" s="39"/>
      <c r="L1330" s="39"/>
      <c r="M1330" s="39"/>
      <c r="N1330" s="23"/>
      <c r="O1330" s="39"/>
      <c r="P1330" s="39"/>
      <c r="Q1330" s="39"/>
      <c r="R1330" s="39"/>
    </row>
    <row r="1331" spans="1:18" s="2" customFormat="1" ht="26.4">
      <c r="A1331" s="20">
        <f t="shared" si="78"/>
        <v>1251</v>
      </c>
      <c r="B1331" s="17" t="s">
        <v>1875</v>
      </c>
      <c r="C1331" s="17" t="s">
        <v>1876</v>
      </c>
      <c r="D1331" s="20" t="s">
        <v>1651</v>
      </c>
      <c r="E1331" s="20" t="s">
        <v>49</v>
      </c>
      <c r="F1331" s="18">
        <v>1</v>
      </c>
      <c r="G1331" s="19">
        <f>1.633198857*237.44</f>
        <v>387.78673660608001</v>
      </c>
      <c r="H1331" s="32">
        <v>4</v>
      </c>
      <c r="I1331" s="25">
        <f t="shared" si="77"/>
        <v>1551.14694642432</v>
      </c>
      <c r="J1331" s="40"/>
      <c r="K1331" s="39"/>
      <c r="L1331" s="39"/>
      <c r="M1331" s="39"/>
      <c r="N1331" s="23"/>
      <c r="O1331" s="39"/>
      <c r="P1331" s="39"/>
      <c r="Q1331" s="39"/>
      <c r="R1331" s="39"/>
    </row>
    <row r="1332" spans="1:18" s="2" customFormat="1" ht="26.4">
      <c r="A1332" s="20">
        <f t="shared" si="78"/>
        <v>1252</v>
      </c>
      <c r="B1332" s="17" t="s">
        <v>1877</v>
      </c>
      <c r="C1332" s="17" t="s">
        <v>1878</v>
      </c>
      <c r="D1332" s="20" t="s">
        <v>5</v>
      </c>
      <c r="E1332" s="20" t="s">
        <v>6</v>
      </c>
      <c r="F1332" s="18">
        <v>1</v>
      </c>
      <c r="G1332" s="19">
        <f>3816.59</f>
        <v>3816.59</v>
      </c>
      <c r="H1332" s="32">
        <v>4</v>
      </c>
      <c r="I1332" s="25">
        <f t="shared" si="77"/>
        <v>15266.36</v>
      </c>
      <c r="J1332" s="40"/>
      <c r="K1332" s="39"/>
      <c r="L1332" s="39"/>
      <c r="M1332" s="39"/>
      <c r="N1332" s="23"/>
      <c r="O1332" s="39"/>
      <c r="P1332" s="39"/>
      <c r="Q1332" s="39"/>
      <c r="R1332" s="39"/>
    </row>
    <row r="1333" spans="1:18" s="2" customFormat="1" ht="14.4">
      <c r="A1333" s="20">
        <f t="shared" si="78"/>
        <v>1253</v>
      </c>
      <c r="B1333" s="17" t="s">
        <v>1879</v>
      </c>
      <c r="C1333" s="17" t="s">
        <v>1880</v>
      </c>
      <c r="D1333" s="20" t="s">
        <v>1651</v>
      </c>
      <c r="E1333" s="20" t="s">
        <v>49</v>
      </c>
      <c r="F1333" s="18">
        <v>1</v>
      </c>
      <c r="G1333" s="19">
        <f>1.633198857*101.51</f>
        <v>165.78601597407001</v>
      </c>
      <c r="H1333" s="32">
        <v>13</v>
      </c>
      <c r="I1333" s="25">
        <f t="shared" si="77"/>
        <v>2155.2182076629101</v>
      </c>
      <c r="J1333" s="40"/>
      <c r="K1333" s="39"/>
      <c r="L1333" s="39"/>
      <c r="M1333" s="39"/>
      <c r="N1333" s="23"/>
      <c r="O1333" s="39"/>
      <c r="P1333" s="39"/>
      <c r="Q1333" s="39"/>
      <c r="R1333" s="39"/>
    </row>
    <row r="1334" spans="1:18" s="2" customFormat="1" ht="26.4">
      <c r="A1334" s="20">
        <f t="shared" si="78"/>
        <v>1254</v>
      </c>
      <c r="B1334" s="17" t="s">
        <v>1881</v>
      </c>
      <c r="C1334" s="17" t="s">
        <v>1882</v>
      </c>
      <c r="D1334" s="20" t="s">
        <v>1651</v>
      </c>
      <c r="E1334" s="20" t="s">
        <v>49</v>
      </c>
      <c r="F1334" s="18">
        <v>1</v>
      </c>
      <c r="G1334" s="19">
        <f>4889.97</f>
        <v>4889.97</v>
      </c>
      <c r="H1334" s="32">
        <v>13</v>
      </c>
      <c r="I1334" s="25">
        <f t="shared" si="77"/>
        <v>63569.61</v>
      </c>
      <c r="J1334" s="40"/>
      <c r="K1334" s="39"/>
      <c r="L1334" s="39"/>
      <c r="M1334" s="39"/>
      <c r="N1334" s="23"/>
      <c r="O1334" s="39"/>
      <c r="P1334" s="39"/>
      <c r="Q1334" s="39"/>
      <c r="R1334" s="39"/>
    </row>
    <row r="1335" spans="1:18" s="2" customFormat="1" ht="14.4">
      <c r="A1335" s="20">
        <f t="shared" si="78"/>
        <v>1255</v>
      </c>
      <c r="B1335" s="17" t="s">
        <v>1883</v>
      </c>
      <c r="C1335" s="17" t="s">
        <v>72</v>
      </c>
      <c r="D1335" s="20" t="s">
        <v>1651</v>
      </c>
      <c r="E1335" s="20" t="s">
        <v>49</v>
      </c>
      <c r="F1335" s="18">
        <v>1</v>
      </c>
      <c r="G1335" s="19">
        <f>1.633198857*1450.89</f>
        <v>2369.5918896327303</v>
      </c>
      <c r="H1335" s="32">
        <v>7</v>
      </c>
      <c r="I1335" s="25">
        <f t="shared" si="77"/>
        <v>16587.143227429111</v>
      </c>
      <c r="J1335" s="40"/>
      <c r="K1335" s="39"/>
      <c r="L1335" s="39"/>
      <c r="M1335" s="39"/>
      <c r="N1335" s="23"/>
      <c r="O1335" s="39"/>
      <c r="P1335" s="39"/>
      <c r="Q1335" s="39"/>
      <c r="R1335" s="39"/>
    </row>
    <row r="1336" spans="1:18" s="2" customFormat="1" ht="26.4">
      <c r="A1336" s="20">
        <f t="shared" si="78"/>
        <v>1256</v>
      </c>
      <c r="B1336" s="17" t="s">
        <v>1884</v>
      </c>
      <c r="C1336" s="17" t="s">
        <v>1885</v>
      </c>
      <c r="D1336" s="20" t="s">
        <v>1651</v>
      </c>
      <c r="E1336" s="20" t="s">
        <v>49</v>
      </c>
      <c r="F1336" s="18">
        <v>1</v>
      </c>
      <c r="G1336" s="19">
        <f>5399.97</f>
        <v>5399.97</v>
      </c>
      <c r="H1336" s="32">
        <v>7</v>
      </c>
      <c r="I1336" s="25">
        <f t="shared" si="77"/>
        <v>37799.79</v>
      </c>
      <c r="J1336" s="40"/>
      <c r="K1336" s="39"/>
      <c r="L1336" s="39"/>
      <c r="M1336" s="39"/>
      <c r="N1336" s="23"/>
      <c r="O1336" s="39"/>
      <c r="P1336" s="39"/>
      <c r="Q1336" s="39"/>
      <c r="R1336" s="39"/>
    </row>
    <row r="1337" spans="1:18" s="2" customFormat="1" ht="14.4">
      <c r="A1337" s="20">
        <f t="shared" si="78"/>
        <v>1257</v>
      </c>
      <c r="B1337" s="17" t="s">
        <v>1886</v>
      </c>
      <c r="C1337" s="17" t="s">
        <v>1887</v>
      </c>
      <c r="D1337" s="20" t="s">
        <v>1651</v>
      </c>
      <c r="E1337" s="20" t="s">
        <v>49</v>
      </c>
      <c r="F1337" s="18">
        <v>1</v>
      </c>
      <c r="G1337" s="19">
        <f>1.633198857*219.54</f>
        <v>358.55247706578001</v>
      </c>
      <c r="H1337" s="32">
        <v>5</v>
      </c>
      <c r="I1337" s="25">
        <f t="shared" si="77"/>
        <v>1792.7623853289001</v>
      </c>
      <c r="J1337" s="40"/>
      <c r="K1337" s="39"/>
      <c r="L1337" s="39"/>
      <c r="M1337" s="39"/>
      <c r="N1337" s="23"/>
      <c r="O1337" s="39"/>
      <c r="P1337" s="39"/>
      <c r="Q1337" s="39"/>
      <c r="R1337" s="39"/>
    </row>
    <row r="1338" spans="1:18" s="2" customFormat="1" ht="14.4">
      <c r="A1338" s="20">
        <f t="shared" si="78"/>
        <v>1258</v>
      </c>
      <c r="B1338" s="17" t="s">
        <v>1888</v>
      </c>
      <c r="C1338" s="17" t="s">
        <v>1889</v>
      </c>
      <c r="D1338" s="20" t="s">
        <v>5</v>
      </c>
      <c r="E1338" s="20" t="s">
        <v>6</v>
      </c>
      <c r="F1338" s="18">
        <v>1</v>
      </c>
      <c r="G1338" s="19">
        <f>14043.74</f>
        <v>14043.74</v>
      </c>
      <c r="H1338" s="32">
        <v>5</v>
      </c>
      <c r="I1338" s="25">
        <f t="shared" si="77"/>
        <v>70218.7</v>
      </c>
      <c r="J1338" s="40"/>
      <c r="K1338" s="39"/>
      <c r="L1338" s="39"/>
      <c r="M1338" s="39"/>
      <c r="N1338" s="23"/>
      <c r="O1338" s="39"/>
      <c r="P1338" s="39"/>
      <c r="Q1338" s="39"/>
      <c r="R1338" s="39"/>
    </row>
    <row r="1339" spans="1:18" s="2" customFormat="1" ht="14.4">
      <c r="A1339" s="20">
        <f t="shared" si="78"/>
        <v>1259</v>
      </c>
      <c r="B1339" s="17" t="s">
        <v>1890</v>
      </c>
      <c r="C1339" s="17" t="s">
        <v>1891</v>
      </c>
      <c r="D1339" s="20" t="s">
        <v>5</v>
      </c>
      <c r="E1339" s="20" t="s">
        <v>6</v>
      </c>
      <c r="F1339" s="18">
        <v>1</v>
      </c>
      <c r="G1339" s="19">
        <f>920.98</f>
        <v>920.98</v>
      </c>
      <c r="H1339" s="32">
        <v>5</v>
      </c>
      <c r="I1339" s="25">
        <f t="shared" si="77"/>
        <v>4604.8999999999996</v>
      </c>
      <c r="J1339" s="40"/>
      <c r="K1339" s="39"/>
      <c r="L1339" s="39"/>
      <c r="M1339" s="39"/>
      <c r="N1339" s="23"/>
      <c r="O1339" s="39"/>
      <c r="P1339" s="39"/>
      <c r="Q1339" s="39"/>
      <c r="R1339" s="39"/>
    </row>
    <row r="1340" spans="1:18" s="2" customFormat="1" ht="14.4">
      <c r="A1340" s="20">
        <f t="shared" si="78"/>
        <v>1260</v>
      </c>
      <c r="B1340" s="17" t="s">
        <v>1892</v>
      </c>
      <c r="C1340" s="17" t="s">
        <v>1893</v>
      </c>
      <c r="D1340" s="20" t="s">
        <v>5</v>
      </c>
      <c r="E1340" s="20" t="s">
        <v>6</v>
      </c>
      <c r="F1340" s="18">
        <v>1</v>
      </c>
      <c r="G1340" s="19">
        <f>185.78</f>
        <v>185.78</v>
      </c>
      <c r="H1340" s="32">
        <v>13</v>
      </c>
      <c r="I1340" s="25">
        <f t="shared" si="77"/>
        <v>2415.14</v>
      </c>
      <c r="J1340" s="40"/>
      <c r="K1340" s="39"/>
      <c r="L1340" s="39"/>
      <c r="M1340" s="39"/>
      <c r="N1340" s="23"/>
      <c r="O1340" s="39"/>
      <c r="P1340" s="39"/>
      <c r="Q1340" s="39"/>
      <c r="R1340" s="39"/>
    </row>
    <row r="1341" spans="1:18" s="2" customFormat="1" ht="14.4">
      <c r="A1341" s="20">
        <f t="shared" si="78"/>
        <v>1261</v>
      </c>
      <c r="B1341" s="17" t="s">
        <v>1894</v>
      </c>
      <c r="C1341" s="17" t="s">
        <v>1895</v>
      </c>
      <c r="D1341" s="20" t="s">
        <v>5</v>
      </c>
      <c r="E1341" s="20" t="s">
        <v>6</v>
      </c>
      <c r="F1341" s="18">
        <v>1</v>
      </c>
      <c r="G1341" s="19">
        <f>236.78</f>
        <v>236.78</v>
      </c>
      <c r="H1341" s="32">
        <v>7</v>
      </c>
      <c r="I1341" s="25">
        <f t="shared" si="77"/>
        <v>1657.46</v>
      </c>
      <c r="J1341" s="40"/>
      <c r="K1341" s="39"/>
      <c r="L1341" s="39"/>
      <c r="M1341" s="39"/>
      <c r="N1341" s="23"/>
      <c r="O1341" s="39"/>
      <c r="P1341" s="39"/>
      <c r="Q1341" s="39"/>
      <c r="R1341" s="39"/>
    </row>
    <row r="1342" spans="1:18" s="2" customFormat="1" ht="14.4">
      <c r="A1342" s="20">
        <f t="shared" si="78"/>
        <v>1262</v>
      </c>
      <c r="B1342" s="17" t="s">
        <v>1828</v>
      </c>
      <c r="C1342" s="17" t="s">
        <v>1829</v>
      </c>
      <c r="D1342" s="20" t="s">
        <v>1830</v>
      </c>
      <c r="E1342" s="20" t="s">
        <v>1831</v>
      </c>
      <c r="F1342" s="18">
        <v>1</v>
      </c>
      <c r="G1342" s="19">
        <f>1.633198857*388.59</f>
        <v>634.64474384162997</v>
      </c>
      <c r="H1342" s="32">
        <v>7</v>
      </c>
      <c r="I1342" s="25">
        <f t="shared" si="77"/>
        <v>4442.5132068914099</v>
      </c>
      <c r="J1342" s="40"/>
      <c r="K1342" s="39"/>
      <c r="L1342" s="39"/>
      <c r="M1342" s="39"/>
      <c r="N1342" s="23"/>
      <c r="O1342" s="39"/>
      <c r="P1342" s="39"/>
      <c r="Q1342" s="39"/>
      <c r="R1342" s="39"/>
    </row>
    <row r="1343" spans="1:18" s="2" customFormat="1" ht="14.4">
      <c r="A1343" s="20">
        <f t="shared" si="78"/>
        <v>1263</v>
      </c>
      <c r="B1343" s="17" t="s">
        <v>1896</v>
      </c>
      <c r="C1343" s="17" t="s">
        <v>1897</v>
      </c>
      <c r="D1343" s="20" t="s">
        <v>5</v>
      </c>
      <c r="E1343" s="20" t="s">
        <v>6</v>
      </c>
      <c r="F1343" s="18">
        <v>1</v>
      </c>
      <c r="G1343" s="19">
        <v>5500</v>
      </c>
      <c r="H1343" s="32">
        <v>7</v>
      </c>
      <c r="I1343" s="25">
        <f t="shared" si="77"/>
        <v>38500</v>
      </c>
      <c r="J1343" s="40"/>
      <c r="K1343" s="39"/>
      <c r="L1343" s="39"/>
      <c r="M1343" s="39"/>
      <c r="N1343" s="23"/>
      <c r="O1343" s="39"/>
      <c r="P1343" s="39"/>
      <c r="Q1343" s="39"/>
      <c r="R1343" s="39"/>
    </row>
    <row r="1344" spans="1:18" s="2" customFormat="1" ht="39.6">
      <c r="A1344" s="20">
        <f t="shared" si="78"/>
        <v>1264</v>
      </c>
      <c r="B1344" s="17" t="s">
        <v>1898</v>
      </c>
      <c r="C1344" s="17" t="s">
        <v>1899</v>
      </c>
      <c r="D1344" s="9" t="s">
        <v>25</v>
      </c>
      <c r="E1344" s="20" t="s">
        <v>26</v>
      </c>
      <c r="F1344" s="18">
        <v>1</v>
      </c>
      <c r="G1344" s="19">
        <f>1.633198857*3132.42</f>
        <v>5115.86476364394</v>
      </c>
      <c r="H1344" s="32">
        <v>260</v>
      </c>
      <c r="I1344" s="25">
        <f t="shared" si="77"/>
        <v>1330124.8385474244</v>
      </c>
      <c r="J1344" s="40"/>
      <c r="K1344" s="39"/>
      <c r="L1344" s="39"/>
      <c r="M1344" s="39"/>
      <c r="N1344" s="23"/>
      <c r="O1344" s="39"/>
      <c r="P1344" s="39"/>
      <c r="Q1344" s="39"/>
      <c r="R1344" s="39"/>
    </row>
    <row r="1345" spans="1:18" s="2" customFormat="1" ht="14.4">
      <c r="A1345" s="20">
        <f t="shared" si="78"/>
        <v>1265</v>
      </c>
      <c r="B1345" s="17" t="s">
        <v>1900</v>
      </c>
      <c r="C1345" s="17" t="s">
        <v>1901</v>
      </c>
      <c r="D1345" s="20" t="s">
        <v>25</v>
      </c>
      <c r="E1345" s="20" t="s">
        <v>26</v>
      </c>
      <c r="F1345" s="18">
        <v>1</v>
      </c>
      <c r="G1345" s="19">
        <f>190.5</f>
        <v>190.5</v>
      </c>
      <c r="H1345" s="32">
        <v>260</v>
      </c>
      <c r="I1345" s="25">
        <f t="shared" si="77"/>
        <v>49530</v>
      </c>
      <c r="J1345" s="40"/>
      <c r="K1345" s="39"/>
      <c r="L1345" s="39"/>
      <c r="M1345" s="39"/>
      <c r="N1345" s="23"/>
      <c r="O1345" s="39"/>
      <c r="P1345" s="39"/>
      <c r="Q1345" s="39"/>
      <c r="R1345" s="39"/>
    </row>
    <row r="1346" spans="1:18" s="2" customFormat="1" ht="14.4">
      <c r="A1346" s="20">
        <f t="shared" si="78"/>
        <v>1266</v>
      </c>
      <c r="B1346" s="17" t="s">
        <v>1902</v>
      </c>
      <c r="C1346" s="17" t="s">
        <v>1903</v>
      </c>
      <c r="D1346" s="20" t="s">
        <v>5</v>
      </c>
      <c r="E1346" s="20" t="s">
        <v>6</v>
      </c>
      <c r="F1346" s="18">
        <v>1</v>
      </c>
      <c r="G1346" s="19">
        <f>101.32</f>
        <v>101.32</v>
      </c>
      <c r="H1346" s="32">
        <v>20</v>
      </c>
      <c r="I1346" s="25">
        <f t="shared" si="77"/>
        <v>2026.3999999999999</v>
      </c>
      <c r="J1346" s="40"/>
      <c r="K1346" s="39"/>
      <c r="L1346" s="39"/>
      <c r="M1346" s="39"/>
      <c r="N1346" s="23"/>
      <c r="O1346" s="39"/>
      <c r="P1346" s="39"/>
      <c r="Q1346" s="39"/>
      <c r="R1346" s="39"/>
    </row>
    <row r="1347" spans="1:18" s="2" customFormat="1" ht="14.4">
      <c r="A1347" s="20">
        <f t="shared" si="78"/>
        <v>1267</v>
      </c>
      <c r="B1347" s="17" t="s">
        <v>1904</v>
      </c>
      <c r="C1347" s="17" t="s">
        <v>1905</v>
      </c>
      <c r="D1347" s="20" t="s">
        <v>5</v>
      </c>
      <c r="E1347" s="20" t="s">
        <v>6</v>
      </c>
      <c r="F1347" s="18">
        <v>1</v>
      </c>
      <c r="G1347" s="19">
        <f>91.12</f>
        <v>91.12</v>
      </c>
      <c r="H1347" s="32">
        <v>3</v>
      </c>
      <c r="I1347" s="25">
        <f t="shared" si="77"/>
        <v>273.36</v>
      </c>
      <c r="J1347" s="40"/>
      <c r="K1347" s="39"/>
      <c r="L1347" s="39"/>
      <c r="M1347" s="39"/>
      <c r="N1347" s="23"/>
      <c r="O1347" s="39"/>
      <c r="P1347" s="39"/>
      <c r="Q1347" s="39"/>
      <c r="R1347" s="39"/>
    </row>
    <row r="1348" spans="1:18" s="2" customFormat="1" ht="39.6">
      <c r="A1348" s="20">
        <f t="shared" si="78"/>
        <v>1268</v>
      </c>
      <c r="B1348" s="17" t="s">
        <v>1906</v>
      </c>
      <c r="C1348" s="17" t="s">
        <v>1907</v>
      </c>
      <c r="D1348" s="9" t="s">
        <v>25</v>
      </c>
      <c r="E1348" s="20" t="s">
        <v>26</v>
      </c>
      <c r="F1348" s="18">
        <v>1</v>
      </c>
      <c r="G1348" s="19">
        <f>1.633198857*129.23</f>
        <v>211.05828829010997</v>
      </c>
      <c r="H1348" s="32">
        <v>155</v>
      </c>
      <c r="I1348" s="25">
        <f t="shared" si="77"/>
        <v>32714.034684967046</v>
      </c>
      <c r="J1348" s="40"/>
      <c r="K1348" s="39"/>
      <c r="L1348" s="39"/>
      <c r="M1348" s="39"/>
      <c r="N1348" s="23"/>
      <c r="O1348" s="39"/>
      <c r="P1348" s="39"/>
      <c r="Q1348" s="39"/>
      <c r="R1348" s="39"/>
    </row>
    <row r="1349" spans="1:18" s="2" customFormat="1" ht="14.4">
      <c r="A1349" s="20">
        <f t="shared" si="78"/>
        <v>1269</v>
      </c>
      <c r="B1349" s="17" t="s">
        <v>1908</v>
      </c>
      <c r="C1349" s="17" t="s">
        <v>1909</v>
      </c>
      <c r="D1349" s="9" t="s">
        <v>25</v>
      </c>
      <c r="E1349" s="20" t="s">
        <v>26</v>
      </c>
      <c r="F1349" s="18">
        <v>1</v>
      </c>
      <c r="G1349" s="19">
        <f>658.04</f>
        <v>658.04</v>
      </c>
      <c r="H1349" s="32">
        <v>155</v>
      </c>
      <c r="I1349" s="25">
        <f t="shared" si="77"/>
        <v>101996.2</v>
      </c>
      <c r="J1349" s="40"/>
      <c r="K1349" s="39"/>
      <c r="L1349" s="39"/>
      <c r="M1349" s="39"/>
      <c r="N1349" s="23"/>
      <c r="O1349" s="39"/>
      <c r="P1349" s="39"/>
      <c r="Q1349" s="39"/>
      <c r="R1349" s="39"/>
    </row>
    <row r="1350" spans="1:18" s="2" customFormat="1" ht="26.4">
      <c r="A1350" s="20">
        <f>A1348+1</f>
        <v>1269</v>
      </c>
      <c r="B1350" s="17" t="s">
        <v>1910</v>
      </c>
      <c r="C1350" s="17" t="s">
        <v>1911</v>
      </c>
      <c r="D1350" s="20" t="s">
        <v>5</v>
      </c>
      <c r="E1350" s="20" t="s">
        <v>6</v>
      </c>
      <c r="F1350" s="18">
        <v>1</v>
      </c>
      <c r="G1350" s="19">
        <v>145.65</v>
      </c>
      <c r="H1350" s="32">
        <v>50</v>
      </c>
      <c r="I1350" s="25">
        <f t="shared" si="77"/>
        <v>7282.5</v>
      </c>
      <c r="J1350" s="40"/>
      <c r="K1350" s="39"/>
      <c r="L1350" s="39"/>
      <c r="M1350" s="39"/>
      <c r="N1350" s="23"/>
      <c r="O1350" s="39"/>
      <c r="P1350" s="39"/>
      <c r="Q1350" s="39"/>
      <c r="R1350" s="39"/>
    </row>
    <row r="1351" spans="1:18" s="2" customFormat="1" ht="26.4">
      <c r="A1351" s="20">
        <f>A1350+1</f>
        <v>1270</v>
      </c>
      <c r="B1351" s="17" t="s">
        <v>1912</v>
      </c>
      <c r="C1351" s="17" t="s">
        <v>1913</v>
      </c>
      <c r="D1351" s="20" t="s">
        <v>5</v>
      </c>
      <c r="E1351" s="20" t="s">
        <v>6</v>
      </c>
      <c r="F1351" s="18">
        <v>1</v>
      </c>
      <c r="G1351" s="19">
        <v>73</v>
      </c>
      <c r="H1351" s="32">
        <v>150</v>
      </c>
      <c r="I1351" s="25">
        <f t="shared" si="77"/>
        <v>10950</v>
      </c>
      <c r="J1351" s="40"/>
      <c r="K1351" s="39"/>
      <c r="L1351" s="39"/>
      <c r="M1351" s="39"/>
      <c r="N1351" s="23"/>
      <c r="O1351" s="39"/>
      <c r="P1351" s="39"/>
      <c r="Q1351" s="39"/>
      <c r="R1351" s="39"/>
    </row>
    <row r="1352" spans="1:18" s="2" customFormat="1" ht="14.4">
      <c r="A1352" s="20">
        <f t="shared" ref="A1352:A1358" si="79">A1351+1</f>
        <v>1271</v>
      </c>
      <c r="B1352" s="17" t="s">
        <v>1914</v>
      </c>
      <c r="C1352" s="17" t="s">
        <v>1915</v>
      </c>
      <c r="D1352" s="20" t="s">
        <v>5</v>
      </c>
      <c r="E1352" s="20" t="s">
        <v>6</v>
      </c>
      <c r="F1352" s="18">
        <v>1</v>
      </c>
      <c r="G1352" s="19">
        <v>101.32</v>
      </c>
      <c r="H1352" s="32">
        <v>30</v>
      </c>
      <c r="I1352" s="25">
        <f t="shared" si="77"/>
        <v>3039.6</v>
      </c>
      <c r="J1352" s="40"/>
      <c r="K1352" s="39"/>
      <c r="L1352" s="39"/>
      <c r="M1352" s="39"/>
      <c r="N1352" s="23"/>
      <c r="O1352" s="39"/>
      <c r="P1352" s="39"/>
      <c r="Q1352" s="39"/>
      <c r="R1352" s="39"/>
    </row>
    <row r="1353" spans="1:18" s="2" customFormat="1" ht="14.4">
      <c r="A1353" s="20">
        <f t="shared" si="79"/>
        <v>1272</v>
      </c>
      <c r="B1353" s="17" t="s">
        <v>1916</v>
      </c>
      <c r="C1353" s="17" t="s">
        <v>1917</v>
      </c>
      <c r="D1353" s="20" t="s">
        <v>5</v>
      </c>
      <c r="E1353" s="20" t="s">
        <v>6</v>
      </c>
      <c r="F1353" s="18">
        <v>1</v>
      </c>
      <c r="G1353" s="19">
        <f>131.92</f>
        <v>131.91999999999999</v>
      </c>
      <c r="H1353" s="32">
        <v>10</v>
      </c>
      <c r="I1353" s="25">
        <f t="shared" si="77"/>
        <v>1319.1999999999998</v>
      </c>
      <c r="J1353" s="40"/>
      <c r="K1353" s="39"/>
      <c r="L1353" s="39"/>
      <c r="M1353" s="39"/>
      <c r="N1353" s="23"/>
      <c r="O1353" s="39"/>
      <c r="P1353" s="39"/>
      <c r="Q1353" s="39"/>
      <c r="R1353" s="39"/>
    </row>
    <row r="1354" spans="1:18" s="2" customFormat="1" ht="14.4">
      <c r="A1354" s="20">
        <f t="shared" si="79"/>
        <v>1273</v>
      </c>
      <c r="B1354" s="17" t="s">
        <v>1918</v>
      </c>
      <c r="C1354" s="17" t="s">
        <v>1919</v>
      </c>
      <c r="D1354" s="20" t="s">
        <v>5</v>
      </c>
      <c r="E1354" s="20" t="s">
        <v>6</v>
      </c>
      <c r="F1354" s="18">
        <v>1</v>
      </c>
      <c r="G1354" s="19">
        <v>133.76</v>
      </c>
      <c r="H1354" s="32">
        <v>6</v>
      </c>
      <c r="I1354" s="25">
        <f t="shared" si="77"/>
        <v>802.56</v>
      </c>
      <c r="J1354" s="40"/>
      <c r="K1354" s="39"/>
      <c r="L1354" s="39"/>
      <c r="M1354" s="39"/>
      <c r="N1354" s="23"/>
      <c r="O1354" s="39"/>
      <c r="P1354" s="39"/>
      <c r="Q1354" s="39"/>
      <c r="R1354" s="39"/>
    </row>
    <row r="1355" spans="1:18" s="2" customFormat="1" ht="14.4">
      <c r="A1355" s="20">
        <f t="shared" si="79"/>
        <v>1274</v>
      </c>
      <c r="B1355" s="17" t="s">
        <v>1834</v>
      </c>
      <c r="C1355" s="17" t="s">
        <v>1835</v>
      </c>
      <c r="D1355" s="20" t="s">
        <v>44</v>
      </c>
      <c r="E1355" s="20" t="s">
        <v>45</v>
      </c>
      <c r="F1355" s="18">
        <v>1</v>
      </c>
      <c r="G1355" s="19">
        <v>87.54</v>
      </c>
      <c r="H1355" s="32">
        <v>387</v>
      </c>
      <c r="I1355" s="25">
        <f t="shared" ref="I1355:I1418" si="80">G1355*H1355</f>
        <v>33877.980000000003</v>
      </c>
      <c r="J1355" s="40"/>
      <c r="K1355" s="39"/>
      <c r="L1355" s="39"/>
      <c r="M1355" s="39"/>
      <c r="N1355" s="23"/>
      <c r="O1355" s="39"/>
      <c r="P1355" s="39"/>
      <c r="Q1355" s="39"/>
      <c r="R1355" s="39"/>
    </row>
    <row r="1356" spans="1:18" s="2" customFormat="1" ht="26.4">
      <c r="A1356" s="20">
        <f t="shared" si="79"/>
        <v>1275</v>
      </c>
      <c r="B1356" s="17" t="s">
        <v>1836</v>
      </c>
      <c r="C1356" s="17" t="s">
        <v>1837</v>
      </c>
      <c r="D1356" s="20" t="s">
        <v>8</v>
      </c>
      <c r="E1356" s="20" t="s">
        <v>9</v>
      </c>
      <c r="F1356" s="18">
        <v>1</v>
      </c>
      <c r="G1356" s="19">
        <f>1.633198857*20.86</f>
        <v>34.068528157019998</v>
      </c>
      <c r="H1356" s="32">
        <v>27.2</v>
      </c>
      <c r="I1356" s="25">
        <f t="shared" si="80"/>
        <v>926.66396587094391</v>
      </c>
      <c r="J1356" s="40"/>
      <c r="K1356" s="39"/>
      <c r="L1356" s="39"/>
      <c r="M1356" s="39"/>
      <c r="N1356" s="23"/>
      <c r="O1356" s="39"/>
      <c r="P1356" s="39"/>
      <c r="Q1356" s="39"/>
      <c r="R1356" s="39"/>
    </row>
    <row r="1357" spans="1:18" s="2" customFormat="1" ht="26.4">
      <c r="A1357" s="20">
        <f t="shared" si="79"/>
        <v>1276</v>
      </c>
      <c r="B1357" s="17" t="s">
        <v>1838</v>
      </c>
      <c r="C1357" s="17" t="s">
        <v>1839</v>
      </c>
      <c r="D1357" s="20" t="s">
        <v>8</v>
      </c>
      <c r="E1357" s="20" t="s">
        <v>9</v>
      </c>
      <c r="F1357" s="18">
        <v>1</v>
      </c>
      <c r="G1357" s="19">
        <f>1.633198857*65.11</f>
        <v>106.33757757927</v>
      </c>
      <c r="H1357" s="32">
        <v>27.2</v>
      </c>
      <c r="I1357" s="25">
        <f t="shared" si="80"/>
        <v>2892.3821101561439</v>
      </c>
      <c r="J1357" s="40"/>
      <c r="K1357" s="39"/>
      <c r="L1357" s="39"/>
      <c r="M1357" s="39"/>
      <c r="N1357" s="23"/>
      <c r="O1357" s="39"/>
      <c r="P1357" s="39"/>
      <c r="Q1357" s="39"/>
      <c r="R1357" s="39"/>
    </row>
    <row r="1358" spans="1:18" s="2" customFormat="1" ht="14.4">
      <c r="A1358" s="20">
        <f t="shared" si="79"/>
        <v>1277</v>
      </c>
      <c r="B1358" s="17" t="s">
        <v>218</v>
      </c>
      <c r="C1358" s="17" t="s">
        <v>219</v>
      </c>
      <c r="D1358" s="20" t="s">
        <v>48</v>
      </c>
      <c r="E1358" s="20" t="s">
        <v>49</v>
      </c>
      <c r="F1358" s="18">
        <v>1</v>
      </c>
      <c r="G1358" s="19"/>
      <c r="H1358" s="32">
        <v>1</v>
      </c>
      <c r="I1358" s="25">
        <f>SUM(I1318:I1357)*0.05</f>
        <v>114596.04333689575</v>
      </c>
      <c r="J1358" s="40"/>
      <c r="K1358" s="39"/>
      <c r="L1358" s="39"/>
      <c r="M1358" s="39"/>
      <c r="N1358" s="23"/>
      <c r="O1358" s="39"/>
      <c r="P1358" s="39"/>
      <c r="Q1358" s="39"/>
      <c r="R1358" s="39"/>
    </row>
    <row r="1359" spans="1:18" ht="14.4">
      <c r="A1359" s="9" t="s">
        <v>61</v>
      </c>
      <c r="B1359" s="13" t="s">
        <v>1920</v>
      </c>
      <c r="C1359" s="13" t="s">
        <v>1921</v>
      </c>
      <c r="D1359" s="14"/>
      <c r="E1359" s="14"/>
      <c r="F1359" s="18"/>
      <c r="G1359" s="19"/>
      <c r="H1359" s="15"/>
      <c r="I1359" s="25"/>
      <c r="J1359" s="24"/>
      <c r="K1359" s="22"/>
      <c r="L1359" s="22"/>
      <c r="M1359" s="22"/>
      <c r="N1359" s="23"/>
      <c r="O1359" s="22"/>
      <c r="P1359" s="22"/>
      <c r="Q1359" s="22"/>
      <c r="R1359" s="22"/>
    </row>
    <row r="1360" spans="1:18" s="2" customFormat="1" ht="26.4">
      <c r="A1360" s="20">
        <f>A1358+1</f>
        <v>1278</v>
      </c>
      <c r="B1360" s="17" t="s">
        <v>1922</v>
      </c>
      <c r="C1360" s="17" t="s">
        <v>1923</v>
      </c>
      <c r="D1360" s="20" t="s">
        <v>5</v>
      </c>
      <c r="E1360" s="20" t="s">
        <v>6</v>
      </c>
      <c r="F1360" s="18">
        <v>1</v>
      </c>
      <c r="G1360" s="19">
        <f>1.633198857*165.35</f>
        <v>270.04943100495001</v>
      </c>
      <c r="H1360" s="32">
        <v>8</v>
      </c>
      <c r="I1360" s="25">
        <f t="shared" si="80"/>
        <v>2160.3954480396001</v>
      </c>
      <c r="J1360" s="40"/>
      <c r="K1360" s="39"/>
      <c r="L1360" s="39"/>
      <c r="M1360" s="39"/>
      <c r="N1360" s="23"/>
      <c r="O1360" s="39"/>
      <c r="P1360" s="39"/>
      <c r="Q1360" s="39"/>
      <c r="R1360" s="39"/>
    </row>
    <row r="1361" spans="1:18" s="2" customFormat="1" ht="26.4">
      <c r="A1361" s="20">
        <f>A1360+1</f>
        <v>1279</v>
      </c>
      <c r="B1361" s="17" t="s">
        <v>1924</v>
      </c>
      <c r="C1361" s="17" t="s">
        <v>1925</v>
      </c>
      <c r="D1361" s="20" t="s">
        <v>5</v>
      </c>
      <c r="E1361" s="20" t="s">
        <v>6</v>
      </c>
      <c r="F1361" s="18">
        <v>1</v>
      </c>
      <c r="G1361" s="19">
        <f>11345.54</f>
        <v>11345.54</v>
      </c>
      <c r="H1361" s="32">
        <v>8</v>
      </c>
      <c r="I1361" s="25">
        <f t="shared" si="80"/>
        <v>90764.32</v>
      </c>
      <c r="J1361" s="40"/>
      <c r="K1361" s="39"/>
      <c r="L1361" s="39"/>
      <c r="M1361" s="39"/>
      <c r="N1361" s="23"/>
      <c r="O1361" s="39"/>
      <c r="P1361" s="39"/>
      <c r="Q1361" s="39"/>
      <c r="R1361" s="39"/>
    </row>
    <row r="1362" spans="1:18" s="2" customFormat="1" ht="26.4">
      <c r="A1362" s="20">
        <f t="shared" ref="A1362:A1373" si="81">A1361+1</f>
        <v>1280</v>
      </c>
      <c r="B1362" s="17" t="s">
        <v>1926</v>
      </c>
      <c r="C1362" s="17" t="s">
        <v>1927</v>
      </c>
      <c r="D1362" s="20" t="s">
        <v>5</v>
      </c>
      <c r="E1362" s="20" t="s">
        <v>6</v>
      </c>
      <c r="F1362" s="18">
        <v>1</v>
      </c>
      <c r="G1362" s="19">
        <f>737.54</f>
        <v>737.54</v>
      </c>
      <c r="H1362" s="32">
        <v>8</v>
      </c>
      <c r="I1362" s="25">
        <f t="shared" si="80"/>
        <v>5900.32</v>
      </c>
      <c r="J1362" s="40"/>
      <c r="K1362" s="39"/>
      <c r="L1362" s="39"/>
      <c r="M1362" s="39"/>
      <c r="N1362" s="23"/>
      <c r="O1362" s="39"/>
      <c r="P1362" s="39"/>
      <c r="Q1362" s="39"/>
      <c r="R1362" s="39"/>
    </row>
    <row r="1363" spans="1:18" s="2" customFormat="1" ht="26.4">
      <c r="A1363" s="20">
        <f t="shared" si="81"/>
        <v>1281</v>
      </c>
      <c r="B1363" s="17" t="s">
        <v>1928</v>
      </c>
      <c r="C1363" s="17" t="s">
        <v>1929</v>
      </c>
      <c r="D1363" s="9" t="s">
        <v>25</v>
      </c>
      <c r="E1363" s="20" t="s">
        <v>26</v>
      </c>
      <c r="F1363" s="18">
        <v>1</v>
      </c>
      <c r="G1363" s="19">
        <f>1.633198857*199.49</f>
        <v>325.80683998293</v>
      </c>
      <c r="H1363" s="32">
        <v>34</v>
      </c>
      <c r="I1363" s="25">
        <f t="shared" si="80"/>
        <v>11077.43255941962</v>
      </c>
      <c r="J1363" s="40"/>
      <c r="K1363" s="39"/>
      <c r="L1363" s="39"/>
      <c r="M1363" s="39"/>
      <c r="N1363" s="23"/>
      <c r="O1363" s="39"/>
      <c r="P1363" s="39"/>
      <c r="Q1363" s="39"/>
      <c r="R1363" s="39"/>
    </row>
    <row r="1364" spans="1:18" s="2" customFormat="1" ht="14.4">
      <c r="A1364" s="20">
        <f t="shared" si="81"/>
        <v>1282</v>
      </c>
      <c r="B1364" s="17" t="s">
        <v>1930</v>
      </c>
      <c r="C1364" s="17" t="s">
        <v>1931</v>
      </c>
      <c r="D1364" s="20" t="s">
        <v>25</v>
      </c>
      <c r="E1364" s="20" t="s">
        <v>26</v>
      </c>
      <c r="F1364" s="18">
        <v>1</v>
      </c>
      <c r="G1364" s="19">
        <f>733.7</f>
        <v>733.7</v>
      </c>
      <c r="H1364" s="32">
        <v>34</v>
      </c>
      <c r="I1364" s="25">
        <f t="shared" si="80"/>
        <v>24945.800000000003</v>
      </c>
      <c r="J1364" s="40"/>
      <c r="K1364" s="39"/>
      <c r="L1364" s="39"/>
      <c r="M1364" s="39"/>
      <c r="N1364" s="23"/>
      <c r="O1364" s="39"/>
      <c r="P1364" s="39"/>
      <c r="Q1364" s="39"/>
      <c r="R1364" s="39"/>
    </row>
    <row r="1365" spans="1:18" s="2" customFormat="1" ht="14.4">
      <c r="A1365" s="20">
        <f t="shared" si="81"/>
        <v>1283</v>
      </c>
      <c r="B1365" s="17" t="s">
        <v>1932</v>
      </c>
      <c r="C1365" s="17" t="s">
        <v>1933</v>
      </c>
      <c r="D1365" s="20" t="s">
        <v>5</v>
      </c>
      <c r="E1365" s="20" t="s">
        <v>6</v>
      </c>
      <c r="F1365" s="18">
        <v>1</v>
      </c>
      <c r="G1365" s="19">
        <f>347.14</f>
        <v>347.14</v>
      </c>
      <c r="H1365" s="32">
        <v>8</v>
      </c>
      <c r="I1365" s="25">
        <f t="shared" si="80"/>
        <v>2777.12</v>
      </c>
      <c r="J1365" s="40"/>
      <c r="K1365" s="39"/>
      <c r="L1365" s="39"/>
      <c r="M1365" s="39"/>
      <c r="N1365" s="23"/>
      <c r="O1365" s="39"/>
      <c r="P1365" s="39"/>
      <c r="Q1365" s="39"/>
      <c r="R1365" s="39"/>
    </row>
    <row r="1366" spans="1:18" s="2" customFormat="1" ht="26.4">
      <c r="A1366" s="20">
        <f t="shared" si="81"/>
        <v>1284</v>
      </c>
      <c r="B1366" s="17" t="s">
        <v>1934</v>
      </c>
      <c r="C1366" s="17" t="s">
        <v>1935</v>
      </c>
      <c r="D1366" s="9" t="s">
        <v>25</v>
      </c>
      <c r="E1366" s="20" t="s">
        <v>26</v>
      </c>
      <c r="F1366" s="18">
        <v>1</v>
      </c>
      <c r="G1366" s="19">
        <f>1.633198857*289.81</f>
        <v>473.31736074717003</v>
      </c>
      <c r="H1366" s="32">
        <v>32</v>
      </c>
      <c r="I1366" s="25">
        <f t="shared" si="80"/>
        <v>15146.155543909441</v>
      </c>
      <c r="J1366" s="40"/>
      <c r="K1366" s="39"/>
      <c r="L1366" s="39"/>
      <c r="M1366" s="39"/>
      <c r="N1366" s="23"/>
      <c r="O1366" s="39"/>
      <c r="P1366" s="39"/>
      <c r="Q1366" s="39"/>
      <c r="R1366" s="39"/>
    </row>
    <row r="1367" spans="1:18" s="2" customFormat="1" ht="14.4">
      <c r="A1367" s="20">
        <f t="shared" si="81"/>
        <v>1285</v>
      </c>
      <c r="B1367" s="17" t="s">
        <v>1936</v>
      </c>
      <c r="C1367" s="17" t="s">
        <v>1937</v>
      </c>
      <c r="D1367" s="20" t="s">
        <v>25</v>
      </c>
      <c r="E1367" s="20" t="s">
        <v>26</v>
      </c>
      <c r="F1367" s="18">
        <v>1</v>
      </c>
      <c r="G1367" s="19">
        <f>1321.03</f>
        <v>1321.03</v>
      </c>
      <c r="H1367" s="32">
        <v>32</v>
      </c>
      <c r="I1367" s="25">
        <f t="shared" si="80"/>
        <v>42272.959999999999</v>
      </c>
      <c r="J1367" s="40"/>
      <c r="K1367" s="39"/>
      <c r="L1367" s="39"/>
      <c r="M1367" s="39"/>
      <c r="N1367" s="23"/>
      <c r="O1367" s="39"/>
      <c r="P1367" s="39"/>
      <c r="Q1367" s="39"/>
      <c r="R1367" s="39"/>
    </row>
    <row r="1368" spans="1:18" s="2" customFormat="1" ht="14.4">
      <c r="A1368" s="20">
        <f t="shared" si="81"/>
        <v>1286</v>
      </c>
      <c r="B1368" s="17" t="s">
        <v>1938</v>
      </c>
      <c r="C1368" s="17" t="s">
        <v>1939</v>
      </c>
      <c r="D1368" s="20" t="s">
        <v>5</v>
      </c>
      <c r="E1368" s="20" t="s">
        <v>6</v>
      </c>
      <c r="F1368" s="18">
        <v>1</v>
      </c>
      <c r="G1368" s="19">
        <f>530.74</f>
        <v>530.74</v>
      </c>
      <c r="H1368" s="32">
        <v>5</v>
      </c>
      <c r="I1368" s="25">
        <f t="shared" si="80"/>
        <v>2653.7</v>
      </c>
      <c r="J1368" s="40"/>
      <c r="K1368" s="39"/>
      <c r="L1368" s="39"/>
      <c r="M1368" s="39"/>
      <c r="N1368" s="23"/>
      <c r="O1368" s="39"/>
      <c r="P1368" s="39"/>
      <c r="Q1368" s="39"/>
      <c r="R1368" s="39"/>
    </row>
    <row r="1369" spans="1:18" s="2" customFormat="1" ht="14.4">
      <c r="A1369" s="20">
        <f t="shared" si="81"/>
        <v>1287</v>
      </c>
      <c r="B1369" s="17" t="s">
        <v>1940</v>
      </c>
      <c r="C1369" s="17" t="s">
        <v>1941</v>
      </c>
      <c r="D1369" s="20" t="s">
        <v>5</v>
      </c>
      <c r="E1369" s="20" t="s">
        <v>6</v>
      </c>
      <c r="F1369" s="18">
        <v>1</v>
      </c>
      <c r="G1369" s="19">
        <f>581.74</f>
        <v>581.74</v>
      </c>
      <c r="H1369" s="32">
        <v>5</v>
      </c>
      <c r="I1369" s="25">
        <f t="shared" si="80"/>
        <v>2908.7</v>
      </c>
      <c r="J1369" s="40"/>
      <c r="K1369" s="39"/>
      <c r="L1369" s="39"/>
      <c r="M1369" s="39"/>
      <c r="N1369" s="23"/>
      <c r="O1369" s="39"/>
      <c r="P1369" s="39"/>
      <c r="Q1369" s="39"/>
      <c r="R1369" s="39"/>
    </row>
    <row r="1370" spans="1:18" s="2" customFormat="1" ht="26.4">
      <c r="A1370" s="20">
        <f t="shared" si="81"/>
        <v>1288</v>
      </c>
      <c r="B1370" s="17" t="s">
        <v>1942</v>
      </c>
      <c r="C1370" s="17" t="s">
        <v>1943</v>
      </c>
      <c r="D1370" s="9" t="s">
        <v>1651</v>
      </c>
      <c r="E1370" s="20" t="s">
        <v>49</v>
      </c>
      <c r="F1370" s="18">
        <v>1</v>
      </c>
      <c r="G1370" s="19">
        <f>1.633198857*1450.89</f>
        <v>2369.5918896327303</v>
      </c>
      <c r="H1370" s="32">
        <v>5</v>
      </c>
      <c r="I1370" s="25">
        <f t="shared" si="80"/>
        <v>11847.959448163652</v>
      </c>
      <c r="J1370" s="40"/>
      <c r="K1370" s="39"/>
      <c r="L1370" s="39"/>
      <c r="M1370" s="39"/>
      <c r="N1370" s="23"/>
      <c r="O1370" s="39"/>
      <c r="P1370" s="39"/>
      <c r="Q1370" s="39"/>
      <c r="R1370" s="39"/>
    </row>
    <row r="1371" spans="1:18" s="2" customFormat="1" ht="14.4">
      <c r="A1371" s="20">
        <f t="shared" si="81"/>
        <v>1289</v>
      </c>
      <c r="B1371" s="17" t="s">
        <v>1944</v>
      </c>
      <c r="C1371" s="17" t="s">
        <v>1945</v>
      </c>
      <c r="D1371" s="9" t="s">
        <v>1651</v>
      </c>
      <c r="E1371" s="20" t="s">
        <v>49</v>
      </c>
      <c r="F1371" s="18">
        <v>1</v>
      </c>
      <c r="G1371" s="19">
        <f>1319.97</f>
        <v>1319.97</v>
      </c>
      <c r="H1371" s="32">
        <v>5</v>
      </c>
      <c r="I1371" s="25">
        <f t="shared" si="80"/>
        <v>6599.85</v>
      </c>
      <c r="J1371" s="40"/>
      <c r="K1371" s="39"/>
      <c r="L1371" s="39"/>
      <c r="M1371" s="39"/>
      <c r="N1371" s="23"/>
      <c r="O1371" s="39"/>
      <c r="P1371" s="39"/>
      <c r="Q1371" s="39"/>
      <c r="R1371" s="39"/>
    </row>
    <row r="1372" spans="1:18" s="2" customFormat="1" ht="26.4">
      <c r="A1372" s="20">
        <f t="shared" si="81"/>
        <v>1290</v>
      </c>
      <c r="B1372" s="17" t="s">
        <v>1159</v>
      </c>
      <c r="C1372" s="17" t="s">
        <v>1809</v>
      </c>
      <c r="D1372" s="9" t="s">
        <v>25</v>
      </c>
      <c r="E1372" s="20" t="s">
        <v>26</v>
      </c>
      <c r="F1372" s="18">
        <v>1</v>
      </c>
      <c r="G1372" s="19">
        <f>1.633198857*92.12</f>
        <v>150.45027870684001</v>
      </c>
      <c r="H1372" s="32">
        <f>H1373+H1374</f>
        <v>66</v>
      </c>
      <c r="I1372" s="25">
        <f t="shared" si="80"/>
        <v>9929.7183946514415</v>
      </c>
      <c r="J1372" s="40"/>
      <c r="K1372" s="39"/>
      <c r="L1372" s="39"/>
      <c r="M1372" s="39"/>
      <c r="N1372" s="23"/>
      <c r="O1372" s="39"/>
      <c r="P1372" s="39"/>
      <c r="Q1372" s="39"/>
      <c r="R1372" s="39"/>
    </row>
    <row r="1373" spans="1:18" s="2" customFormat="1" ht="26.4">
      <c r="A1373" s="20">
        <f t="shared" si="81"/>
        <v>1291</v>
      </c>
      <c r="B1373" s="17" t="s">
        <v>1946</v>
      </c>
      <c r="C1373" s="17" t="s">
        <v>1947</v>
      </c>
      <c r="D1373" s="9" t="s">
        <v>25</v>
      </c>
      <c r="E1373" s="20" t="s">
        <v>26</v>
      </c>
      <c r="F1373" s="18">
        <v>1</v>
      </c>
      <c r="G1373" s="19">
        <f>499.29</f>
        <v>499.29</v>
      </c>
      <c r="H1373" s="32">
        <v>32</v>
      </c>
      <c r="I1373" s="25">
        <f t="shared" si="80"/>
        <v>15977.28</v>
      </c>
      <c r="J1373" s="40"/>
      <c r="K1373" s="39"/>
      <c r="L1373" s="39"/>
      <c r="M1373" s="39"/>
      <c r="N1373" s="23"/>
      <c r="O1373" s="39"/>
      <c r="P1373" s="39"/>
      <c r="Q1373" s="39"/>
      <c r="R1373" s="39"/>
    </row>
    <row r="1374" spans="1:18" s="2" customFormat="1" ht="26.4">
      <c r="A1374" s="20">
        <f>A1372+1</f>
        <v>1291</v>
      </c>
      <c r="B1374" s="17" t="s">
        <v>1948</v>
      </c>
      <c r="C1374" s="17" t="s">
        <v>1949</v>
      </c>
      <c r="D1374" s="20" t="s">
        <v>25</v>
      </c>
      <c r="E1374" s="20" t="s">
        <v>26</v>
      </c>
      <c r="F1374" s="18">
        <v>1</v>
      </c>
      <c r="G1374" s="19">
        <f>317.73</f>
        <v>317.73</v>
      </c>
      <c r="H1374" s="32">
        <v>34</v>
      </c>
      <c r="I1374" s="25">
        <f t="shared" si="80"/>
        <v>10802.82</v>
      </c>
      <c r="J1374" s="40"/>
      <c r="K1374" s="39"/>
      <c r="L1374" s="39"/>
      <c r="M1374" s="39"/>
      <c r="N1374" s="23"/>
      <c r="O1374" s="39"/>
      <c r="P1374" s="39"/>
      <c r="Q1374" s="39"/>
      <c r="R1374" s="39"/>
    </row>
    <row r="1375" spans="1:18" s="2" customFormat="1" ht="14.4">
      <c r="A1375" s="20">
        <f t="shared" ref="A1375:A1381" si="82">A1374+1</f>
        <v>1292</v>
      </c>
      <c r="B1375" s="17" t="s">
        <v>1816</v>
      </c>
      <c r="C1375" s="17" t="s">
        <v>1817</v>
      </c>
      <c r="D1375" s="20" t="s">
        <v>25</v>
      </c>
      <c r="E1375" s="20" t="s">
        <v>26</v>
      </c>
      <c r="F1375" s="18">
        <v>1</v>
      </c>
      <c r="G1375" s="19">
        <v>27.1</v>
      </c>
      <c r="H1375" s="32">
        <v>50</v>
      </c>
      <c r="I1375" s="25">
        <f t="shared" si="80"/>
        <v>1355</v>
      </c>
      <c r="J1375" s="40"/>
      <c r="K1375" s="39"/>
      <c r="L1375" s="39"/>
      <c r="M1375" s="39"/>
      <c r="N1375" s="23"/>
      <c r="O1375" s="39"/>
      <c r="P1375" s="39"/>
      <c r="Q1375" s="39"/>
      <c r="R1375" s="39"/>
    </row>
    <row r="1376" spans="1:18" s="2" customFormat="1" ht="14.4">
      <c r="A1376" s="20">
        <f t="shared" si="82"/>
        <v>1293</v>
      </c>
      <c r="B1376" s="17" t="s">
        <v>1834</v>
      </c>
      <c r="C1376" s="17" t="s">
        <v>1835</v>
      </c>
      <c r="D1376" s="20" t="s">
        <v>44</v>
      </c>
      <c r="E1376" s="20" t="s">
        <v>45</v>
      </c>
      <c r="F1376" s="18">
        <v>1</v>
      </c>
      <c r="G1376" s="19">
        <v>87.54</v>
      </c>
      <c r="H1376" s="32">
        <v>95</v>
      </c>
      <c r="I1376" s="25">
        <f t="shared" si="80"/>
        <v>8316.3000000000011</v>
      </c>
      <c r="J1376" s="40"/>
      <c r="K1376" s="39"/>
      <c r="L1376" s="39"/>
      <c r="M1376" s="39"/>
      <c r="N1376" s="23"/>
      <c r="O1376" s="39"/>
      <c r="P1376" s="39"/>
      <c r="Q1376" s="39"/>
      <c r="R1376" s="39"/>
    </row>
    <row r="1377" spans="1:18" s="2" customFormat="1" ht="26.4">
      <c r="A1377" s="20">
        <f t="shared" si="82"/>
        <v>1294</v>
      </c>
      <c r="B1377" s="17" t="s">
        <v>1836</v>
      </c>
      <c r="C1377" s="17" t="s">
        <v>1837</v>
      </c>
      <c r="D1377" s="20" t="s">
        <v>8</v>
      </c>
      <c r="E1377" s="20" t="s">
        <v>9</v>
      </c>
      <c r="F1377" s="18">
        <v>1</v>
      </c>
      <c r="G1377" s="19">
        <f>1.633198857*20.86</f>
        <v>34.068528157019998</v>
      </c>
      <c r="H1377" s="32">
        <v>12</v>
      </c>
      <c r="I1377" s="25">
        <f t="shared" si="80"/>
        <v>408.82233788423997</v>
      </c>
      <c r="J1377" s="40"/>
      <c r="K1377" s="39"/>
      <c r="L1377" s="39"/>
      <c r="M1377" s="39"/>
      <c r="N1377" s="23"/>
      <c r="O1377" s="39"/>
      <c r="P1377" s="39"/>
      <c r="Q1377" s="39"/>
      <c r="R1377" s="39"/>
    </row>
    <row r="1378" spans="1:18" s="2" customFormat="1" ht="26.4">
      <c r="A1378" s="20">
        <f t="shared" si="82"/>
        <v>1295</v>
      </c>
      <c r="B1378" s="17" t="s">
        <v>1838</v>
      </c>
      <c r="C1378" s="17" t="s">
        <v>1839</v>
      </c>
      <c r="D1378" s="20" t="s">
        <v>8</v>
      </c>
      <c r="E1378" s="20" t="s">
        <v>9</v>
      </c>
      <c r="F1378" s="18">
        <v>1</v>
      </c>
      <c r="G1378" s="19">
        <f>1.633198857*65.11</f>
        <v>106.33757757927</v>
      </c>
      <c r="H1378" s="32">
        <v>12</v>
      </c>
      <c r="I1378" s="25">
        <f t="shared" si="80"/>
        <v>1276.0509309512399</v>
      </c>
      <c r="J1378" s="40"/>
      <c r="K1378" s="39"/>
      <c r="L1378" s="39"/>
      <c r="M1378" s="39"/>
      <c r="N1378" s="23"/>
      <c r="O1378" s="39"/>
      <c r="P1378" s="39"/>
      <c r="Q1378" s="39"/>
      <c r="R1378" s="39"/>
    </row>
    <row r="1379" spans="1:18" s="2" customFormat="1" ht="14.4">
      <c r="A1379" s="20">
        <f t="shared" si="82"/>
        <v>1296</v>
      </c>
      <c r="B1379" s="17" t="s">
        <v>1950</v>
      </c>
      <c r="C1379" s="17" t="s">
        <v>1951</v>
      </c>
      <c r="D1379" s="20" t="s">
        <v>1651</v>
      </c>
      <c r="E1379" s="20" t="s">
        <v>49</v>
      </c>
      <c r="F1379" s="18">
        <v>1</v>
      </c>
      <c r="G1379" s="19">
        <f>1.633198857</f>
        <v>1.633198857</v>
      </c>
      <c r="H1379" s="32">
        <v>1</v>
      </c>
      <c r="I1379" s="25">
        <f t="shared" si="80"/>
        <v>1.633198857</v>
      </c>
      <c r="J1379" s="40"/>
      <c r="K1379" s="39"/>
      <c r="L1379" s="39"/>
      <c r="M1379" s="39"/>
      <c r="N1379" s="23"/>
      <c r="O1379" s="39"/>
      <c r="P1379" s="39"/>
      <c r="Q1379" s="39"/>
      <c r="R1379" s="39"/>
    </row>
    <row r="1380" spans="1:18" s="2" customFormat="1" ht="14.4">
      <c r="A1380" s="20">
        <f t="shared" si="82"/>
        <v>1297</v>
      </c>
      <c r="B1380" s="17" t="s">
        <v>1952</v>
      </c>
      <c r="C1380" s="17" t="s">
        <v>1953</v>
      </c>
      <c r="D1380" s="20" t="s">
        <v>1651</v>
      </c>
      <c r="E1380" s="20" t="s">
        <v>49</v>
      </c>
      <c r="F1380" s="18">
        <v>1</v>
      </c>
      <c r="G1380" s="19">
        <v>34500</v>
      </c>
      <c r="H1380" s="32">
        <v>1</v>
      </c>
      <c r="I1380" s="25">
        <f t="shared" si="80"/>
        <v>34500</v>
      </c>
      <c r="J1380" s="40"/>
      <c r="K1380" s="39"/>
      <c r="L1380" s="39"/>
      <c r="M1380" s="39"/>
      <c r="N1380" s="23"/>
      <c r="O1380" s="39"/>
      <c r="P1380" s="39"/>
      <c r="Q1380" s="39"/>
      <c r="R1380" s="39"/>
    </row>
    <row r="1381" spans="1:18" s="2" customFormat="1" ht="14.4">
      <c r="A1381" s="20">
        <f t="shared" si="82"/>
        <v>1298</v>
      </c>
      <c r="B1381" s="17" t="s">
        <v>218</v>
      </c>
      <c r="C1381" s="17" t="s">
        <v>219</v>
      </c>
      <c r="D1381" s="20" t="s">
        <v>48</v>
      </c>
      <c r="E1381" s="20" t="s">
        <v>49</v>
      </c>
      <c r="F1381" s="18">
        <v>1</v>
      </c>
      <c r="G1381" s="19"/>
      <c r="H1381" s="32">
        <v>1</v>
      </c>
      <c r="I1381" s="25">
        <f>SUM(I1360:I1380)*0.05</f>
        <v>15081.116893093815</v>
      </c>
      <c r="J1381" s="40"/>
      <c r="K1381" s="39"/>
      <c r="L1381" s="39"/>
      <c r="M1381" s="39"/>
      <c r="N1381" s="23"/>
      <c r="O1381" s="39"/>
      <c r="P1381" s="39"/>
      <c r="Q1381" s="39"/>
      <c r="R1381" s="39"/>
    </row>
    <row r="1382" spans="1:18" ht="26.4">
      <c r="A1382" s="9" t="s">
        <v>61</v>
      </c>
      <c r="B1382" s="13" t="s">
        <v>1954</v>
      </c>
      <c r="C1382" s="14" t="s">
        <v>1955</v>
      </c>
      <c r="D1382" s="14"/>
      <c r="E1382" s="14"/>
      <c r="F1382" s="18"/>
      <c r="G1382" s="19"/>
      <c r="H1382" s="15"/>
      <c r="I1382" s="25"/>
      <c r="J1382" s="24"/>
      <c r="K1382" s="22"/>
      <c r="L1382" s="22"/>
      <c r="M1382" s="22"/>
      <c r="N1382" s="23"/>
      <c r="O1382" s="22"/>
      <c r="P1382" s="22"/>
      <c r="Q1382" s="22"/>
      <c r="R1382" s="22"/>
    </row>
    <row r="1383" spans="1:18" s="2" customFormat="1" ht="14.4">
      <c r="A1383" s="20">
        <f>A1381+1</f>
        <v>1299</v>
      </c>
      <c r="B1383" s="17" t="s">
        <v>1956</v>
      </c>
      <c r="C1383" s="17" t="s">
        <v>1957</v>
      </c>
      <c r="D1383" s="20" t="s">
        <v>66</v>
      </c>
      <c r="E1383" s="20" t="s">
        <v>67</v>
      </c>
      <c r="F1383" s="18">
        <v>1</v>
      </c>
      <c r="G1383" s="19">
        <f>1.633198857*195.09</f>
        <v>318.62076501212999</v>
      </c>
      <c r="H1383" s="32">
        <v>120.5</v>
      </c>
      <c r="I1383" s="25">
        <f t="shared" si="80"/>
        <v>38393.802183961663</v>
      </c>
      <c r="J1383" s="40"/>
      <c r="K1383" s="39"/>
      <c r="L1383" s="39"/>
      <c r="M1383" s="39"/>
      <c r="N1383" s="23"/>
      <c r="O1383" s="39"/>
      <c r="P1383" s="39"/>
      <c r="Q1383" s="39"/>
      <c r="R1383" s="39"/>
    </row>
    <row r="1384" spans="1:18" s="2" customFormat="1" ht="26.4">
      <c r="A1384" s="20">
        <f t="shared" ref="A1384:A1453" si="83">A1383+1</f>
        <v>1300</v>
      </c>
      <c r="B1384" s="17" t="s">
        <v>1958</v>
      </c>
      <c r="C1384" s="17" t="s">
        <v>1959</v>
      </c>
      <c r="D1384" s="20" t="s">
        <v>5</v>
      </c>
      <c r="E1384" s="20" t="s">
        <v>6</v>
      </c>
      <c r="F1384" s="18">
        <v>1</v>
      </c>
      <c r="G1384" s="19">
        <v>3260.96</v>
      </c>
      <c r="H1384" s="32">
        <v>1</v>
      </c>
      <c r="I1384" s="25">
        <f t="shared" si="80"/>
        <v>3260.96</v>
      </c>
      <c r="J1384" s="40"/>
      <c r="K1384" s="39"/>
      <c r="L1384" s="39"/>
      <c r="M1384" s="39"/>
      <c r="N1384" s="23"/>
      <c r="O1384" s="39"/>
      <c r="P1384" s="39"/>
      <c r="Q1384" s="39"/>
      <c r="R1384" s="39"/>
    </row>
    <row r="1385" spans="1:18" s="2" customFormat="1" ht="26.4">
      <c r="A1385" s="20">
        <f t="shared" si="83"/>
        <v>1301</v>
      </c>
      <c r="B1385" s="17" t="s">
        <v>1960</v>
      </c>
      <c r="C1385" s="17" t="s">
        <v>1961</v>
      </c>
      <c r="D1385" s="20" t="s">
        <v>5</v>
      </c>
      <c r="E1385" s="20" t="s">
        <v>6</v>
      </c>
      <c r="F1385" s="18">
        <v>1</v>
      </c>
      <c r="G1385" s="19">
        <v>3726.76</v>
      </c>
      <c r="H1385" s="32">
        <v>1</v>
      </c>
      <c r="I1385" s="25">
        <f t="shared" si="80"/>
        <v>3726.76</v>
      </c>
      <c r="J1385" s="40"/>
      <c r="K1385" s="39"/>
      <c r="L1385" s="39"/>
      <c r="M1385" s="39"/>
      <c r="N1385" s="23"/>
      <c r="O1385" s="39"/>
      <c r="P1385" s="39"/>
      <c r="Q1385" s="39"/>
      <c r="R1385" s="39"/>
    </row>
    <row r="1386" spans="1:18" s="2" customFormat="1" ht="26.4">
      <c r="A1386" s="20">
        <f t="shared" si="83"/>
        <v>1302</v>
      </c>
      <c r="B1386" s="17" t="s">
        <v>1962</v>
      </c>
      <c r="C1386" s="17" t="s">
        <v>1963</v>
      </c>
      <c r="D1386" s="20" t="s">
        <v>5</v>
      </c>
      <c r="E1386" s="20" t="s">
        <v>6</v>
      </c>
      <c r="F1386" s="18">
        <v>1</v>
      </c>
      <c r="G1386" s="19">
        <v>4208.53</v>
      </c>
      <c r="H1386" s="32">
        <v>1</v>
      </c>
      <c r="I1386" s="25">
        <f t="shared" si="80"/>
        <v>4208.53</v>
      </c>
      <c r="J1386" s="40"/>
      <c r="K1386" s="39"/>
      <c r="L1386" s="39"/>
      <c r="M1386" s="39"/>
      <c r="N1386" s="23"/>
      <c r="O1386" s="39"/>
      <c r="P1386" s="39"/>
      <c r="Q1386" s="39"/>
      <c r="R1386" s="39"/>
    </row>
    <row r="1387" spans="1:18" s="2" customFormat="1" ht="26.4">
      <c r="A1387" s="20">
        <f t="shared" si="83"/>
        <v>1303</v>
      </c>
      <c r="B1387" s="17" t="s">
        <v>1964</v>
      </c>
      <c r="C1387" s="17" t="s">
        <v>1965</v>
      </c>
      <c r="D1387" s="20" t="s">
        <v>5</v>
      </c>
      <c r="E1387" s="20" t="s">
        <v>6</v>
      </c>
      <c r="F1387" s="18">
        <v>1</v>
      </c>
      <c r="G1387" s="19">
        <v>11043.86</v>
      </c>
      <c r="H1387" s="32">
        <v>2</v>
      </c>
      <c r="I1387" s="25">
        <f t="shared" si="80"/>
        <v>22087.72</v>
      </c>
      <c r="J1387" s="40"/>
      <c r="K1387" s="39"/>
      <c r="L1387" s="39"/>
      <c r="M1387" s="39"/>
      <c r="N1387" s="23"/>
      <c r="O1387" s="39"/>
      <c r="P1387" s="39"/>
      <c r="Q1387" s="39"/>
      <c r="R1387" s="39"/>
    </row>
    <row r="1388" spans="1:18" s="2" customFormat="1" ht="26.4">
      <c r="A1388" s="20">
        <f t="shared" si="83"/>
        <v>1304</v>
      </c>
      <c r="B1388" s="17" t="s">
        <v>1966</v>
      </c>
      <c r="C1388" s="17" t="s">
        <v>1967</v>
      </c>
      <c r="D1388" s="20" t="s">
        <v>5</v>
      </c>
      <c r="E1388" s="20" t="s">
        <v>6</v>
      </c>
      <c r="F1388" s="18">
        <v>1</v>
      </c>
      <c r="G1388" s="19">
        <v>3377</v>
      </c>
      <c r="H1388" s="32">
        <v>2</v>
      </c>
      <c r="I1388" s="25">
        <f t="shared" si="80"/>
        <v>6754</v>
      </c>
      <c r="J1388" s="40"/>
      <c r="K1388" s="39"/>
      <c r="L1388" s="39"/>
      <c r="M1388" s="39"/>
      <c r="N1388" s="23"/>
      <c r="O1388" s="39"/>
      <c r="P1388" s="39"/>
      <c r="Q1388" s="39"/>
      <c r="R1388" s="39"/>
    </row>
    <row r="1389" spans="1:18" s="2" customFormat="1" ht="26.4">
      <c r="A1389" s="20">
        <f t="shared" si="83"/>
        <v>1305</v>
      </c>
      <c r="B1389" s="17" t="s">
        <v>1968</v>
      </c>
      <c r="C1389" s="17" t="s">
        <v>1969</v>
      </c>
      <c r="D1389" s="20" t="s">
        <v>5</v>
      </c>
      <c r="E1389" s="20" t="s">
        <v>6</v>
      </c>
      <c r="F1389" s="18">
        <v>1</v>
      </c>
      <c r="G1389" s="19">
        <v>3973</v>
      </c>
      <c r="H1389" s="32">
        <v>73</v>
      </c>
      <c r="I1389" s="25">
        <f t="shared" si="80"/>
        <v>290029</v>
      </c>
      <c r="J1389" s="40"/>
      <c r="K1389" s="39"/>
      <c r="L1389" s="39"/>
      <c r="M1389" s="39"/>
      <c r="N1389" s="23"/>
      <c r="O1389" s="39"/>
      <c r="P1389" s="39"/>
      <c r="Q1389" s="39"/>
      <c r="R1389" s="39"/>
    </row>
    <row r="1390" spans="1:18" s="2" customFormat="1" ht="26.4">
      <c r="A1390" s="20">
        <f t="shared" si="83"/>
        <v>1306</v>
      </c>
      <c r="B1390" s="17" t="s">
        <v>1970</v>
      </c>
      <c r="C1390" s="17" t="s">
        <v>1971</v>
      </c>
      <c r="D1390" s="20" t="s">
        <v>5</v>
      </c>
      <c r="E1390" s="20" t="s">
        <v>6</v>
      </c>
      <c r="F1390" s="18">
        <v>1</v>
      </c>
      <c r="G1390" s="19">
        <v>4556</v>
      </c>
      <c r="H1390" s="32">
        <v>9</v>
      </c>
      <c r="I1390" s="25">
        <f t="shared" si="80"/>
        <v>41004</v>
      </c>
      <c r="J1390" s="40"/>
      <c r="K1390" s="39"/>
      <c r="L1390" s="39"/>
      <c r="M1390" s="39"/>
      <c r="N1390" s="23"/>
      <c r="O1390" s="39"/>
      <c r="P1390" s="39"/>
      <c r="Q1390" s="39"/>
      <c r="R1390" s="39"/>
    </row>
    <row r="1391" spans="1:18" s="2" customFormat="1" ht="26.4">
      <c r="A1391" s="20">
        <f t="shared" si="83"/>
        <v>1307</v>
      </c>
      <c r="B1391" s="17" t="s">
        <v>1972</v>
      </c>
      <c r="C1391" s="17" t="s">
        <v>1973</v>
      </c>
      <c r="D1391" s="20" t="s">
        <v>5</v>
      </c>
      <c r="E1391" s="20" t="s">
        <v>6</v>
      </c>
      <c r="F1391" s="18">
        <v>1</v>
      </c>
      <c r="G1391" s="19">
        <v>5145</v>
      </c>
      <c r="H1391" s="32">
        <v>1</v>
      </c>
      <c r="I1391" s="25">
        <f t="shared" si="80"/>
        <v>5145</v>
      </c>
      <c r="J1391" s="40"/>
      <c r="K1391" s="39"/>
      <c r="L1391" s="39"/>
      <c r="M1391" s="39"/>
      <c r="N1391" s="23"/>
      <c r="O1391" s="39"/>
      <c r="P1391" s="39"/>
      <c r="Q1391" s="39"/>
      <c r="R1391" s="39"/>
    </row>
    <row r="1392" spans="1:18" s="2" customFormat="1" ht="26.4">
      <c r="A1392" s="20">
        <f t="shared" si="83"/>
        <v>1308</v>
      </c>
      <c r="B1392" s="17" t="s">
        <v>1974</v>
      </c>
      <c r="C1392" s="17" t="s">
        <v>1975</v>
      </c>
      <c r="D1392" s="20" t="s">
        <v>5</v>
      </c>
      <c r="E1392" s="20" t="s">
        <v>6</v>
      </c>
      <c r="F1392" s="18">
        <v>1</v>
      </c>
      <c r="G1392" s="19">
        <f>5989.64</f>
        <v>5989.64</v>
      </c>
      <c r="H1392" s="32">
        <v>6</v>
      </c>
      <c r="I1392" s="25">
        <f t="shared" si="80"/>
        <v>35937.840000000004</v>
      </c>
      <c r="J1392" s="40"/>
      <c r="K1392" s="39"/>
      <c r="L1392" s="39"/>
      <c r="M1392" s="39"/>
      <c r="N1392" s="23"/>
      <c r="O1392" s="39"/>
      <c r="P1392" s="39"/>
      <c r="Q1392" s="39"/>
      <c r="R1392" s="39"/>
    </row>
    <row r="1393" spans="1:18" s="2" customFormat="1" ht="26.4">
      <c r="A1393" s="20">
        <f t="shared" si="83"/>
        <v>1309</v>
      </c>
      <c r="B1393" s="17" t="s">
        <v>1976</v>
      </c>
      <c r="C1393" s="17" t="s">
        <v>1977</v>
      </c>
      <c r="D1393" s="20" t="s">
        <v>5</v>
      </c>
      <c r="E1393" s="20" t="s">
        <v>6</v>
      </c>
      <c r="F1393" s="18">
        <v>1</v>
      </c>
      <c r="G1393" s="19">
        <v>6856.64</v>
      </c>
      <c r="H1393" s="32">
        <v>1</v>
      </c>
      <c r="I1393" s="25">
        <f t="shared" si="80"/>
        <v>6856.64</v>
      </c>
      <c r="J1393" s="40"/>
      <c r="K1393" s="39"/>
      <c r="L1393" s="39"/>
      <c r="M1393" s="39"/>
      <c r="N1393" s="23"/>
      <c r="O1393" s="39"/>
      <c r="P1393" s="39"/>
      <c r="Q1393" s="39"/>
      <c r="R1393" s="39"/>
    </row>
    <row r="1394" spans="1:18" s="2" customFormat="1" ht="26.4">
      <c r="A1394" s="20">
        <f t="shared" si="83"/>
        <v>1310</v>
      </c>
      <c r="B1394" s="17" t="s">
        <v>1978</v>
      </c>
      <c r="C1394" s="17" t="s">
        <v>1979</v>
      </c>
      <c r="D1394" s="20" t="s">
        <v>5</v>
      </c>
      <c r="E1394" s="20" t="s">
        <v>6</v>
      </c>
      <c r="F1394" s="18">
        <v>1</v>
      </c>
      <c r="G1394" s="19">
        <v>11180.76</v>
      </c>
      <c r="H1394" s="32">
        <v>2</v>
      </c>
      <c r="I1394" s="25">
        <f t="shared" si="80"/>
        <v>22361.52</v>
      </c>
      <c r="J1394" s="40"/>
      <c r="K1394" s="39"/>
      <c r="L1394" s="39"/>
      <c r="M1394" s="39"/>
      <c r="N1394" s="23"/>
      <c r="O1394" s="39"/>
      <c r="P1394" s="39"/>
      <c r="Q1394" s="39"/>
      <c r="R1394" s="39"/>
    </row>
    <row r="1395" spans="1:18" s="2" customFormat="1" ht="26.4">
      <c r="A1395" s="20">
        <f t="shared" si="83"/>
        <v>1311</v>
      </c>
      <c r="B1395" s="17" t="s">
        <v>1980</v>
      </c>
      <c r="C1395" s="17" t="s">
        <v>1981</v>
      </c>
      <c r="D1395" s="20" t="s">
        <v>5</v>
      </c>
      <c r="E1395" s="20" t="s">
        <v>6</v>
      </c>
      <c r="F1395" s="18">
        <v>1</v>
      </c>
      <c r="G1395" s="19">
        <v>3973</v>
      </c>
      <c r="H1395" s="32">
        <v>25</v>
      </c>
      <c r="I1395" s="25">
        <f t="shared" si="80"/>
        <v>99325</v>
      </c>
      <c r="J1395" s="40"/>
      <c r="K1395" s="39"/>
      <c r="L1395" s="39"/>
      <c r="M1395" s="39"/>
      <c r="N1395" s="23"/>
      <c r="O1395" s="39"/>
      <c r="P1395" s="39"/>
      <c r="Q1395" s="39"/>
      <c r="R1395" s="39"/>
    </row>
    <row r="1396" spans="1:18" s="2" customFormat="1" ht="26.4">
      <c r="A1396" s="20">
        <f t="shared" si="83"/>
        <v>1312</v>
      </c>
      <c r="B1396" s="17" t="s">
        <v>1982</v>
      </c>
      <c r="C1396" s="17" t="s">
        <v>1983</v>
      </c>
      <c r="D1396" s="20" t="s">
        <v>5</v>
      </c>
      <c r="E1396" s="20" t="s">
        <v>6</v>
      </c>
      <c r="F1396" s="18">
        <v>1</v>
      </c>
      <c r="G1396" s="19">
        <v>4556</v>
      </c>
      <c r="H1396" s="32">
        <v>22</v>
      </c>
      <c r="I1396" s="25">
        <f t="shared" si="80"/>
        <v>100232</v>
      </c>
      <c r="J1396" s="40"/>
      <c r="K1396" s="39"/>
      <c r="L1396" s="39"/>
      <c r="M1396" s="39"/>
      <c r="N1396" s="23"/>
      <c r="O1396" s="39"/>
      <c r="P1396" s="39"/>
      <c r="Q1396" s="39"/>
      <c r="R1396" s="39"/>
    </row>
    <row r="1397" spans="1:18" s="2" customFormat="1" ht="26.4">
      <c r="A1397" s="20">
        <f t="shared" si="83"/>
        <v>1313</v>
      </c>
      <c r="B1397" s="17" t="s">
        <v>1984</v>
      </c>
      <c r="C1397" s="17" t="s">
        <v>1985</v>
      </c>
      <c r="D1397" s="20" t="s">
        <v>5</v>
      </c>
      <c r="E1397" s="20" t="s">
        <v>6</v>
      </c>
      <c r="F1397" s="18">
        <v>1</v>
      </c>
      <c r="G1397" s="19">
        <v>5145</v>
      </c>
      <c r="H1397" s="32">
        <v>4</v>
      </c>
      <c r="I1397" s="25">
        <f t="shared" si="80"/>
        <v>20580</v>
      </c>
      <c r="J1397" s="40"/>
      <c r="K1397" s="39"/>
      <c r="L1397" s="39"/>
      <c r="M1397" s="39"/>
      <c r="N1397" s="23"/>
      <c r="O1397" s="39"/>
      <c r="P1397" s="39"/>
      <c r="Q1397" s="39"/>
      <c r="R1397" s="39"/>
    </row>
    <row r="1398" spans="1:18" s="2" customFormat="1" ht="26.4">
      <c r="A1398" s="20">
        <f t="shared" si="83"/>
        <v>1314</v>
      </c>
      <c r="B1398" s="17" t="s">
        <v>1986</v>
      </c>
      <c r="C1398" s="17" t="s">
        <v>1987</v>
      </c>
      <c r="D1398" s="20" t="s">
        <v>5</v>
      </c>
      <c r="E1398" s="20" t="s">
        <v>6</v>
      </c>
      <c r="F1398" s="18">
        <v>1</v>
      </c>
      <c r="G1398" s="19">
        <f>5989.64</f>
        <v>5989.64</v>
      </c>
      <c r="H1398" s="32">
        <v>9</v>
      </c>
      <c r="I1398" s="25">
        <f t="shared" si="80"/>
        <v>53906.76</v>
      </c>
      <c r="J1398" s="40"/>
      <c r="K1398" s="39"/>
      <c r="L1398" s="39"/>
      <c r="M1398" s="39"/>
      <c r="N1398" s="23"/>
      <c r="O1398" s="39"/>
      <c r="P1398" s="39"/>
      <c r="Q1398" s="39"/>
      <c r="R1398" s="39"/>
    </row>
    <row r="1399" spans="1:18" s="2" customFormat="1" ht="26.4">
      <c r="A1399" s="20">
        <f t="shared" si="83"/>
        <v>1315</v>
      </c>
      <c r="B1399" s="17" t="s">
        <v>1988</v>
      </c>
      <c r="C1399" s="17" t="s">
        <v>1989</v>
      </c>
      <c r="D1399" s="20" t="s">
        <v>5</v>
      </c>
      <c r="E1399" s="20" t="s">
        <v>6</v>
      </c>
      <c r="F1399" s="18">
        <v>1</v>
      </c>
      <c r="G1399" s="19">
        <v>6856.64</v>
      </c>
      <c r="H1399" s="32">
        <v>1</v>
      </c>
      <c r="I1399" s="25">
        <f t="shared" si="80"/>
        <v>6856.64</v>
      </c>
      <c r="J1399" s="40"/>
      <c r="K1399" s="39"/>
      <c r="L1399" s="39"/>
      <c r="M1399" s="39"/>
      <c r="N1399" s="23"/>
      <c r="O1399" s="39"/>
      <c r="P1399" s="39"/>
      <c r="Q1399" s="39"/>
      <c r="R1399" s="39"/>
    </row>
    <row r="1400" spans="1:18" s="2" customFormat="1" ht="26.4">
      <c r="A1400" s="20">
        <f t="shared" si="83"/>
        <v>1316</v>
      </c>
      <c r="B1400" s="17" t="s">
        <v>1990</v>
      </c>
      <c r="C1400" s="17" t="s">
        <v>1991</v>
      </c>
      <c r="D1400" s="20" t="s">
        <v>5</v>
      </c>
      <c r="E1400" s="20" t="s">
        <v>6</v>
      </c>
      <c r="F1400" s="18">
        <v>1</v>
      </c>
      <c r="G1400" s="19">
        <v>7491.08</v>
      </c>
      <c r="H1400" s="32">
        <v>6</v>
      </c>
      <c r="I1400" s="25">
        <f t="shared" si="80"/>
        <v>44946.479999999996</v>
      </c>
      <c r="J1400" s="40"/>
      <c r="K1400" s="39"/>
      <c r="L1400" s="39"/>
      <c r="M1400" s="39"/>
      <c r="N1400" s="23"/>
      <c r="O1400" s="39"/>
      <c r="P1400" s="39"/>
      <c r="Q1400" s="39"/>
      <c r="R1400" s="39"/>
    </row>
    <row r="1401" spans="1:18" s="2" customFormat="1" ht="26.4">
      <c r="A1401" s="20">
        <f t="shared" si="83"/>
        <v>1317</v>
      </c>
      <c r="B1401" s="17" t="s">
        <v>1992</v>
      </c>
      <c r="C1401" s="17" t="s">
        <v>1993</v>
      </c>
      <c r="D1401" s="20" t="s">
        <v>5</v>
      </c>
      <c r="E1401" s="20" t="s">
        <v>6</v>
      </c>
      <c r="F1401" s="18">
        <v>1</v>
      </c>
      <c r="G1401" s="19">
        <v>5145</v>
      </c>
      <c r="H1401" s="32">
        <v>2</v>
      </c>
      <c r="I1401" s="25">
        <f t="shared" si="80"/>
        <v>10290</v>
      </c>
      <c r="J1401" s="40"/>
      <c r="K1401" s="39"/>
      <c r="L1401" s="39"/>
      <c r="M1401" s="39"/>
      <c r="N1401" s="23"/>
      <c r="O1401" s="39"/>
      <c r="P1401" s="39"/>
      <c r="Q1401" s="39"/>
      <c r="R1401" s="39"/>
    </row>
    <row r="1402" spans="1:18" s="2" customFormat="1" ht="26.4">
      <c r="A1402" s="20">
        <f t="shared" si="83"/>
        <v>1318</v>
      </c>
      <c r="B1402" s="17" t="s">
        <v>1994</v>
      </c>
      <c r="C1402" s="17" t="s">
        <v>1995</v>
      </c>
      <c r="D1402" s="20" t="s">
        <v>5</v>
      </c>
      <c r="E1402" s="20" t="s">
        <v>6</v>
      </c>
      <c r="F1402" s="18">
        <v>1</v>
      </c>
      <c r="G1402" s="19">
        <v>8568.7000000000007</v>
      </c>
      <c r="H1402" s="32">
        <v>1</v>
      </c>
      <c r="I1402" s="25">
        <f t="shared" si="80"/>
        <v>8568.7000000000007</v>
      </c>
      <c r="J1402" s="40"/>
      <c r="K1402" s="39"/>
      <c r="L1402" s="39"/>
      <c r="M1402" s="39"/>
      <c r="N1402" s="23"/>
      <c r="O1402" s="39"/>
      <c r="P1402" s="39"/>
      <c r="Q1402" s="39"/>
      <c r="R1402" s="39"/>
    </row>
    <row r="1403" spans="1:18" s="2" customFormat="1" ht="26.4">
      <c r="A1403" s="20">
        <f t="shared" si="83"/>
        <v>1319</v>
      </c>
      <c r="B1403" s="17" t="s">
        <v>1996</v>
      </c>
      <c r="C1403" s="17" t="s">
        <v>1997</v>
      </c>
      <c r="D1403" s="20" t="s">
        <v>5</v>
      </c>
      <c r="E1403" s="20" t="s">
        <v>6</v>
      </c>
      <c r="F1403" s="18">
        <v>1</v>
      </c>
      <c r="G1403" s="19">
        <v>8223</v>
      </c>
      <c r="H1403" s="32">
        <v>4</v>
      </c>
      <c r="I1403" s="25">
        <f t="shared" si="80"/>
        <v>32892</v>
      </c>
      <c r="J1403" s="40"/>
      <c r="K1403" s="39"/>
      <c r="L1403" s="39"/>
      <c r="M1403" s="39"/>
      <c r="N1403" s="23"/>
      <c r="O1403" s="39"/>
      <c r="P1403" s="39"/>
      <c r="Q1403" s="39"/>
      <c r="R1403" s="39"/>
    </row>
    <row r="1404" spans="1:18" s="2" customFormat="1" ht="26.4">
      <c r="A1404" s="20">
        <f t="shared" si="83"/>
        <v>1320</v>
      </c>
      <c r="B1404" s="17" t="s">
        <v>1998</v>
      </c>
      <c r="C1404" s="17" t="s">
        <v>1999</v>
      </c>
      <c r="D1404" s="20" t="s">
        <v>5</v>
      </c>
      <c r="E1404" s="20" t="s">
        <v>6</v>
      </c>
      <c r="F1404" s="18">
        <v>1</v>
      </c>
      <c r="G1404" s="19">
        <v>8223</v>
      </c>
      <c r="H1404" s="32">
        <v>2</v>
      </c>
      <c r="I1404" s="25">
        <f t="shared" si="80"/>
        <v>16446</v>
      </c>
      <c r="J1404" s="40"/>
      <c r="K1404" s="39"/>
      <c r="L1404" s="39"/>
      <c r="M1404" s="39"/>
      <c r="N1404" s="23"/>
      <c r="O1404" s="39"/>
      <c r="P1404" s="39"/>
      <c r="Q1404" s="39"/>
      <c r="R1404" s="39"/>
    </row>
    <row r="1405" spans="1:18" s="2" customFormat="1" ht="14.4">
      <c r="A1405" s="20">
        <f t="shared" si="83"/>
        <v>1321</v>
      </c>
      <c r="B1405" s="17" t="s">
        <v>2000</v>
      </c>
      <c r="C1405" s="17" t="s">
        <v>2001</v>
      </c>
      <c r="D1405" s="20" t="s">
        <v>5</v>
      </c>
      <c r="E1405" s="20" t="s">
        <v>6</v>
      </c>
      <c r="F1405" s="18">
        <v>1</v>
      </c>
      <c r="G1405" s="19">
        <v>1085.6600000000001</v>
      </c>
      <c r="H1405" s="32">
        <f>SUM(H1384:H1404)</f>
        <v>175</v>
      </c>
      <c r="I1405" s="25">
        <f t="shared" si="80"/>
        <v>189990.5</v>
      </c>
      <c r="J1405" s="40"/>
      <c r="K1405" s="39"/>
      <c r="L1405" s="39"/>
      <c r="M1405" s="39"/>
      <c r="N1405" s="23"/>
      <c r="O1405" s="39"/>
      <c r="P1405" s="39"/>
      <c r="Q1405" s="39"/>
      <c r="R1405" s="39"/>
    </row>
    <row r="1406" spans="1:18" s="2" customFormat="1" ht="52.8">
      <c r="A1406" s="20">
        <f t="shared" si="83"/>
        <v>1322</v>
      </c>
      <c r="B1406" s="17" t="s">
        <v>2002</v>
      </c>
      <c r="C1406" s="17" t="s">
        <v>2003</v>
      </c>
      <c r="D1406" s="9" t="s">
        <v>25</v>
      </c>
      <c r="E1406" s="20" t="s">
        <v>26</v>
      </c>
      <c r="F1406" s="18">
        <v>1</v>
      </c>
      <c r="G1406" s="19">
        <f>1.633198857*301.5</f>
        <v>492.4094553855</v>
      </c>
      <c r="H1406" s="32">
        <v>161</v>
      </c>
      <c r="I1406" s="25">
        <f t="shared" si="80"/>
        <v>79277.922317065502</v>
      </c>
      <c r="J1406" s="40"/>
      <c r="K1406" s="39"/>
      <c r="L1406" s="39"/>
      <c r="M1406" s="39"/>
      <c r="N1406" s="23"/>
      <c r="O1406" s="39"/>
      <c r="P1406" s="39"/>
      <c r="Q1406" s="39"/>
      <c r="R1406" s="39"/>
    </row>
    <row r="1407" spans="1:18" s="2" customFormat="1" ht="52.8">
      <c r="A1407" s="20">
        <f t="shared" si="83"/>
        <v>1323</v>
      </c>
      <c r="B1407" s="17" t="s">
        <v>2004</v>
      </c>
      <c r="C1407" s="17" t="s">
        <v>2005</v>
      </c>
      <c r="D1407" s="9" t="s">
        <v>25</v>
      </c>
      <c r="E1407" s="20" t="s">
        <v>26</v>
      </c>
      <c r="F1407" s="18">
        <v>1</v>
      </c>
      <c r="G1407" s="19">
        <f>1.633198857*318.69</f>
        <v>520.48414373732999</v>
      </c>
      <c r="H1407" s="32">
        <v>64</v>
      </c>
      <c r="I1407" s="25">
        <f t="shared" si="80"/>
        <v>33310.985199189119</v>
      </c>
      <c r="J1407" s="40"/>
      <c r="K1407" s="39"/>
      <c r="L1407" s="39"/>
      <c r="M1407" s="39"/>
      <c r="N1407" s="23"/>
      <c r="O1407" s="39"/>
      <c r="P1407" s="39"/>
      <c r="Q1407" s="39"/>
      <c r="R1407" s="39"/>
    </row>
    <row r="1408" spans="1:18" s="2" customFormat="1" ht="52.8">
      <c r="A1408" s="20">
        <f t="shared" si="83"/>
        <v>1324</v>
      </c>
      <c r="B1408" s="17" t="s">
        <v>2006</v>
      </c>
      <c r="C1408" s="17" t="s">
        <v>2007</v>
      </c>
      <c r="D1408" s="9" t="s">
        <v>25</v>
      </c>
      <c r="E1408" s="20" t="s">
        <v>26</v>
      </c>
      <c r="F1408" s="18">
        <v>1</v>
      </c>
      <c r="G1408" s="19">
        <f>1.633198857*350.13</f>
        <v>571.83191580140999</v>
      </c>
      <c r="H1408" s="32">
        <v>38</v>
      </c>
      <c r="I1408" s="25">
        <f t="shared" si="80"/>
        <v>21729.612800453579</v>
      </c>
      <c r="J1408" s="40"/>
      <c r="K1408" s="39"/>
      <c r="L1408" s="39"/>
      <c r="M1408" s="39"/>
      <c r="N1408" s="23"/>
      <c r="O1408" s="39"/>
      <c r="P1408" s="39"/>
      <c r="Q1408" s="39"/>
      <c r="R1408" s="39"/>
    </row>
    <row r="1409" spans="1:18" s="2" customFormat="1" ht="52.8">
      <c r="A1409" s="20">
        <f t="shared" si="83"/>
        <v>1325</v>
      </c>
      <c r="B1409" s="17" t="s">
        <v>2008</v>
      </c>
      <c r="C1409" s="17" t="s">
        <v>2009</v>
      </c>
      <c r="D1409" s="9" t="s">
        <v>25</v>
      </c>
      <c r="E1409" s="20" t="s">
        <v>26</v>
      </c>
      <c r="F1409" s="18">
        <v>1</v>
      </c>
      <c r="G1409" s="19">
        <f>1.633198857*379.03</f>
        <v>619.03136276870998</v>
      </c>
      <c r="H1409" s="32">
        <v>152</v>
      </c>
      <c r="I1409" s="25">
        <f t="shared" si="80"/>
        <v>94092.76714084392</v>
      </c>
      <c r="J1409" s="40"/>
      <c r="K1409" s="39"/>
      <c r="L1409" s="39"/>
      <c r="M1409" s="39"/>
      <c r="N1409" s="23"/>
      <c r="O1409" s="39"/>
      <c r="P1409" s="39"/>
      <c r="Q1409" s="39"/>
      <c r="R1409" s="39"/>
    </row>
    <row r="1410" spans="1:18" s="2" customFormat="1" ht="52.8">
      <c r="A1410" s="20">
        <f t="shared" si="83"/>
        <v>1326</v>
      </c>
      <c r="B1410" s="17" t="s">
        <v>2010</v>
      </c>
      <c r="C1410" s="17" t="s">
        <v>2011</v>
      </c>
      <c r="D1410" s="9" t="s">
        <v>25</v>
      </c>
      <c r="E1410" s="20" t="s">
        <v>26</v>
      </c>
      <c r="F1410" s="18">
        <v>1</v>
      </c>
      <c r="G1410" s="19">
        <f>1.633198857*424.9</f>
        <v>693.94619433929995</v>
      </c>
      <c r="H1410" s="32">
        <v>111</v>
      </c>
      <c r="I1410" s="25">
        <f t="shared" si="80"/>
        <v>77028.0275716623</v>
      </c>
      <c r="J1410" s="40"/>
      <c r="K1410" s="39"/>
      <c r="L1410" s="39"/>
      <c r="M1410" s="39"/>
      <c r="N1410" s="23"/>
      <c r="O1410" s="39"/>
      <c r="P1410" s="39"/>
      <c r="Q1410" s="39"/>
      <c r="R1410" s="39"/>
    </row>
    <row r="1411" spans="1:18" s="2" customFormat="1" ht="52.8">
      <c r="A1411" s="20">
        <f t="shared" si="83"/>
        <v>1327</v>
      </c>
      <c r="B1411" s="17" t="s">
        <v>2012</v>
      </c>
      <c r="C1411" s="17" t="s">
        <v>2013</v>
      </c>
      <c r="D1411" s="9" t="s">
        <v>25</v>
      </c>
      <c r="E1411" s="20" t="s">
        <v>26</v>
      </c>
      <c r="F1411" s="18">
        <v>1</v>
      </c>
      <c r="G1411" s="19">
        <f>1.633198857*510.05</f>
        <v>833.01307701284998</v>
      </c>
      <c r="H1411" s="32">
        <v>18</v>
      </c>
      <c r="I1411" s="25">
        <f t="shared" si="80"/>
        <v>14994.235386231299</v>
      </c>
      <c r="J1411" s="40"/>
      <c r="K1411" s="39"/>
      <c r="L1411" s="39"/>
      <c r="M1411" s="39"/>
      <c r="N1411" s="23"/>
      <c r="O1411" s="39"/>
      <c r="P1411" s="39"/>
      <c r="Q1411" s="39"/>
      <c r="R1411" s="39"/>
    </row>
    <row r="1412" spans="1:18" s="2" customFormat="1" ht="79.2">
      <c r="A1412" s="20">
        <f t="shared" si="83"/>
        <v>1328</v>
      </c>
      <c r="B1412" s="17" t="s">
        <v>2014</v>
      </c>
      <c r="C1412" s="17" t="s">
        <v>2015</v>
      </c>
      <c r="D1412" s="9" t="s">
        <v>25</v>
      </c>
      <c r="E1412" s="20" t="s">
        <v>26</v>
      </c>
      <c r="F1412" s="18">
        <v>1</v>
      </c>
      <c r="G1412" s="19">
        <f>1.633198857*200.24</f>
        <v>327.03173912568002</v>
      </c>
      <c r="H1412" s="32">
        <v>1060</v>
      </c>
      <c r="I1412" s="25">
        <f t="shared" si="80"/>
        <v>346653.64347322081</v>
      </c>
      <c r="J1412" s="40"/>
      <c r="K1412" s="39"/>
      <c r="L1412" s="39"/>
      <c r="M1412" s="39"/>
      <c r="N1412" s="23"/>
      <c r="O1412" s="39"/>
      <c r="P1412" s="39"/>
      <c r="Q1412" s="39"/>
      <c r="R1412" s="39"/>
    </row>
    <row r="1413" spans="1:18" s="2" customFormat="1" ht="39.6">
      <c r="A1413" s="20">
        <f t="shared" si="83"/>
        <v>1329</v>
      </c>
      <c r="B1413" s="17" t="s">
        <v>2016</v>
      </c>
      <c r="C1413" s="17" t="s">
        <v>2017</v>
      </c>
      <c r="D1413" s="9" t="s">
        <v>25</v>
      </c>
      <c r="E1413" s="20" t="s">
        <v>26</v>
      </c>
      <c r="F1413" s="18">
        <v>1</v>
      </c>
      <c r="G1413" s="19">
        <f>125.7</f>
        <v>125.7</v>
      </c>
      <c r="H1413" s="32">
        <v>1060</v>
      </c>
      <c r="I1413" s="25">
        <f t="shared" si="80"/>
        <v>133242</v>
      </c>
      <c r="J1413" s="40"/>
      <c r="K1413" s="39"/>
      <c r="L1413" s="39"/>
      <c r="M1413" s="39"/>
      <c r="N1413" s="23"/>
      <c r="O1413" s="39"/>
      <c r="P1413" s="39"/>
      <c r="Q1413" s="39"/>
      <c r="R1413" s="39"/>
    </row>
    <row r="1414" spans="1:18" s="2" customFormat="1" ht="79.2">
      <c r="A1414" s="20">
        <f t="shared" si="83"/>
        <v>1330</v>
      </c>
      <c r="B1414" s="17" t="s">
        <v>2018</v>
      </c>
      <c r="C1414" s="17" t="s">
        <v>2019</v>
      </c>
      <c r="D1414" s="9" t="s">
        <v>25</v>
      </c>
      <c r="E1414" s="20" t="s">
        <v>26</v>
      </c>
      <c r="F1414" s="18">
        <v>1</v>
      </c>
      <c r="G1414" s="19">
        <f>1.633198857*200.24</f>
        <v>327.03173912568002</v>
      </c>
      <c r="H1414" s="32">
        <v>1185</v>
      </c>
      <c r="I1414" s="25">
        <f t="shared" si="80"/>
        <v>387532.61086393084</v>
      </c>
      <c r="J1414" s="40"/>
      <c r="K1414" s="39"/>
      <c r="L1414" s="39"/>
      <c r="M1414" s="39"/>
      <c r="N1414" s="23"/>
      <c r="O1414" s="39"/>
      <c r="P1414" s="39"/>
      <c r="Q1414" s="39"/>
      <c r="R1414" s="39"/>
    </row>
    <row r="1415" spans="1:18" s="2" customFormat="1" ht="39.6">
      <c r="A1415" s="20">
        <f t="shared" si="83"/>
        <v>1331</v>
      </c>
      <c r="B1415" s="17" t="s">
        <v>2020</v>
      </c>
      <c r="C1415" s="17" t="s">
        <v>2021</v>
      </c>
      <c r="D1415" s="9" t="s">
        <v>25</v>
      </c>
      <c r="E1415" s="20" t="s">
        <v>26</v>
      </c>
      <c r="F1415" s="18">
        <v>1</v>
      </c>
      <c r="G1415" s="19">
        <f>139.04</f>
        <v>139.04</v>
      </c>
      <c r="H1415" s="32">
        <v>1185</v>
      </c>
      <c r="I1415" s="25">
        <f t="shared" si="80"/>
        <v>164762.4</v>
      </c>
      <c r="J1415" s="40"/>
      <c r="K1415" s="39"/>
      <c r="L1415" s="39"/>
      <c r="M1415" s="39"/>
      <c r="N1415" s="23"/>
      <c r="O1415" s="39"/>
      <c r="P1415" s="39"/>
      <c r="Q1415" s="39"/>
      <c r="R1415" s="39"/>
    </row>
    <row r="1416" spans="1:18" s="2" customFormat="1" ht="79.2">
      <c r="A1416" s="20">
        <f t="shared" si="83"/>
        <v>1332</v>
      </c>
      <c r="B1416" s="17" t="s">
        <v>2022</v>
      </c>
      <c r="C1416" s="17" t="s">
        <v>2023</v>
      </c>
      <c r="D1416" s="9" t="s">
        <v>25</v>
      </c>
      <c r="E1416" s="20" t="s">
        <v>26</v>
      </c>
      <c r="F1416" s="18">
        <v>1</v>
      </c>
      <c r="G1416" s="19">
        <f>1.633198857*175.51</f>
        <v>286.64273139207</v>
      </c>
      <c r="H1416" s="32">
        <v>137</v>
      </c>
      <c r="I1416" s="25">
        <f t="shared" si="80"/>
        <v>39270.054200713588</v>
      </c>
      <c r="J1416" s="40"/>
      <c r="K1416" s="39"/>
      <c r="L1416" s="39"/>
      <c r="M1416" s="39"/>
      <c r="N1416" s="23"/>
      <c r="O1416" s="39"/>
      <c r="P1416" s="39"/>
      <c r="Q1416" s="39"/>
      <c r="R1416" s="39"/>
    </row>
    <row r="1417" spans="1:18" s="2" customFormat="1" ht="39.6">
      <c r="A1417" s="20">
        <f t="shared" si="83"/>
        <v>1333</v>
      </c>
      <c r="B1417" s="17" t="s">
        <v>2024</v>
      </c>
      <c r="C1417" s="17" t="s">
        <v>2025</v>
      </c>
      <c r="D1417" s="9" t="s">
        <v>25</v>
      </c>
      <c r="E1417" s="20" t="s">
        <v>26</v>
      </c>
      <c r="F1417" s="18">
        <v>1</v>
      </c>
      <c r="G1417" s="19">
        <f>299.33</f>
        <v>299.33</v>
      </c>
      <c r="H1417" s="32">
        <v>137</v>
      </c>
      <c r="I1417" s="25">
        <f t="shared" si="80"/>
        <v>41008.21</v>
      </c>
      <c r="J1417" s="40"/>
      <c r="K1417" s="39"/>
      <c r="L1417" s="39"/>
      <c r="M1417" s="39"/>
      <c r="N1417" s="23"/>
      <c r="O1417" s="39"/>
      <c r="P1417" s="39"/>
      <c r="Q1417" s="39"/>
      <c r="R1417" s="39"/>
    </row>
    <row r="1418" spans="1:18" s="2" customFormat="1" ht="26.4">
      <c r="A1418" s="20">
        <f t="shared" si="83"/>
        <v>1334</v>
      </c>
      <c r="B1418" s="17" t="s">
        <v>1159</v>
      </c>
      <c r="C1418" s="17" t="s">
        <v>1809</v>
      </c>
      <c r="D1418" s="9" t="s">
        <v>25</v>
      </c>
      <c r="E1418" s="20" t="s">
        <v>26</v>
      </c>
      <c r="F1418" s="18">
        <v>1</v>
      </c>
      <c r="G1418" s="19">
        <f>1.633198857*92.12</f>
        <v>150.45027870684001</v>
      </c>
      <c r="H1418" s="32">
        <f>H1419+H1420+H1421</f>
        <v>2382</v>
      </c>
      <c r="I1418" s="25">
        <f t="shared" si="80"/>
        <v>358372.56387969293</v>
      </c>
      <c r="J1418" s="40"/>
      <c r="K1418" s="39"/>
      <c r="L1418" s="39"/>
      <c r="M1418" s="39"/>
      <c r="N1418" s="23"/>
      <c r="O1418" s="39"/>
      <c r="P1418" s="39"/>
      <c r="Q1418" s="39"/>
      <c r="R1418" s="39"/>
    </row>
    <row r="1419" spans="1:18" s="2" customFormat="1" ht="26.4">
      <c r="A1419" s="20">
        <f t="shared" si="83"/>
        <v>1335</v>
      </c>
      <c r="B1419" s="17" t="s">
        <v>2026</v>
      </c>
      <c r="C1419" s="17" t="s">
        <v>2027</v>
      </c>
      <c r="D1419" s="9" t="s">
        <v>25</v>
      </c>
      <c r="E1419" s="20" t="s">
        <v>26</v>
      </c>
      <c r="F1419" s="18">
        <v>1</v>
      </c>
      <c r="G1419" s="19">
        <f>23.4</f>
        <v>23.4</v>
      </c>
      <c r="H1419" s="32">
        <v>1060</v>
      </c>
      <c r="I1419" s="25">
        <f t="shared" ref="I1419:I1482" si="84">G1419*H1419</f>
        <v>24804</v>
      </c>
      <c r="J1419" s="40"/>
      <c r="K1419" s="39"/>
      <c r="L1419" s="39"/>
      <c r="M1419" s="39"/>
      <c r="N1419" s="23"/>
      <c r="O1419" s="39"/>
      <c r="P1419" s="39"/>
      <c r="Q1419" s="39"/>
      <c r="R1419" s="39"/>
    </row>
    <row r="1420" spans="1:18" s="2" customFormat="1" ht="26.4">
      <c r="A1420" s="20">
        <f t="shared" si="83"/>
        <v>1336</v>
      </c>
      <c r="B1420" s="17" t="s">
        <v>2028</v>
      </c>
      <c r="C1420" s="17" t="s">
        <v>2029</v>
      </c>
      <c r="D1420" s="9" t="s">
        <v>25</v>
      </c>
      <c r="E1420" s="20" t="s">
        <v>26</v>
      </c>
      <c r="F1420" s="18">
        <v>1</v>
      </c>
      <c r="G1420" s="19">
        <f>25.48</f>
        <v>25.48</v>
      </c>
      <c r="H1420" s="32">
        <v>1185</v>
      </c>
      <c r="I1420" s="25">
        <f t="shared" si="84"/>
        <v>30193.8</v>
      </c>
      <c r="J1420" s="40"/>
      <c r="K1420" s="39"/>
      <c r="L1420" s="39"/>
      <c r="M1420" s="39"/>
      <c r="N1420" s="23"/>
      <c r="O1420" s="39"/>
      <c r="P1420" s="39"/>
      <c r="Q1420" s="39"/>
      <c r="R1420" s="39"/>
    </row>
    <row r="1421" spans="1:18" s="2" customFormat="1" ht="26.4">
      <c r="A1421" s="20">
        <f t="shared" si="83"/>
        <v>1337</v>
      </c>
      <c r="B1421" s="17" t="s">
        <v>2030</v>
      </c>
      <c r="C1421" s="17" t="s">
        <v>2031</v>
      </c>
      <c r="D1421" s="9" t="s">
        <v>25</v>
      </c>
      <c r="E1421" s="20" t="s">
        <v>26</v>
      </c>
      <c r="F1421" s="18">
        <v>1</v>
      </c>
      <c r="G1421" s="19">
        <f>28.89</f>
        <v>28.89</v>
      </c>
      <c r="H1421" s="32">
        <v>137</v>
      </c>
      <c r="I1421" s="25">
        <f t="shared" si="84"/>
        <v>3957.9300000000003</v>
      </c>
      <c r="J1421" s="40"/>
      <c r="K1421" s="39"/>
      <c r="L1421" s="39"/>
      <c r="M1421" s="39"/>
      <c r="N1421" s="23"/>
      <c r="O1421" s="39"/>
      <c r="P1421" s="39"/>
      <c r="Q1421" s="39"/>
      <c r="R1421" s="39"/>
    </row>
    <row r="1422" spans="1:18" s="2" customFormat="1" ht="26.4">
      <c r="A1422" s="20">
        <f t="shared" si="83"/>
        <v>1338</v>
      </c>
      <c r="B1422" s="17" t="s">
        <v>1159</v>
      </c>
      <c r="C1422" s="17" t="s">
        <v>1809</v>
      </c>
      <c r="D1422" s="9" t="s">
        <v>25</v>
      </c>
      <c r="E1422" s="20" t="s">
        <v>26</v>
      </c>
      <c r="F1422" s="18">
        <v>1</v>
      </c>
      <c r="G1422" s="19">
        <f>1.633198857*92.12</f>
        <v>150.45027870684001</v>
      </c>
      <c r="H1422" s="32">
        <v>161</v>
      </c>
      <c r="I1422" s="25">
        <f t="shared" si="84"/>
        <v>24222.494871801242</v>
      </c>
      <c r="J1422" s="40"/>
      <c r="K1422" s="39"/>
      <c r="L1422" s="39"/>
      <c r="M1422" s="39"/>
      <c r="N1422" s="23"/>
      <c r="O1422" s="39"/>
      <c r="P1422" s="39"/>
      <c r="Q1422" s="39"/>
      <c r="R1422" s="39"/>
    </row>
    <row r="1423" spans="1:18" s="2" customFormat="1" ht="26.4">
      <c r="A1423" s="20">
        <f t="shared" si="83"/>
        <v>1339</v>
      </c>
      <c r="B1423" s="17" t="s">
        <v>2032</v>
      </c>
      <c r="C1423" s="17" t="s">
        <v>2033</v>
      </c>
      <c r="D1423" s="9" t="s">
        <v>25</v>
      </c>
      <c r="E1423" s="20" t="s">
        <v>26</v>
      </c>
      <c r="F1423" s="18">
        <v>1</v>
      </c>
      <c r="G1423" s="19">
        <f>32.01</f>
        <v>32.01</v>
      </c>
      <c r="H1423" s="32">
        <v>161</v>
      </c>
      <c r="I1423" s="25">
        <f t="shared" si="84"/>
        <v>5153.6099999999997</v>
      </c>
      <c r="J1423" s="40"/>
      <c r="K1423" s="39"/>
      <c r="L1423" s="39"/>
      <c r="M1423" s="39"/>
      <c r="N1423" s="23"/>
      <c r="O1423" s="39"/>
      <c r="P1423" s="39"/>
      <c r="Q1423" s="39"/>
      <c r="R1423" s="39"/>
    </row>
    <row r="1424" spans="1:18" s="2" customFormat="1" ht="26.4">
      <c r="A1424" s="20">
        <f t="shared" si="83"/>
        <v>1340</v>
      </c>
      <c r="B1424" s="17" t="s">
        <v>1159</v>
      </c>
      <c r="C1424" s="17" t="s">
        <v>1809</v>
      </c>
      <c r="D1424" s="9" t="s">
        <v>25</v>
      </c>
      <c r="E1424" s="20" t="s">
        <v>26</v>
      </c>
      <c r="F1424" s="18">
        <v>1</v>
      </c>
      <c r="G1424" s="19">
        <f>1.633198857*92.12</f>
        <v>150.45027870684001</v>
      </c>
      <c r="H1424" s="32">
        <v>64</v>
      </c>
      <c r="I1424" s="25">
        <f t="shared" si="84"/>
        <v>9628.8178372377606</v>
      </c>
      <c r="J1424" s="40"/>
      <c r="K1424" s="39"/>
      <c r="L1424" s="39"/>
      <c r="M1424" s="39"/>
      <c r="N1424" s="23"/>
      <c r="O1424" s="39"/>
      <c r="P1424" s="39"/>
      <c r="Q1424" s="39"/>
      <c r="R1424" s="39"/>
    </row>
    <row r="1425" spans="1:18" s="2" customFormat="1" ht="26.4">
      <c r="A1425" s="20">
        <f t="shared" si="83"/>
        <v>1341</v>
      </c>
      <c r="B1425" s="17" t="s">
        <v>2032</v>
      </c>
      <c r="C1425" s="17" t="s">
        <v>2034</v>
      </c>
      <c r="D1425" s="9" t="s">
        <v>25</v>
      </c>
      <c r="E1425" s="20" t="s">
        <v>26</v>
      </c>
      <c r="F1425" s="18">
        <v>1</v>
      </c>
      <c r="G1425" s="19">
        <f>430.77</f>
        <v>430.77</v>
      </c>
      <c r="H1425" s="32">
        <v>64</v>
      </c>
      <c r="I1425" s="25">
        <f t="shared" si="84"/>
        <v>27569.279999999999</v>
      </c>
      <c r="J1425" s="40"/>
      <c r="K1425" s="39"/>
      <c r="L1425" s="39"/>
      <c r="M1425" s="39"/>
      <c r="N1425" s="23"/>
      <c r="O1425" s="39"/>
      <c r="P1425" s="39"/>
      <c r="Q1425" s="39"/>
      <c r="R1425" s="39"/>
    </row>
    <row r="1426" spans="1:18" s="2" customFormat="1" ht="26.4">
      <c r="A1426" s="20">
        <f t="shared" si="83"/>
        <v>1342</v>
      </c>
      <c r="B1426" s="17" t="s">
        <v>1159</v>
      </c>
      <c r="C1426" s="17" t="s">
        <v>1809</v>
      </c>
      <c r="D1426" s="9" t="s">
        <v>25</v>
      </c>
      <c r="E1426" s="20" t="s">
        <v>26</v>
      </c>
      <c r="F1426" s="18">
        <v>1</v>
      </c>
      <c r="G1426" s="19">
        <f>1.633198857*92.12</f>
        <v>150.45027870684001</v>
      </c>
      <c r="H1426" s="32">
        <v>38</v>
      </c>
      <c r="I1426" s="25">
        <f t="shared" si="84"/>
        <v>5717.1105908599202</v>
      </c>
      <c r="J1426" s="40"/>
      <c r="K1426" s="39"/>
      <c r="L1426" s="39"/>
      <c r="M1426" s="39"/>
      <c r="N1426" s="23"/>
      <c r="O1426" s="39"/>
      <c r="P1426" s="39"/>
      <c r="Q1426" s="39"/>
      <c r="R1426" s="39"/>
    </row>
    <row r="1427" spans="1:18" s="2" customFormat="1" ht="26.4">
      <c r="A1427" s="20">
        <f t="shared" si="83"/>
        <v>1343</v>
      </c>
      <c r="B1427" s="17" t="s">
        <v>2035</v>
      </c>
      <c r="C1427" s="17" t="s">
        <v>2036</v>
      </c>
      <c r="D1427" s="9" t="s">
        <v>25</v>
      </c>
      <c r="E1427" s="20" t="s">
        <v>26</v>
      </c>
      <c r="F1427" s="18">
        <v>1</v>
      </c>
      <c r="G1427" s="19">
        <f>430.75</f>
        <v>430.75</v>
      </c>
      <c r="H1427" s="32">
        <v>38</v>
      </c>
      <c r="I1427" s="25">
        <f t="shared" si="84"/>
        <v>16368.5</v>
      </c>
      <c r="J1427" s="40"/>
      <c r="K1427" s="39"/>
      <c r="L1427" s="39"/>
      <c r="M1427" s="39"/>
      <c r="N1427" s="23"/>
      <c r="O1427" s="39"/>
      <c r="P1427" s="39"/>
      <c r="Q1427" s="39"/>
      <c r="R1427" s="39"/>
    </row>
    <row r="1428" spans="1:18" s="2" customFormat="1" ht="26.4">
      <c r="A1428" s="20">
        <f t="shared" si="83"/>
        <v>1344</v>
      </c>
      <c r="B1428" s="17" t="s">
        <v>1159</v>
      </c>
      <c r="C1428" s="17" t="s">
        <v>1809</v>
      </c>
      <c r="D1428" s="9" t="s">
        <v>25</v>
      </c>
      <c r="E1428" s="20" t="s">
        <v>26</v>
      </c>
      <c r="F1428" s="18">
        <v>1</v>
      </c>
      <c r="G1428" s="19">
        <f>1.633198857*92.12</f>
        <v>150.45027870684001</v>
      </c>
      <c r="H1428" s="32">
        <v>152</v>
      </c>
      <c r="I1428" s="25">
        <f t="shared" si="84"/>
        <v>22868.442363439681</v>
      </c>
      <c r="J1428" s="40"/>
      <c r="K1428" s="39"/>
      <c r="L1428" s="39"/>
      <c r="M1428" s="39"/>
      <c r="N1428" s="23"/>
      <c r="O1428" s="39"/>
      <c r="P1428" s="39"/>
      <c r="Q1428" s="39"/>
      <c r="R1428" s="39"/>
    </row>
    <row r="1429" spans="1:18" s="2" customFormat="1" ht="26.4">
      <c r="A1429" s="20">
        <f t="shared" si="83"/>
        <v>1345</v>
      </c>
      <c r="B1429" s="17" t="s">
        <v>2037</v>
      </c>
      <c r="C1429" s="17" t="s">
        <v>2038</v>
      </c>
      <c r="D1429" s="9" t="s">
        <v>25</v>
      </c>
      <c r="E1429" s="20" t="s">
        <v>26</v>
      </c>
      <c r="F1429" s="18">
        <v>1</v>
      </c>
      <c r="G1429" s="19">
        <f>683.26</f>
        <v>683.26</v>
      </c>
      <c r="H1429" s="32">
        <v>152</v>
      </c>
      <c r="I1429" s="25">
        <f t="shared" si="84"/>
        <v>103855.52</v>
      </c>
      <c r="J1429" s="40"/>
      <c r="K1429" s="39"/>
      <c r="L1429" s="39"/>
      <c r="M1429" s="39"/>
      <c r="N1429" s="23"/>
      <c r="O1429" s="39"/>
      <c r="P1429" s="39"/>
      <c r="Q1429" s="39"/>
      <c r="R1429" s="39"/>
    </row>
    <row r="1430" spans="1:18" s="2" customFormat="1" ht="26.4">
      <c r="A1430" s="20">
        <f t="shared" si="83"/>
        <v>1346</v>
      </c>
      <c r="B1430" s="17" t="s">
        <v>1159</v>
      </c>
      <c r="C1430" s="17" t="s">
        <v>1809</v>
      </c>
      <c r="D1430" s="9" t="s">
        <v>25</v>
      </c>
      <c r="E1430" s="20" t="s">
        <v>26</v>
      </c>
      <c r="F1430" s="18">
        <v>1</v>
      </c>
      <c r="G1430" s="19">
        <f>1.633198857*92.12</f>
        <v>150.45027870684001</v>
      </c>
      <c r="H1430" s="32">
        <v>22</v>
      </c>
      <c r="I1430" s="25">
        <f t="shared" si="84"/>
        <v>3309.90613155048</v>
      </c>
      <c r="J1430" s="40"/>
      <c r="K1430" s="39"/>
      <c r="L1430" s="39"/>
      <c r="M1430" s="39"/>
      <c r="N1430" s="23"/>
      <c r="O1430" s="39"/>
      <c r="P1430" s="39"/>
      <c r="Q1430" s="39"/>
      <c r="R1430" s="39"/>
    </row>
    <row r="1431" spans="1:18" s="2" customFormat="1" ht="26.4">
      <c r="A1431" s="20">
        <f t="shared" si="83"/>
        <v>1347</v>
      </c>
      <c r="B1431" s="17" t="s">
        <v>2039</v>
      </c>
      <c r="C1431" s="17" t="s">
        <v>2040</v>
      </c>
      <c r="D1431" s="9" t="s">
        <v>25</v>
      </c>
      <c r="E1431" s="20" t="s">
        <v>26</v>
      </c>
      <c r="F1431" s="18">
        <v>1</v>
      </c>
      <c r="G1431" s="19">
        <f>430.75</f>
        <v>430.75</v>
      </c>
      <c r="H1431" s="32">
        <v>22</v>
      </c>
      <c r="I1431" s="25">
        <f t="shared" si="84"/>
        <v>9476.5</v>
      </c>
      <c r="J1431" s="40"/>
      <c r="K1431" s="39"/>
      <c r="L1431" s="39"/>
      <c r="M1431" s="39"/>
      <c r="N1431" s="23"/>
      <c r="O1431" s="39"/>
      <c r="P1431" s="39"/>
      <c r="Q1431" s="39"/>
      <c r="R1431" s="39"/>
    </row>
    <row r="1432" spans="1:18" s="2" customFormat="1" ht="26.4">
      <c r="A1432" s="20">
        <f t="shared" si="83"/>
        <v>1348</v>
      </c>
      <c r="B1432" s="17" t="s">
        <v>1159</v>
      </c>
      <c r="C1432" s="17" t="s">
        <v>1809</v>
      </c>
      <c r="D1432" s="9" t="s">
        <v>25</v>
      </c>
      <c r="E1432" s="20" t="s">
        <v>26</v>
      </c>
      <c r="F1432" s="18">
        <v>1</v>
      </c>
      <c r="G1432" s="19">
        <f>1.633198857*92.12</f>
        <v>150.45027870684001</v>
      </c>
      <c r="H1432" s="32">
        <v>18</v>
      </c>
      <c r="I1432" s="25">
        <f t="shared" si="84"/>
        <v>2708.1050167231201</v>
      </c>
      <c r="J1432" s="40"/>
      <c r="K1432" s="39"/>
      <c r="L1432" s="39"/>
      <c r="M1432" s="39"/>
      <c r="N1432" s="23"/>
      <c r="O1432" s="39"/>
      <c r="P1432" s="39"/>
      <c r="Q1432" s="39"/>
      <c r="R1432" s="39"/>
    </row>
    <row r="1433" spans="1:18" s="2" customFormat="1" ht="26.4">
      <c r="A1433" s="20">
        <f t="shared" si="83"/>
        <v>1349</v>
      </c>
      <c r="B1433" s="17" t="s">
        <v>2041</v>
      </c>
      <c r="C1433" s="17" t="s">
        <v>2042</v>
      </c>
      <c r="D1433" s="9" t="s">
        <v>25</v>
      </c>
      <c r="E1433" s="20" t="s">
        <v>26</v>
      </c>
      <c r="F1433" s="18">
        <v>1</v>
      </c>
      <c r="G1433" s="19">
        <v>1032.3399999999999</v>
      </c>
      <c r="H1433" s="32">
        <v>18</v>
      </c>
      <c r="I1433" s="25">
        <f t="shared" si="84"/>
        <v>18582.12</v>
      </c>
      <c r="J1433" s="40"/>
      <c r="K1433" s="39"/>
      <c r="L1433" s="39"/>
      <c r="M1433" s="39"/>
      <c r="N1433" s="23"/>
      <c r="O1433" s="39"/>
      <c r="P1433" s="39"/>
      <c r="Q1433" s="39"/>
      <c r="R1433" s="39"/>
    </row>
    <row r="1434" spans="1:18" s="2" customFormat="1" ht="14.4">
      <c r="A1434" s="20">
        <f t="shared" si="83"/>
        <v>1350</v>
      </c>
      <c r="B1434" s="17" t="s">
        <v>2043</v>
      </c>
      <c r="C1434" s="17" t="s">
        <v>2044</v>
      </c>
      <c r="D1434" s="20" t="s">
        <v>5</v>
      </c>
      <c r="E1434" s="20" t="s">
        <v>6</v>
      </c>
      <c r="F1434" s="18">
        <v>1</v>
      </c>
      <c r="G1434" s="19">
        <v>2003.45</v>
      </c>
      <c r="H1434" s="32">
        <v>10</v>
      </c>
      <c r="I1434" s="25">
        <f t="shared" si="84"/>
        <v>20034.5</v>
      </c>
      <c r="J1434" s="40"/>
      <c r="K1434" s="39"/>
      <c r="L1434" s="39"/>
      <c r="M1434" s="39"/>
      <c r="N1434" s="23"/>
      <c r="O1434" s="39"/>
      <c r="P1434" s="39"/>
      <c r="Q1434" s="39"/>
      <c r="R1434" s="39"/>
    </row>
    <row r="1435" spans="1:18" s="2" customFormat="1" ht="14.4">
      <c r="A1435" s="20">
        <f t="shared" si="83"/>
        <v>1351</v>
      </c>
      <c r="B1435" s="17" t="s">
        <v>2045</v>
      </c>
      <c r="C1435" s="17" t="s">
        <v>2046</v>
      </c>
      <c r="D1435" s="20" t="s">
        <v>5</v>
      </c>
      <c r="E1435" s="20" t="s">
        <v>6</v>
      </c>
      <c r="F1435" s="18">
        <v>1</v>
      </c>
      <c r="G1435" s="19">
        <v>2272.8000000000002</v>
      </c>
      <c r="H1435" s="32">
        <v>8</v>
      </c>
      <c r="I1435" s="25">
        <f t="shared" si="84"/>
        <v>18182.400000000001</v>
      </c>
      <c r="J1435" s="40"/>
      <c r="K1435" s="39"/>
      <c r="L1435" s="39"/>
      <c r="M1435" s="39"/>
      <c r="N1435" s="23"/>
      <c r="O1435" s="39"/>
      <c r="P1435" s="39"/>
      <c r="Q1435" s="39"/>
      <c r="R1435" s="39"/>
    </row>
    <row r="1436" spans="1:18" s="2" customFormat="1" ht="52.8">
      <c r="A1436" s="20">
        <f t="shared" si="83"/>
        <v>1352</v>
      </c>
      <c r="B1436" s="17" t="s">
        <v>2047</v>
      </c>
      <c r="C1436" s="17" t="s">
        <v>1721</v>
      </c>
      <c r="D1436" s="20" t="s">
        <v>5</v>
      </c>
      <c r="E1436" s="20" t="s">
        <v>6</v>
      </c>
      <c r="F1436" s="18">
        <v>1</v>
      </c>
      <c r="G1436" s="19">
        <f>1.633198857*508.89</f>
        <v>831.11856633873003</v>
      </c>
      <c r="H1436" s="32">
        <f>SUM(H1437:H1444)</f>
        <v>270</v>
      </c>
      <c r="I1436" s="25">
        <f t="shared" si="84"/>
        <v>224402.0129114571</v>
      </c>
      <c r="J1436" s="40"/>
      <c r="K1436" s="39"/>
      <c r="L1436" s="39"/>
      <c r="M1436" s="39"/>
      <c r="N1436" s="23"/>
      <c r="O1436" s="39"/>
      <c r="P1436" s="39"/>
      <c r="Q1436" s="39"/>
      <c r="R1436" s="39"/>
    </row>
    <row r="1437" spans="1:18" s="2" customFormat="1" ht="26.4">
      <c r="A1437" s="20">
        <f t="shared" si="83"/>
        <v>1353</v>
      </c>
      <c r="B1437" s="17" t="s">
        <v>2048</v>
      </c>
      <c r="C1437" s="17" t="s">
        <v>2049</v>
      </c>
      <c r="D1437" s="20" t="s">
        <v>5</v>
      </c>
      <c r="E1437" s="20" t="s">
        <v>6</v>
      </c>
      <c r="F1437" s="18">
        <v>1</v>
      </c>
      <c r="G1437" s="19">
        <f>844.8</f>
        <v>844.8</v>
      </c>
      <c r="H1437" s="32">
        <v>3</v>
      </c>
      <c r="I1437" s="25">
        <f t="shared" si="84"/>
        <v>2534.3999999999996</v>
      </c>
      <c r="J1437" s="40"/>
      <c r="K1437" s="39"/>
      <c r="L1437" s="39"/>
      <c r="M1437" s="39"/>
      <c r="N1437" s="23"/>
      <c r="O1437" s="39"/>
      <c r="P1437" s="39"/>
      <c r="Q1437" s="39"/>
      <c r="R1437" s="39"/>
    </row>
    <row r="1438" spans="1:18" s="2" customFormat="1" ht="26.4">
      <c r="A1438" s="20">
        <f t="shared" si="83"/>
        <v>1354</v>
      </c>
      <c r="B1438" s="17" t="s">
        <v>2050</v>
      </c>
      <c r="C1438" s="17" t="s">
        <v>2051</v>
      </c>
      <c r="D1438" s="20" t="s">
        <v>5</v>
      </c>
      <c r="E1438" s="20" t="s">
        <v>6</v>
      </c>
      <c r="F1438" s="18">
        <v>1</v>
      </c>
      <c r="G1438" s="19">
        <v>1503</v>
      </c>
      <c r="H1438" s="32">
        <v>3</v>
      </c>
      <c r="I1438" s="25">
        <f t="shared" si="84"/>
        <v>4509</v>
      </c>
      <c r="J1438" s="40"/>
      <c r="K1438" s="39"/>
      <c r="L1438" s="39"/>
      <c r="M1438" s="39"/>
      <c r="N1438" s="23"/>
      <c r="O1438" s="39"/>
      <c r="P1438" s="39"/>
      <c r="Q1438" s="39"/>
      <c r="R1438" s="39"/>
    </row>
    <row r="1439" spans="1:18" s="2" customFormat="1" ht="26.4">
      <c r="A1439" s="20">
        <f t="shared" si="83"/>
        <v>1355</v>
      </c>
      <c r="B1439" s="17" t="s">
        <v>2052</v>
      </c>
      <c r="C1439" s="17" t="s">
        <v>2053</v>
      </c>
      <c r="D1439" s="20" t="s">
        <v>5</v>
      </c>
      <c r="E1439" s="20" t="s">
        <v>6</v>
      </c>
      <c r="F1439" s="18">
        <v>1</v>
      </c>
      <c r="G1439" s="19">
        <v>547</v>
      </c>
      <c r="H1439" s="32">
        <v>6</v>
      </c>
      <c r="I1439" s="25">
        <f t="shared" si="84"/>
        <v>3282</v>
      </c>
      <c r="J1439" s="40"/>
      <c r="K1439" s="39"/>
      <c r="L1439" s="39"/>
      <c r="M1439" s="39"/>
      <c r="N1439" s="23"/>
      <c r="O1439" s="39"/>
      <c r="P1439" s="39"/>
      <c r="Q1439" s="39"/>
      <c r="R1439" s="39"/>
    </row>
    <row r="1440" spans="1:18" s="2" customFormat="1" ht="26.4">
      <c r="A1440" s="20">
        <f t="shared" si="83"/>
        <v>1356</v>
      </c>
      <c r="B1440" s="17" t="s">
        <v>2054</v>
      </c>
      <c r="C1440" s="17" t="s">
        <v>2055</v>
      </c>
      <c r="D1440" s="20" t="s">
        <v>5</v>
      </c>
      <c r="E1440" s="20" t="s">
        <v>6</v>
      </c>
      <c r="F1440" s="18">
        <v>1</v>
      </c>
      <c r="G1440" s="19">
        <v>1224</v>
      </c>
      <c r="H1440" s="32">
        <v>6</v>
      </c>
      <c r="I1440" s="25">
        <f t="shared" si="84"/>
        <v>7344</v>
      </c>
      <c r="J1440" s="40"/>
      <c r="K1440" s="39"/>
      <c r="L1440" s="39"/>
      <c r="M1440" s="39"/>
      <c r="N1440" s="23"/>
      <c r="O1440" s="39"/>
      <c r="P1440" s="39"/>
      <c r="Q1440" s="39"/>
      <c r="R1440" s="39"/>
    </row>
    <row r="1441" spans="1:18" s="2" customFormat="1" ht="26.4">
      <c r="A1441" s="20">
        <f t="shared" si="83"/>
        <v>1357</v>
      </c>
      <c r="B1441" s="17" t="s">
        <v>2056</v>
      </c>
      <c r="C1441" s="17" t="s">
        <v>2057</v>
      </c>
      <c r="D1441" s="20" t="s">
        <v>5</v>
      </c>
      <c r="E1441" s="20" t="s">
        <v>6</v>
      </c>
      <c r="F1441" s="18">
        <v>1</v>
      </c>
      <c r="G1441" s="19">
        <v>620</v>
      </c>
      <c r="H1441" s="32">
        <v>166</v>
      </c>
      <c r="I1441" s="25">
        <f t="shared" si="84"/>
        <v>102920</v>
      </c>
      <c r="J1441" s="40"/>
      <c r="K1441" s="39"/>
      <c r="L1441" s="39"/>
      <c r="M1441" s="39"/>
      <c r="N1441" s="23"/>
      <c r="O1441" s="39"/>
      <c r="P1441" s="39"/>
      <c r="Q1441" s="39"/>
      <c r="R1441" s="39"/>
    </row>
    <row r="1442" spans="1:18" s="2" customFormat="1" ht="14.4">
      <c r="A1442" s="20">
        <f t="shared" si="83"/>
        <v>1358</v>
      </c>
      <c r="B1442" s="17" t="s">
        <v>2058</v>
      </c>
      <c r="C1442" s="17" t="s">
        <v>2059</v>
      </c>
      <c r="D1442" s="20" t="s">
        <v>5</v>
      </c>
      <c r="E1442" s="20" t="s">
        <v>6</v>
      </c>
      <c r="F1442" s="18">
        <v>1</v>
      </c>
      <c r="G1442" s="19">
        <v>1416</v>
      </c>
      <c r="H1442" s="32">
        <v>41</v>
      </c>
      <c r="I1442" s="25">
        <f t="shared" si="84"/>
        <v>58056</v>
      </c>
      <c r="J1442" s="40"/>
      <c r="K1442" s="39"/>
      <c r="L1442" s="39"/>
      <c r="M1442" s="39"/>
      <c r="N1442" s="23"/>
      <c r="O1442" s="39"/>
      <c r="P1442" s="39"/>
      <c r="Q1442" s="39"/>
      <c r="R1442" s="39"/>
    </row>
    <row r="1443" spans="1:18" s="2" customFormat="1" ht="14.4">
      <c r="A1443" s="20">
        <f t="shared" si="83"/>
        <v>1359</v>
      </c>
      <c r="B1443" s="17" t="s">
        <v>2060</v>
      </c>
      <c r="C1443" s="17" t="s">
        <v>2061</v>
      </c>
      <c r="D1443" s="20" t="s">
        <v>5</v>
      </c>
      <c r="E1443" s="20" t="s">
        <v>6</v>
      </c>
      <c r="F1443" s="18">
        <v>1</v>
      </c>
      <c r="G1443" s="19">
        <v>1596</v>
      </c>
      <c r="H1443" s="32">
        <v>2</v>
      </c>
      <c r="I1443" s="25">
        <f t="shared" si="84"/>
        <v>3192</v>
      </c>
      <c r="J1443" s="40"/>
      <c r="K1443" s="39"/>
      <c r="L1443" s="39"/>
      <c r="M1443" s="39"/>
      <c r="N1443" s="23"/>
      <c r="O1443" s="39"/>
      <c r="P1443" s="39"/>
      <c r="Q1443" s="39"/>
      <c r="R1443" s="39"/>
    </row>
    <row r="1444" spans="1:18" s="2" customFormat="1" ht="26.4">
      <c r="A1444" s="20">
        <f t="shared" si="83"/>
        <v>1360</v>
      </c>
      <c r="B1444" s="17" t="s">
        <v>2062</v>
      </c>
      <c r="C1444" s="17" t="s">
        <v>2063</v>
      </c>
      <c r="D1444" s="20" t="s">
        <v>5</v>
      </c>
      <c r="E1444" s="20" t="s">
        <v>6</v>
      </c>
      <c r="F1444" s="18">
        <v>1</v>
      </c>
      <c r="G1444" s="19">
        <v>579.6</v>
      </c>
      <c r="H1444" s="32">
        <v>43</v>
      </c>
      <c r="I1444" s="25">
        <f t="shared" si="84"/>
        <v>24922.799999999999</v>
      </c>
      <c r="J1444" s="40"/>
      <c r="K1444" s="39"/>
      <c r="L1444" s="39"/>
      <c r="M1444" s="39"/>
      <c r="N1444" s="23"/>
      <c r="O1444" s="39"/>
      <c r="P1444" s="39"/>
      <c r="Q1444" s="39"/>
      <c r="R1444" s="39"/>
    </row>
    <row r="1445" spans="1:18" s="2" customFormat="1" ht="52.8">
      <c r="A1445" s="20">
        <f t="shared" si="83"/>
        <v>1361</v>
      </c>
      <c r="B1445" s="17" t="s">
        <v>2047</v>
      </c>
      <c r="C1445" s="17" t="s">
        <v>1721</v>
      </c>
      <c r="D1445" s="20" t="s">
        <v>5</v>
      </c>
      <c r="E1445" s="20" t="s">
        <v>6</v>
      </c>
      <c r="F1445" s="18">
        <v>1</v>
      </c>
      <c r="G1445" s="19">
        <f>1.633198857*508.89</f>
        <v>831.11856633873003</v>
      </c>
      <c r="H1445" s="32">
        <v>53</v>
      </c>
      <c r="I1445" s="25">
        <f t="shared" si="84"/>
        <v>44049.28401595269</v>
      </c>
      <c r="J1445" s="40"/>
      <c r="K1445" s="39"/>
      <c r="L1445" s="39"/>
      <c r="M1445" s="39"/>
      <c r="N1445" s="23"/>
      <c r="O1445" s="39"/>
      <c r="P1445" s="39"/>
      <c r="Q1445" s="39"/>
      <c r="R1445" s="39"/>
    </row>
    <row r="1446" spans="1:18" s="2" customFormat="1" ht="26.4">
      <c r="A1446" s="20">
        <f t="shared" si="83"/>
        <v>1362</v>
      </c>
      <c r="B1446" s="17" t="s">
        <v>2064</v>
      </c>
      <c r="C1446" s="17" t="s">
        <v>2065</v>
      </c>
      <c r="D1446" s="20" t="s">
        <v>5</v>
      </c>
      <c r="E1446" s="20" t="s">
        <v>6</v>
      </c>
      <c r="F1446" s="18">
        <v>1</v>
      </c>
      <c r="G1446" s="19">
        <v>303.98</v>
      </c>
      <c r="H1446" s="32">
        <v>43</v>
      </c>
      <c r="I1446" s="25">
        <f t="shared" si="84"/>
        <v>13071.140000000001</v>
      </c>
      <c r="J1446" s="40"/>
      <c r="K1446" s="39"/>
      <c r="L1446" s="39"/>
      <c r="M1446" s="39"/>
      <c r="N1446" s="23"/>
      <c r="O1446" s="39"/>
      <c r="P1446" s="39"/>
      <c r="Q1446" s="39"/>
      <c r="R1446" s="39"/>
    </row>
    <row r="1447" spans="1:18" s="2" customFormat="1" ht="14.4">
      <c r="A1447" s="20">
        <f t="shared" si="83"/>
        <v>1363</v>
      </c>
      <c r="B1447" s="17" t="s">
        <v>1752</v>
      </c>
      <c r="C1447" s="17" t="s">
        <v>1753</v>
      </c>
      <c r="D1447" s="20" t="s">
        <v>5</v>
      </c>
      <c r="E1447" s="20" t="s">
        <v>6</v>
      </c>
      <c r="F1447" s="18">
        <v>1</v>
      </c>
      <c r="G1447" s="19">
        <f>1.633198857*65.45</f>
        <v>106.89286519065</v>
      </c>
      <c r="H1447" s="32">
        <v>10</v>
      </c>
      <c r="I1447" s="25">
        <f t="shared" si="84"/>
        <v>1068.9286519064999</v>
      </c>
      <c r="J1447" s="40"/>
      <c r="K1447" s="39"/>
      <c r="L1447" s="39"/>
      <c r="M1447" s="39"/>
      <c r="N1447" s="23"/>
      <c r="O1447" s="39"/>
      <c r="P1447" s="39"/>
      <c r="Q1447" s="39"/>
      <c r="R1447" s="39"/>
    </row>
    <row r="1448" spans="1:18" s="2" customFormat="1" ht="26.4">
      <c r="A1448" s="20">
        <f t="shared" si="83"/>
        <v>1364</v>
      </c>
      <c r="B1448" s="17" t="s">
        <v>2066</v>
      </c>
      <c r="C1448" s="17" t="s">
        <v>2067</v>
      </c>
      <c r="D1448" s="20" t="s">
        <v>5</v>
      </c>
      <c r="E1448" s="20" t="s">
        <v>6</v>
      </c>
      <c r="F1448" s="18">
        <v>1</v>
      </c>
      <c r="G1448" s="19">
        <f>273.6</f>
        <v>273.60000000000002</v>
      </c>
      <c r="H1448" s="32">
        <v>10</v>
      </c>
      <c r="I1448" s="25">
        <f t="shared" si="84"/>
        <v>2736</v>
      </c>
      <c r="J1448" s="40"/>
      <c r="K1448" s="39"/>
      <c r="L1448" s="39"/>
      <c r="M1448" s="39"/>
      <c r="N1448" s="23"/>
      <c r="O1448" s="39"/>
      <c r="P1448" s="39"/>
      <c r="Q1448" s="39"/>
      <c r="R1448" s="39"/>
    </row>
    <row r="1449" spans="1:18" s="2" customFormat="1" ht="26.4">
      <c r="A1449" s="20">
        <f t="shared" si="83"/>
        <v>1365</v>
      </c>
      <c r="B1449" s="17" t="s">
        <v>2068</v>
      </c>
      <c r="C1449" s="17" t="s">
        <v>2069</v>
      </c>
      <c r="D1449" s="20" t="s">
        <v>5</v>
      </c>
      <c r="E1449" s="20" t="s">
        <v>6</v>
      </c>
      <c r="F1449" s="18">
        <v>1</v>
      </c>
      <c r="G1449" s="19">
        <v>252</v>
      </c>
      <c r="H1449" s="32">
        <v>4</v>
      </c>
      <c r="I1449" s="25">
        <f t="shared" si="84"/>
        <v>1008</v>
      </c>
      <c r="J1449" s="40"/>
      <c r="K1449" s="39"/>
      <c r="L1449" s="39"/>
      <c r="M1449" s="39"/>
      <c r="N1449" s="23"/>
      <c r="O1449" s="39"/>
      <c r="P1449" s="39"/>
      <c r="Q1449" s="39"/>
      <c r="R1449" s="39"/>
    </row>
    <row r="1450" spans="1:18" s="2" customFormat="1" ht="26.4">
      <c r="A1450" s="20">
        <f t="shared" si="83"/>
        <v>1366</v>
      </c>
      <c r="B1450" s="17" t="s">
        <v>2070</v>
      </c>
      <c r="C1450" s="17" t="s">
        <v>2071</v>
      </c>
      <c r="D1450" s="20" t="s">
        <v>5</v>
      </c>
      <c r="E1450" s="20" t="s">
        <v>6</v>
      </c>
      <c r="F1450" s="18">
        <v>1</v>
      </c>
      <c r="G1450" s="19">
        <v>252</v>
      </c>
      <c r="H1450" s="32">
        <v>2</v>
      </c>
      <c r="I1450" s="25">
        <f t="shared" si="84"/>
        <v>504</v>
      </c>
      <c r="J1450" s="40"/>
      <c r="K1450" s="39"/>
      <c r="L1450" s="39"/>
      <c r="M1450" s="39"/>
      <c r="N1450" s="23"/>
      <c r="O1450" s="39"/>
      <c r="P1450" s="39"/>
      <c r="Q1450" s="39"/>
      <c r="R1450" s="39"/>
    </row>
    <row r="1451" spans="1:18" s="2" customFormat="1" ht="14.4">
      <c r="A1451" s="20">
        <f t="shared" si="83"/>
        <v>1367</v>
      </c>
      <c r="B1451" s="17" t="s">
        <v>1834</v>
      </c>
      <c r="C1451" s="17" t="s">
        <v>1835</v>
      </c>
      <c r="D1451" s="9" t="s">
        <v>44</v>
      </c>
      <c r="E1451" s="20" t="s">
        <v>45</v>
      </c>
      <c r="F1451" s="18">
        <v>1</v>
      </c>
      <c r="G1451" s="19">
        <v>87.54</v>
      </c>
      <c r="H1451" s="32">
        <v>600</v>
      </c>
      <c r="I1451" s="25">
        <f t="shared" si="84"/>
        <v>52524.000000000007</v>
      </c>
      <c r="J1451" s="40"/>
      <c r="K1451" s="39"/>
      <c r="L1451" s="39"/>
      <c r="M1451" s="39"/>
      <c r="N1451" s="23"/>
      <c r="O1451" s="39"/>
      <c r="P1451" s="39"/>
      <c r="Q1451" s="39"/>
      <c r="R1451" s="39"/>
    </row>
    <row r="1452" spans="1:18" s="2" customFormat="1" ht="26.4">
      <c r="A1452" s="20">
        <f t="shared" si="83"/>
        <v>1368</v>
      </c>
      <c r="B1452" s="17" t="s">
        <v>1836</v>
      </c>
      <c r="C1452" s="17" t="s">
        <v>1837</v>
      </c>
      <c r="D1452" s="9" t="s">
        <v>8</v>
      </c>
      <c r="E1452" s="20" t="s">
        <v>9</v>
      </c>
      <c r="F1452" s="18">
        <v>1</v>
      </c>
      <c r="G1452" s="19">
        <f>1.633198857*20.85</f>
        <v>34.052196168450003</v>
      </c>
      <c r="H1452" s="32">
        <v>19</v>
      </c>
      <c r="I1452" s="25">
        <f t="shared" si="84"/>
        <v>646.99172720055003</v>
      </c>
      <c r="J1452" s="40"/>
      <c r="K1452" s="39"/>
      <c r="L1452" s="39"/>
      <c r="M1452" s="39"/>
      <c r="N1452" s="23"/>
      <c r="O1452" s="39"/>
      <c r="P1452" s="39"/>
      <c r="Q1452" s="39"/>
      <c r="R1452" s="39"/>
    </row>
    <row r="1453" spans="1:18" s="2" customFormat="1" ht="26.4">
      <c r="A1453" s="20">
        <f t="shared" si="83"/>
        <v>1369</v>
      </c>
      <c r="B1453" s="17" t="s">
        <v>1838</v>
      </c>
      <c r="C1453" s="17" t="s">
        <v>1839</v>
      </c>
      <c r="D1453" s="9" t="s">
        <v>8</v>
      </c>
      <c r="E1453" s="20" t="s">
        <v>9</v>
      </c>
      <c r="F1453" s="18">
        <v>1</v>
      </c>
      <c r="G1453" s="19">
        <f>1.633198857*65.11</f>
        <v>106.33757757927</v>
      </c>
      <c r="H1453" s="32">
        <v>19</v>
      </c>
      <c r="I1453" s="25">
        <f t="shared" si="84"/>
        <v>2020.41397400613</v>
      </c>
      <c r="J1453" s="40"/>
      <c r="K1453" s="39"/>
      <c r="L1453" s="39"/>
      <c r="M1453" s="39"/>
      <c r="N1453" s="23"/>
      <c r="O1453" s="39"/>
      <c r="P1453" s="39"/>
      <c r="Q1453" s="39"/>
      <c r="R1453" s="39"/>
    </row>
    <row r="1454" spans="1:18" s="2" customFormat="1" ht="26.4">
      <c r="A1454" s="20">
        <f>A1453+1</f>
        <v>1370</v>
      </c>
      <c r="B1454" s="17" t="s">
        <v>1844</v>
      </c>
      <c r="C1454" s="17" t="s">
        <v>1845</v>
      </c>
      <c r="D1454" s="20" t="s">
        <v>1651</v>
      </c>
      <c r="E1454" s="20" t="s">
        <v>49</v>
      </c>
      <c r="F1454" s="18">
        <v>1</v>
      </c>
      <c r="G1454" s="19">
        <v>172.9</v>
      </c>
      <c r="H1454" s="32">
        <v>1</v>
      </c>
      <c r="I1454" s="25">
        <f t="shared" si="84"/>
        <v>172.9</v>
      </c>
      <c r="J1454" s="40"/>
      <c r="K1454" s="39"/>
      <c r="L1454" s="39"/>
      <c r="M1454" s="39"/>
      <c r="N1454" s="23"/>
      <c r="O1454" s="39"/>
      <c r="P1454" s="39"/>
      <c r="Q1454" s="39"/>
      <c r="R1454" s="39"/>
    </row>
    <row r="1455" spans="1:18" s="2" customFormat="1" ht="14.4">
      <c r="A1455" s="20">
        <f>A1454+1</f>
        <v>1371</v>
      </c>
      <c r="B1455" s="17"/>
      <c r="C1455" s="17" t="s">
        <v>2072</v>
      </c>
      <c r="D1455" s="20" t="s">
        <v>1651</v>
      </c>
      <c r="E1455" s="20" t="s">
        <v>49</v>
      </c>
      <c r="F1455" s="18">
        <v>1</v>
      </c>
      <c r="G1455" s="19">
        <f>9999/1.2</f>
        <v>8332.5</v>
      </c>
      <c r="H1455" s="32">
        <v>1</v>
      </c>
      <c r="I1455" s="25">
        <f t="shared" si="84"/>
        <v>8332.5</v>
      </c>
      <c r="J1455" s="40"/>
      <c r="K1455" s="39"/>
      <c r="L1455" s="39"/>
      <c r="M1455" s="39"/>
      <c r="N1455" s="23"/>
      <c r="O1455" s="39"/>
      <c r="P1455" s="39"/>
      <c r="Q1455" s="39"/>
      <c r="R1455" s="39"/>
    </row>
    <row r="1456" spans="1:18" s="2" customFormat="1" ht="26.4">
      <c r="A1456" s="20">
        <f>A1455+1</f>
        <v>1372</v>
      </c>
      <c r="B1456" s="17" t="s">
        <v>1848</v>
      </c>
      <c r="C1456" s="17" t="s">
        <v>1849</v>
      </c>
      <c r="D1456" s="20" t="s">
        <v>1651</v>
      </c>
      <c r="E1456" s="20" t="s">
        <v>49</v>
      </c>
      <c r="F1456" s="18">
        <v>1</v>
      </c>
      <c r="G1456" s="19">
        <v>234.49</v>
      </c>
      <c r="H1456" s="32">
        <v>1</v>
      </c>
      <c r="I1456" s="25">
        <f t="shared" si="84"/>
        <v>234.49</v>
      </c>
      <c r="J1456" s="40"/>
      <c r="K1456" s="39"/>
      <c r="L1456" s="39"/>
      <c r="M1456" s="39"/>
      <c r="N1456" s="23"/>
      <c r="O1456" s="39"/>
      <c r="P1456" s="39"/>
      <c r="Q1456" s="39"/>
      <c r="R1456" s="39"/>
    </row>
    <row r="1457" spans="1:18" s="2" customFormat="1" ht="14.4">
      <c r="A1457" s="20">
        <f>A1456+1</f>
        <v>1373</v>
      </c>
      <c r="B1457" s="17"/>
      <c r="C1457" s="17" t="s">
        <v>219</v>
      </c>
      <c r="D1457" s="20" t="s">
        <v>48</v>
      </c>
      <c r="E1457" s="20" t="s">
        <v>49</v>
      </c>
      <c r="F1457" s="18">
        <v>1</v>
      </c>
      <c r="G1457" s="19"/>
      <c r="H1457" s="32">
        <v>1</v>
      </c>
      <c r="I1457" s="25">
        <f>SUM(I1383:I1456)*0.05</f>
        <v>187961.93915545501</v>
      </c>
      <c r="J1457" s="40"/>
      <c r="K1457" s="39"/>
      <c r="L1457" s="39"/>
      <c r="M1457" s="39"/>
      <c r="N1457" s="23"/>
      <c r="O1457" s="39"/>
      <c r="P1457" s="39"/>
      <c r="Q1457" s="39"/>
      <c r="R1457" s="39"/>
    </row>
    <row r="1458" spans="1:18" ht="26.4">
      <c r="A1458" s="9" t="s">
        <v>61</v>
      </c>
      <c r="B1458" s="13" t="s">
        <v>2073</v>
      </c>
      <c r="C1458" s="13" t="s">
        <v>2074</v>
      </c>
      <c r="D1458" s="14"/>
      <c r="E1458" s="14"/>
      <c r="F1458" s="18"/>
      <c r="G1458" s="19"/>
      <c r="H1458" s="15"/>
      <c r="I1458" s="25"/>
      <c r="J1458" s="24"/>
      <c r="K1458" s="22"/>
      <c r="L1458" s="22"/>
      <c r="M1458" s="22"/>
      <c r="N1458" s="23"/>
      <c r="O1458" s="22"/>
      <c r="P1458" s="22"/>
      <c r="Q1458" s="22"/>
      <c r="R1458" s="22"/>
    </row>
    <row r="1459" spans="1:18" s="2" customFormat="1" ht="39.6">
      <c r="A1459" s="20">
        <f>A1457+1</f>
        <v>1374</v>
      </c>
      <c r="B1459" s="17" t="s">
        <v>2075</v>
      </c>
      <c r="C1459" s="17" t="s">
        <v>2076</v>
      </c>
      <c r="D1459" s="20" t="s">
        <v>1617</v>
      </c>
      <c r="E1459" s="20" t="s">
        <v>1618</v>
      </c>
      <c r="F1459" s="18">
        <v>1</v>
      </c>
      <c r="G1459" s="19">
        <f>25892.81</f>
        <v>25892.81</v>
      </c>
      <c r="H1459" s="32">
        <v>1</v>
      </c>
      <c r="I1459" s="25">
        <f t="shared" si="84"/>
        <v>25892.81</v>
      </c>
      <c r="J1459" s="40"/>
      <c r="K1459" s="39"/>
      <c r="L1459" s="39"/>
      <c r="M1459" s="39"/>
      <c r="N1459" s="23"/>
      <c r="O1459" s="39"/>
      <c r="P1459" s="39"/>
      <c r="Q1459" s="39"/>
      <c r="R1459" s="39"/>
    </row>
    <row r="1460" spans="1:18" ht="26.4">
      <c r="A1460" s="9" t="s">
        <v>61</v>
      </c>
      <c r="B1460" s="13" t="s">
        <v>2077</v>
      </c>
      <c r="C1460" s="13" t="s">
        <v>2078</v>
      </c>
      <c r="D1460" s="14"/>
      <c r="E1460" s="14"/>
      <c r="F1460" s="18"/>
      <c r="G1460" s="19"/>
      <c r="H1460" s="15"/>
      <c r="I1460" s="25"/>
      <c r="J1460" s="24"/>
      <c r="K1460" s="22"/>
      <c r="L1460" s="22"/>
      <c r="M1460" s="22"/>
      <c r="N1460" s="23"/>
      <c r="O1460" s="22"/>
      <c r="P1460" s="22"/>
      <c r="Q1460" s="22"/>
      <c r="R1460" s="22"/>
    </row>
    <row r="1461" spans="1:18" s="2" customFormat="1" ht="39.6">
      <c r="A1461" s="20">
        <f>A1459+1</f>
        <v>1375</v>
      </c>
      <c r="B1461" s="17" t="s">
        <v>2079</v>
      </c>
      <c r="C1461" s="17" t="s">
        <v>2080</v>
      </c>
      <c r="D1461" s="9" t="s">
        <v>25</v>
      </c>
      <c r="E1461" s="20" t="s">
        <v>26</v>
      </c>
      <c r="F1461" s="18">
        <v>1</v>
      </c>
      <c r="G1461" s="19">
        <f>1.633198857*672.85</f>
        <v>1098.89785093245</v>
      </c>
      <c r="H1461" s="32">
        <v>7.0000000000000007E-2</v>
      </c>
      <c r="I1461" s="25">
        <f t="shared" si="84"/>
        <v>76.922849565271505</v>
      </c>
      <c r="J1461" s="40"/>
      <c r="K1461" s="39"/>
      <c r="L1461" s="39"/>
      <c r="M1461" s="39"/>
      <c r="N1461" s="23"/>
      <c r="O1461" s="39"/>
      <c r="P1461" s="39"/>
      <c r="Q1461" s="39"/>
      <c r="R1461" s="39"/>
    </row>
    <row r="1462" spans="1:18" s="2" customFormat="1" ht="39.6">
      <c r="A1462" s="20">
        <f>A1461+1</f>
        <v>1376</v>
      </c>
      <c r="B1462" s="17" t="s">
        <v>2081</v>
      </c>
      <c r="C1462" s="17" t="s">
        <v>2082</v>
      </c>
      <c r="D1462" s="9" t="s">
        <v>25</v>
      </c>
      <c r="E1462" s="20" t="s">
        <v>26</v>
      </c>
      <c r="F1462" s="18">
        <v>1</v>
      </c>
      <c r="G1462" s="19">
        <f>1.633198857*256.48</f>
        <v>418.88284284336004</v>
      </c>
      <c r="H1462" s="32">
        <v>0.01</v>
      </c>
      <c r="I1462" s="25">
        <f t="shared" si="84"/>
        <v>4.1888284284336006</v>
      </c>
      <c r="J1462" s="40"/>
      <c r="K1462" s="39"/>
      <c r="L1462" s="39"/>
      <c r="M1462" s="39"/>
      <c r="N1462" s="23"/>
      <c r="O1462" s="39"/>
      <c r="P1462" s="39"/>
      <c r="Q1462" s="39"/>
      <c r="R1462" s="39"/>
    </row>
    <row r="1463" spans="1:18" s="2" customFormat="1" ht="79.2">
      <c r="A1463" s="20">
        <f t="shared" ref="A1463:A1494" si="85">A1462+1</f>
        <v>1377</v>
      </c>
      <c r="B1463" s="17" t="s">
        <v>2083</v>
      </c>
      <c r="C1463" s="17" t="s">
        <v>2084</v>
      </c>
      <c r="D1463" s="9" t="s">
        <v>25</v>
      </c>
      <c r="E1463" s="20" t="s">
        <v>26</v>
      </c>
      <c r="F1463" s="18">
        <v>1</v>
      </c>
      <c r="G1463" s="19">
        <f>1.633198857*177.73</f>
        <v>290.26843285461001</v>
      </c>
      <c r="H1463" s="32">
        <v>0.7</v>
      </c>
      <c r="I1463" s="25">
        <f t="shared" si="84"/>
        <v>203.187902998227</v>
      </c>
      <c r="J1463" s="40"/>
      <c r="K1463" s="39"/>
      <c r="L1463" s="39"/>
      <c r="M1463" s="39"/>
      <c r="N1463" s="23"/>
      <c r="O1463" s="39"/>
      <c r="P1463" s="39"/>
      <c r="Q1463" s="39"/>
      <c r="R1463" s="39"/>
    </row>
    <row r="1464" spans="1:18" s="2" customFormat="1" ht="39.6">
      <c r="A1464" s="20">
        <f t="shared" si="85"/>
        <v>1378</v>
      </c>
      <c r="B1464" s="17" t="s">
        <v>2085</v>
      </c>
      <c r="C1464" s="17" t="s">
        <v>2086</v>
      </c>
      <c r="D1464" s="9" t="s">
        <v>25</v>
      </c>
      <c r="E1464" s="20" t="s">
        <v>26</v>
      </c>
      <c r="F1464" s="18">
        <v>1</v>
      </c>
      <c r="G1464" s="19">
        <f>43.96</f>
        <v>43.96</v>
      </c>
      <c r="H1464" s="32">
        <v>7</v>
      </c>
      <c r="I1464" s="25">
        <f t="shared" si="84"/>
        <v>307.72000000000003</v>
      </c>
      <c r="J1464" s="40"/>
      <c r="K1464" s="39"/>
      <c r="L1464" s="39"/>
      <c r="M1464" s="39"/>
      <c r="N1464" s="23"/>
      <c r="O1464" s="39"/>
      <c r="P1464" s="39"/>
      <c r="Q1464" s="39"/>
      <c r="R1464" s="39"/>
    </row>
    <row r="1465" spans="1:18" s="2" customFormat="1" ht="39.6">
      <c r="A1465" s="20">
        <f t="shared" si="85"/>
        <v>1379</v>
      </c>
      <c r="B1465" s="17" t="s">
        <v>2087</v>
      </c>
      <c r="C1465" s="17" t="s">
        <v>2088</v>
      </c>
      <c r="D1465" s="9" t="s">
        <v>25</v>
      </c>
      <c r="E1465" s="20" t="s">
        <v>26</v>
      </c>
      <c r="F1465" s="18">
        <v>1</v>
      </c>
      <c r="G1465" s="19">
        <f>1.633198857*13.42</f>
        <v>21.91752866094</v>
      </c>
      <c r="H1465" s="32">
        <v>0.08</v>
      </c>
      <c r="I1465" s="25">
        <f t="shared" si="84"/>
        <v>1.7534022928752</v>
      </c>
      <c r="J1465" s="40"/>
      <c r="K1465" s="39"/>
      <c r="L1465" s="39"/>
      <c r="M1465" s="39"/>
      <c r="N1465" s="23"/>
      <c r="O1465" s="39"/>
      <c r="P1465" s="39"/>
      <c r="Q1465" s="39"/>
      <c r="R1465" s="39"/>
    </row>
    <row r="1466" spans="1:18" s="2" customFormat="1" ht="52.8">
      <c r="A1466" s="20">
        <f t="shared" si="85"/>
        <v>1380</v>
      </c>
      <c r="B1466" s="17" t="s">
        <v>2047</v>
      </c>
      <c r="C1466" s="17" t="s">
        <v>1749</v>
      </c>
      <c r="D1466" s="20" t="s">
        <v>5</v>
      </c>
      <c r="E1466" s="20" t="s">
        <v>6</v>
      </c>
      <c r="F1466" s="18">
        <v>1</v>
      </c>
      <c r="G1466" s="19">
        <f>1.633198857*559.41</f>
        <v>913.62777259436996</v>
      </c>
      <c r="H1466" s="32">
        <v>11</v>
      </c>
      <c r="I1466" s="25">
        <f t="shared" si="84"/>
        <v>10049.90549853807</v>
      </c>
      <c r="J1466" s="40"/>
      <c r="K1466" s="39"/>
      <c r="L1466" s="39"/>
      <c r="M1466" s="39"/>
      <c r="N1466" s="23"/>
      <c r="O1466" s="39"/>
      <c r="P1466" s="39"/>
      <c r="Q1466" s="39"/>
      <c r="R1466" s="39"/>
    </row>
    <row r="1467" spans="1:18" s="2" customFormat="1" ht="26.4">
      <c r="A1467" s="20">
        <f t="shared" si="85"/>
        <v>1381</v>
      </c>
      <c r="B1467" s="17" t="s">
        <v>2089</v>
      </c>
      <c r="C1467" s="17" t="s">
        <v>2090</v>
      </c>
      <c r="D1467" s="20" t="s">
        <v>5</v>
      </c>
      <c r="E1467" s="20" t="s">
        <v>6</v>
      </c>
      <c r="F1467" s="18">
        <v>1</v>
      </c>
      <c r="G1467" s="19">
        <f>4655.56</f>
        <v>4655.5600000000004</v>
      </c>
      <c r="H1467" s="32">
        <v>2</v>
      </c>
      <c r="I1467" s="25">
        <f t="shared" si="84"/>
        <v>9311.1200000000008</v>
      </c>
      <c r="J1467" s="40"/>
      <c r="K1467" s="39"/>
      <c r="L1467" s="39"/>
      <c r="M1467" s="39"/>
      <c r="N1467" s="23"/>
      <c r="O1467" s="39"/>
      <c r="P1467" s="39"/>
      <c r="Q1467" s="39"/>
      <c r="R1467" s="39"/>
    </row>
    <row r="1468" spans="1:18" s="2" customFormat="1" ht="26.4">
      <c r="A1468" s="20">
        <f t="shared" si="85"/>
        <v>1382</v>
      </c>
      <c r="B1468" s="17" t="s">
        <v>2091</v>
      </c>
      <c r="C1468" s="17" t="s">
        <v>2092</v>
      </c>
      <c r="D1468" s="20" t="s">
        <v>5</v>
      </c>
      <c r="E1468" s="20" t="s">
        <v>6</v>
      </c>
      <c r="F1468" s="18">
        <v>1</v>
      </c>
      <c r="G1468" s="19">
        <f>4053.56</f>
        <v>4053.56</v>
      </c>
      <c r="H1468" s="32">
        <v>5</v>
      </c>
      <c r="I1468" s="25">
        <f t="shared" si="84"/>
        <v>20267.8</v>
      </c>
      <c r="J1468" s="40"/>
      <c r="K1468" s="39"/>
      <c r="L1468" s="39"/>
      <c r="M1468" s="39"/>
      <c r="N1468" s="23"/>
      <c r="O1468" s="39"/>
      <c r="P1468" s="39"/>
      <c r="Q1468" s="39"/>
      <c r="R1468" s="39"/>
    </row>
    <row r="1469" spans="1:18" s="2" customFormat="1" ht="26.4">
      <c r="A1469" s="20">
        <f t="shared" si="85"/>
        <v>1383</v>
      </c>
      <c r="B1469" s="17" t="s">
        <v>2093</v>
      </c>
      <c r="C1469" s="17" t="s">
        <v>2094</v>
      </c>
      <c r="D1469" s="20" t="s">
        <v>5</v>
      </c>
      <c r="E1469" s="20" t="s">
        <v>6</v>
      </c>
      <c r="F1469" s="18">
        <v>1</v>
      </c>
      <c r="G1469" s="19">
        <v>4023.16</v>
      </c>
      <c r="H1469" s="32">
        <v>1</v>
      </c>
      <c r="I1469" s="25">
        <f t="shared" si="84"/>
        <v>4023.16</v>
      </c>
      <c r="J1469" s="40"/>
      <c r="K1469" s="39"/>
      <c r="L1469" s="39"/>
      <c r="M1469" s="39"/>
      <c r="N1469" s="23"/>
      <c r="O1469" s="39"/>
      <c r="P1469" s="39"/>
      <c r="Q1469" s="39"/>
      <c r="R1469" s="39"/>
    </row>
    <row r="1470" spans="1:18" s="2" customFormat="1" ht="26.4">
      <c r="A1470" s="20">
        <f t="shared" si="85"/>
        <v>1384</v>
      </c>
      <c r="B1470" s="17" t="s">
        <v>2095</v>
      </c>
      <c r="C1470" s="17" t="s">
        <v>2096</v>
      </c>
      <c r="D1470" s="20" t="s">
        <v>5</v>
      </c>
      <c r="E1470" s="20" t="s">
        <v>6</v>
      </c>
      <c r="F1470" s="18">
        <v>1</v>
      </c>
      <c r="G1470" s="19">
        <v>1898.5</v>
      </c>
      <c r="H1470" s="32">
        <v>1</v>
      </c>
      <c r="I1470" s="25">
        <f t="shared" si="84"/>
        <v>1898.5</v>
      </c>
      <c r="J1470" s="40"/>
      <c r="K1470" s="39"/>
      <c r="L1470" s="39"/>
      <c r="M1470" s="39"/>
      <c r="N1470" s="23"/>
      <c r="O1470" s="39"/>
      <c r="P1470" s="39"/>
      <c r="Q1470" s="39"/>
      <c r="R1470" s="39"/>
    </row>
    <row r="1471" spans="1:18" s="2" customFormat="1" ht="14.4">
      <c r="A1471" s="20">
        <f t="shared" si="85"/>
        <v>1385</v>
      </c>
      <c r="B1471" s="17" t="s">
        <v>2097</v>
      </c>
      <c r="C1471" s="17" t="s">
        <v>2098</v>
      </c>
      <c r="D1471" s="20" t="s">
        <v>5</v>
      </c>
      <c r="E1471" s="20" t="s">
        <v>6</v>
      </c>
      <c r="F1471" s="18">
        <v>1</v>
      </c>
      <c r="G1471" s="19">
        <v>354.85</v>
      </c>
      <c r="H1471" s="32">
        <v>14</v>
      </c>
      <c r="I1471" s="25">
        <f t="shared" si="84"/>
        <v>4967.9000000000005</v>
      </c>
      <c r="J1471" s="40"/>
      <c r="K1471" s="39"/>
      <c r="L1471" s="39"/>
      <c r="M1471" s="39"/>
      <c r="N1471" s="23"/>
      <c r="O1471" s="39"/>
      <c r="P1471" s="39"/>
      <c r="Q1471" s="39"/>
      <c r="R1471" s="39"/>
    </row>
    <row r="1472" spans="1:18" s="2" customFormat="1" ht="14.4">
      <c r="A1472" s="20">
        <f t="shared" si="85"/>
        <v>1386</v>
      </c>
      <c r="B1472" s="17" t="s">
        <v>2099</v>
      </c>
      <c r="C1472" s="17" t="s">
        <v>2100</v>
      </c>
      <c r="D1472" s="20" t="s">
        <v>5</v>
      </c>
      <c r="E1472" s="20" t="s">
        <v>6</v>
      </c>
      <c r="F1472" s="18">
        <v>1</v>
      </c>
      <c r="G1472" s="19">
        <v>10.54</v>
      </c>
      <c r="H1472" s="32">
        <v>14</v>
      </c>
      <c r="I1472" s="25">
        <f t="shared" si="84"/>
        <v>147.56</v>
      </c>
      <c r="J1472" s="40"/>
      <c r="K1472" s="39"/>
      <c r="L1472" s="39"/>
      <c r="M1472" s="39"/>
      <c r="N1472" s="23"/>
      <c r="O1472" s="39"/>
      <c r="P1472" s="39"/>
      <c r="Q1472" s="39"/>
      <c r="R1472" s="39"/>
    </row>
    <row r="1473" spans="1:18" s="2" customFormat="1" ht="39.6">
      <c r="A1473" s="20">
        <f t="shared" si="85"/>
        <v>1387</v>
      </c>
      <c r="B1473" s="17" t="s">
        <v>2101</v>
      </c>
      <c r="C1473" s="17" t="s">
        <v>2102</v>
      </c>
      <c r="D1473" s="20" t="s">
        <v>5</v>
      </c>
      <c r="E1473" s="20" t="s">
        <v>6</v>
      </c>
      <c r="F1473" s="18">
        <v>1</v>
      </c>
      <c r="G1473" s="19">
        <f>1.633198857*775.87</f>
        <v>1267.1499971805899</v>
      </c>
      <c r="H1473" s="32">
        <v>2</v>
      </c>
      <c r="I1473" s="25">
        <f t="shared" si="84"/>
        <v>2534.2999943611799</v>
      </c>
      <c r="J1473" s="40"/>
      <c r="K1473" s="39"/>
      <c r="L1473" s="39"/>
      <c r="M1473" s="39"/>
      <c r="N1473" s="23"/>
      <c r="O1473" s="39"/>
      <c r="P1473" s="39"/>
      <c r="Q1473" s="39"/>
      <c r="R1473" s="39"/>
    </row>
    <row r="1474" spans="1:18" s="2" customFormat="1" ht="14.4">
      <c r="A1474" s="20">
        <f t="shared" si="85"/>
        <v>1388</v>
      </c>
      <c r="B1474" s="17" t="s">
        <v>2103</v>
      </c>
      <c r="C1474" s="17" t="s">
        <v>2104</v>
      </c>
      <c r="D1474" s="20" t="s">
        <v>5</v>
      </c>
      <c r="E1474" s="20" t="s">
        <v>6</v>
      </c>
      <c r="F1474" s="18">
        <v>1</v>
      </c>
      <c r="G1474" s="19">
        <v>631.27</v>
      </c>
      <c r="H1474" s="32">
        <v>2</v>
      </c>
      <c r="I1474" s="25">
        <f t="shared" si="84"/>
        <v>1262.54</v>
      </c>
      <c r="J1474" s="40"/>
      <c r="K1474" s="39"/>
      <c r="L1474" s="39"/>
      <c r="M1474" s="39"/>
      <c r="N1474" s="23"/>
      <c r="O1474" s="39"/>
      <c r="P1474" s="39"/>
      <c r="Q1474" s="39"/>
      <c r="R1474" s="39"/>
    </row>
    <row r="1475" spans="1:18" s="2" customFormat="1" ht="14.4">
      <c r="A1475" s="20">
        <f t="shared" si="85"/>
        <v>1389</v>
      </c>
      <c r="B1475" s="17" t="s">
        <v>2097</v>
      </c>
      <c r="C1475" s="17" t="s">
        <v>2098</v>
      </c>
      <c r="D1475" s="20" t="s">
        <v>5</v>
      </c>
      <c r="E1475" s="20" t="s">
        <v>6</v>
      </c>
      <c r="F1475" s="18">
        <v>1</v>
      </c>
      <c r="G1475" s="19">
        <v>354.85</v>
      </c>
      <c r="H1475" s="32">
        <v>4</v>
      </c>
      <c r="I1475" s="25">
        <f t="shared" si="84"/>
        <v>1419.4</v>
      </c>
      <c r="J1475" s="40"/>
      <c r="K1475" s="39"/>
      <c r="L1475" s="39"/>
      <c r="M1475" s="39"/>
      <c r="N1475" s="23"/>
      <c r="O1475" s="39"/>
      <c r="P1475" s="39"/>
      <c r="Q1475" s="39"/>
      <c r="R1475" s="39"/>
    </row>
    <row r="1476" spans="1:18" s="2" customFormat="1" ht="14.4">
      <c r="A1476" s="20">
        <f t="shared" si="85"/>
        <v>1390</v>
      </c>
      <c r="B1476" s="17" t="s">
        <v>2099</v>
      </c>
      <c r="C1476" s="17" t="s">
        <v>2100</v>
      </c>
      <c r="D1476" s="20" t="s">
        <v>5</v>
      </c>
      <c r="E1476" s="20" t="s">
        <v>6</v>
      </c>
      <c r="F1476" s="18">
        <v>1</v>
      </c>
      <c r="G1476" s="19">
        <v>10.54</v>
      </c>
      <c r="H1476" s="32">
        <v>4</v>
      </c>
      <c r="I1476" s="25">
        <f t="shared" si="84"/>
        <v>42.16</v>
      </c>
      <c r="J1476" s="40"/>
      <c r="K1476" s="39"/>
      <c r="L1476" s="39"/>
      <c r="M1476" s="39"/>
      <c r="N1476" s="23"/>
      <c r="O1476" s="39"/>
      <c r="P1476" s="39"/>
      <c r="Q1476" s="39"/>
      <c r="R1476" s="39"/>
    </row>
    <row r="1477" spans="1:18" s="2" customFormat="1" ht="52.8">
      <c r="A1477" s="20">
        <f t="shared" si="85"/>
        <v>1391</v>
      </c>
      <c r="B1477" s="17" t="s">
        <v>2047</v>
      </c>
      <c r="C1477" s="17" t="s">
        <v>1721</v>
      </c>
      <c r="D1477" s="20" t="s">
        <v>5</v>
      </c>
      <c r="E1477" s="20" t="s">
        <v>6</v>
      </c>
      <c r="F1477" s="18">
        <v>1</v>
      </c>
      <c r="G1477" s="19">
        <f>1.633198857*508.89</f>
        <v>831.11856633873003</v>
      </c>
      <c r="H1477" s="32">
        <v>7</v>
      </c>
      <c r="I1477" s="25">
        <f t="shared" si="84"/>
        <v>5817.8299643711107</v>
      </c>
      <c r="J1477" s="40"/>
      <c r="K1477" s="39"/>
      <c r="L1477" s="39"/>
      <c r="M1477" s="39"/>
      <c r="N1477" s="23"/>
      <c r="O1477" s="39"/>
      <c r="P1477" s="39"/>
      <c r="Q1477" s="39"/>
      <c r="R1477" s="39"/>
    </row>
    <row r="1478" spans="1:18" s="2" customFormat="1" ht="26.4">
      <c r="A1478" s="20">
        <f t="shared" si="85"/>
        <v>1392</v>
      </c>
      <c r="B1478" s="17" t="s">
        <v>2105</v>
      </c>
      <c r="C1478" s="17" t="s">
        <v>2106</v>
      </c>
      <c r="D1478" s="20" t="s">
        <v>5</v>
      </c>
      <c r="E1478" s="20" t="s">
        <v>6</v>
      </c>
      <c r="F1478" s="18">
        <v>1</v>
      </c>
      <c r="G1478" s="19">
        <v>1269.79</v>
      </c>
      <c r="H1478" s="32">
        <v>3</v>
      </c>
      <c r="I1478" s="25">
        <f t="shared" si="84"/>
        <v>3809.37</v>
      </c>
      <c r="J1478" s="40"/>
      <c r="K1478" s="39"/>
      <c r="L1478" s="39"/>
      <c r="M1478" s="39"/>
      <c r="N1478" s="23"/>
      <c r="O1478" s="39"/>
      <c r="P1478" s="39"/>
      <c r="Q1478" s="39"/>
      <c r="R1478" s="39"/>
    </row>
    <row r="1479" spans="1:18" s="2" customFormat="1" ht="26.4">
      <c r="A1479" s="20">
        <f t="shared" si="85"/>
        <v>1393</v>
      </c>
      <c r="B1479" s="17" t="s">
        <v>2107</v>
      </c>
      <c r="C1479" s="17" t="s">
        <v>2108</v>
      </c>
      <c r="D1479" s="20" t="s">
        <v>5</v>
      </c>
      <c r="E1479" s="20" t="s">
        <v>6</v>
      </c>
      <c r="F1479" s="18">
        <v>1</v>
      </c>
      <c r="G1479" s="19">
        <v>1197.3699999999999</v>
      </c>
      <c r="H1479" s="32">
        <v>2</v>
      </c>
      <c r="I1479" s="25">
        <f t="shared" si="84"/>
        <v>2394.7399999999998</v>
      </c>
      <c r="J1479" s="40"/>
      <c r="K1479" s="39"/>
      <c r="L1479" s="39"/>
      <c r="M1479" s="39"/>
      <c r="N1479" s="23"/>
      <c r="O1479" s="39"/>
      <c r="P1479" s="39"/>
      <c r="Q1479" s="39"/>
      <c r="R1479" s="39"/>
    </row>
    <row r="1480" spans="1:18" s="2" customFormat="1" ht="26.4">
      <c r="A1480" s="20">
        <f t="shared" si="85"/>
        <v>1394</v>
      </c>
      <c r="B1480" s="17" t="s">
        <v>2109</v>
      </c>
      <c r="C1480" s="17" t="s">
        <v>2110</v>
      </c>
      <c r="D1480" s="20" t="s">
        <v>5</v>
      </c>
      <c r="E1480" s="20" t="s">
        <v>6</v>
      </c>
      <c r="F1480" s="18">
        <v>1</v>
      </c>
      <c r="G1480" s="19">
        <v>12820.27</v>
      </c>
      <c r="H1480" s="32">
        <v>1</v>
      </c>
      <c r="I1480" s="25">
        <f t="shared" si="84"/>
        <v>12820.27</v>
      </c>
      <c r="J1480" s="40"/>
      <c r="K1480" s="39"/>
      <c r="L1480" s="39"/>
      <c r="M1480" s="39"/>
      <c r="N1480" s="23"/>
      <c r="O1480" s="39"/>
      <c r="P1480" s="39"/>
      <c r="Q1480" s="39"/>
      <c r="R1480" s="39"/>
    </row>
    <row r="1481" spans="1:18" s="2" customFormat="1" ht="14.4">
      <c r="A1481" s="20">
        <f t="shared" si="85"/>
        <v>1395</v>
      </c>
      <c r="B1481" s="17" t="s">
        <v>2111</v>
      </c>
      <c r="C1481" s="17" t="s">
        <v>2112</v>
      </c>
      <c r="D1481" s="20" t="s">
        <v>5</v>
      </c>
      <c r="E1481" s="20" t="s">
        <v>6</v>
      </c>
      <c r="F1481" s="18">
        <v>1</v>
      </c>
      <c r="G1481" s="19">
        <v>1888.93</v>
      </c>
      <c r="H1481" s="32">
        <v>1</v>
      </c>
      <c r="I1481" s="25">
        <f t="shared" si="84"/>
        <v>1888.93</v>
      </c>
      <c r="J1481" s="40"/>
      <c r="K1481" s="39"/>
      <c r="L1481" s="39"/>
      <c r="M1481" s="39"/>
      <c r="N1481" s="23"/>
      <c r="O1481" s="39"/>
      <c r="P1481" s="39"/>
      <c r="Q1481" s="39"/>
      <c r="R1481" s="39"/>
    </row>
    <row r="1482" spans="1:18" s="2" customFormat="1" ht="26.4">
      <c r="A1482" s="20">
        <f t="shared" si="85"/>
        <v>1396</v>
      </c>
      <c r="B1482" s="17" t="s">
        <v>2113</v>
      </c>
      <c r="C1482" s="17" t="s">
        <v>2114</v>
      </c>
      <c r="D1482" s="20" t="s">
        <v>5</v>
      </c>
      <c r="E1482" s="20" t="s">
        <v>6</v>
      </c>
      <c r="F1482" s="18">
        <v>1</v>
      </c>
      <c r="G1482" s="19">
        <f>1.633198857*4700.18</f>
        <v>7676.3286036942609</v>
      </c>
      <c r="H1482" s="32">
        <v>3</v>
      </c>
      <c r="I1482" s="25">
        <f t="shared" si="84"/>
        <v>23028.985811082784</v>
      </c>
      <c r="J1482" s="40"/>
      <c r="K1482" s="39"/>
      <c r="L1482" s="39"/>
      <c r="M1482" s="39"/>
      <c r="N1482" s="23"/>
      <c r="O1482" s="39"/>
      <c r="P1482" s="39"/>
      <c r="Q1482" s="39"/>
      <c r="R1482" s="39"/>
    </row>
    <row r="1483" spans="1:18" s="2" customFormat="1" ht="26.4">
      <c r="A1483" s="20">
        <f t="shared" si="85"/>
        <v>1397</v>
      </c>
      <c r="B1483" s="17" t="s">
        <v>2115</v>
      </c>
      <c r="C1483" s="17" t="s">
        <v>2116</v>
      </c>
      <c r="D1483" s="20" t="s">
        <v>5</v>
      </c>
      <c r="E1483" s="20" t="s">
        <v>6</v>
      </c>
      <c r="F1483" s="18">
        <v>1</v>
      </c>
      <c r="G1483" s="19">
        <f>2726.35</f>
        <v>2726.35</v>
      </c>
      <c r="H1483" s="32">
        <v>3</v>
      </c>
      <c r="I1483" s="25">
        <f t="shared" ref="I1483:I1546" si="86">G1483*H1483</f>
        <v>8179.0499999999993</v>
      </c>
      <c r="J1483" s="40"/>
      <c r="K1483" s="39"/>
      <c r="L1483" s="39"/>
      <c r="M1483" s="39"/>
      <c r="N1483" s="23"/>
      <c r="O1483" s="39"/>
      <c r="P1483" s="39"/>
      <c r="Q1483" s="39"/>
      <c r="R1483" s="39"/>
    </row>
    <row r="1484" spans="1:18" s="2" customFormat="1" ht="14.4">
      <c r="A1484" s="20">
        <f t="shared" si="85"/>
        <v>1398</v>
      </c>
      <c r="B1484" s="17" t="s">
        <v>2097</v>
      </c>
      <c r="C1484" s="17" t="s">
        <v>2098</v>
      </c>
      <c r="D1484" s="20" t="s">
        <v>5</v>
      </c>
      <c r="E1484" s="20" t="s">
        <v>6</v>
      </c>
      <c r="F1484" s="18">
        <v>1</v>
      </c>
      <c r="G1484" s="19">
        <v>354.85</v>
      </c>
      <c r="H1484" s="32">
        <v>12</v>
      </c>
      <c r="I1484" s="25">
        <f t="shared" si="86"/>
        <v>4258.2000000000007</v>
      </c>
      <c r="J1484" s="40"/>
      <c r="K1484" s="39"/>
      <c r="L1484" s="39"/>
      <c r="M1484" s="39"/>
      <c r="N1484" s="23"/>
      <c r="O1484" s="39"/>
      <c r="P1484" s="39"/>
      <c r="Q1484" s="39"/>
      <c r="R1484" s="39"/>
    </row>
    <row r="1485" spans="1:18" s="2" customFormat="1" ht="14.4">
      <c r="A1485" s="20">
        <f t="shared" si="85"/>
        <v>1399</v>
      </c>
      <c r="B1485" s="17" t="s">
        <v>2099</v>
      </c>
      <c r="C1485" s="17" t="s">
        <v>2100</v>
      </c>
      <c r="D1485" s="20" t="s">
        <v>5</v>
      </c>
      <c r="E1485" s="20" t="s">
        <v>6</v>
      </c>
      <c r="F1485" s="18">
        <v>1</v>
      </c>
      <c r="G1485" s="19">
        <v>10.54</v>
      </c>
      <c r="H1485" s="32">
        <v>12</v>
      </c>
      <c r="I1485" s="25">
        <f t="shared" si="86"/>
        <v>126.47999999999999</v>
      </c>
      <c r="J1485" s="40"/>
      <c r="K1485" s="39"/>
      <c r="L1485" s="39"/>
      <c r="M1485" s="39"/>
      <c r="N1485" s="23"/>
      <c r="O1485" s="39"/>
      <c r="P1485" s="39"/>
      <c r="Q1485" s="39"/>
      <c r="R1485" s="39"/>
    </row>
    <row r="1486" spans="1:18" s="2" customFormat="1" ht="26.4">
      <c r="A1486" s="20">
        <f t="shared" si="85"/>
        <v>1400</v>
      </c>
      <c r="B1486" s="17" t="s">
        <v>2117</v>
      </c>
      <c r="C1486" s="17" t="s">
        <v>2118</v>
      </c>
      <c r="D1486" s="20" t="s">
        <v>5</v>
      </c>
      <c r="E1486" s="20" t="s">
        <v>6</v>
      </c>
      <c r="F1486" s="18">
        <v>1</v>
      </c>
      <c r="G1486" s="19">
        <f>1.633198857*3537.75</f>
        <v>5777.8492563517502</v>
      </c>
      <c r="H1486" s="32">
        <v>1</v>
      </c>
      <c r="I1486" s="25">
        <f t="shared" si="86"/>
        <v>5777.8492563517502</v>
      </c>
      <c r="J1486" s="40"/>
      <c r="K1486" s="39"/>
      <c r="L1486" s="39"/>
      <c r="M1486" s="39"/>
      <c r="N1486" s="23"/>
      <c r="O1486" s="39"/>
      <c r="P1486" s="39"/>
      <c r="Q1486" s="39"/>
      <c r="R1486" s="39"/>
    </row>
    <row r="1487" spans="1:18" s="2" customFormat="1" ht="26.4">
      <c r="A1487" s="20">
        <f t="shared" si="85"/>
        <v>1401</v>
      </c>
      <c r="B1487" s="17" t="s">
        <v>2119</v>
      </c>
      <c r="C1487" s="17" t="s">
        <v>1648</v>
      </c>
      <c r="D1487" s="20" t="s">
        <v>48</v>
      </c>
      <c r="E1487" s="20" t="s">
        <v>49</v>
      </c>
      <c r="F1487" s="18">
        <v>1</v>
      </c>
      <c r="G1487" s="19">
        <f>1.633198857*64.34</f>
        <v>105.08001445938001</v>
      </c>
      <c r="H1487" s="32">
        <v>15</v>
      </c>
      <c r="I1487" s="25">
        <f t="shared" si="86"/>
        <v>1576.2002168907002</v>
      </c>
      <c r="J1487" s="40"/>
      <c r="K1487" s="39"/>
      <c r="L1487" s="39"/>
      <c r="M1487" s="39"/>
      <c r="N1487" s="23"/>
      <c r="O1487" s="39"/>
      <c r="P1487" s="39"/>
      <c r="Q1487" s="39"/>
      <c r="R1487" s="39"/>
    </row>
    <row r="1488" spans="1:18" s="2" customFormat="1" ht="14.4">
      <c r="A1488" s="20">
        <f t="shared" si="85"/>
        <v>1402</v>
      </c>
      <c r="B1488" s="17" t="s">
        <v>2120</v>
      </c>
      <c r="C1488" s="17" t="s">
        <v>2121</v>
      </c>
      <c r="D1488" s="20" t="s">
        <v>5</v>
      </c>
      <c r="E1488" s="20" t="s">
        <v>6</v>
      </c>
      <c r="F1488" s="18">
        <v>1</v>
      </c>
      <c r="G1488" s="19">
        <v>301.81</v>
      </c>
      <c r="H1488" s="32">
        <v>15</v>
      </c>
      <c r="I1488" s="25">
        <f t="shared" si="86"/>
        <v>4527.1499999999996</v>
      </c>
      <c r="J1488" s="40"/>
      <c r="K1488" s="39"/>
      <c r="L1488" s="39"/>
      <c r="M1488" s="39"/>
      <c r="N1488" s="23"/>
      <c r="O1488" s="39"/>
      <c r="P1488" s="39"/>
      <c r="Q1488" s="39"/>
      <c r="R1488" s="39"/>
    </row>
    <row r="1489" spans="1:18" s="2" customFormat="1" ht="26.4">
      <c r="A1489" s="20">
        <f t="shared" si="85"/>
        <v>1403</v>
      </c>
      <c r="B1489" s="17" t="s">
        <v>2122</v>
      </c>
      <c r="C1489" s="17" t="s">
        <v>2123</v>
      </c>
      <c r="D1489" s="20" t="s">
        <v>48</v>
      </c>
      <c r="E1489" s="20" t="s">
        <v>49</v>
      </c>
      <c r="F1489" s="18">
        <v>1</v>
      </c>
      <c r="G1489" s="19">
        <f>1.633198857*66.1</f>
        <v>107.95444444769998</v>
      </c>
      <c r="H1489" s="32">
        <v>4</v>
      </c>
      <c r="I1489" s="25">
        <f t="shared" si="86"/>
        <v>431.81777779079994</v>
      </c>
      <c r="J1489" s="40"/>
      <c r="K1489" s="39"/>
      <c r="L1489" s="39"/>
      <c r="M1489" s="39"/>
      <c r="N1489" s="23"/>
      <c r="O1489" s="39"/>
      <c r="P1489" s="39"/>
      <c r="Q1489" s="39"/>
      <c r="R1489" s="39"/>
    </row>
    <row r="1490" spans="1:18" s="2" customFormat="1" ht="14.4">
      <c r="A1490" s="20">
        <f t="shared" si="85"/>
        <v>1404</v>
      </c>
      <c r="B1490" s="17" t="s">
        <v>2124</v>
      </c>
      <c r="C1490" s="17" t="s">
        <v>2125</v>
      </c>
      <c r="D1490" s="20" t="s">
        <v>48</v>
      </c>
      <c r="E1490" s="20" t="s">
        <v>49</v>
      </c>
      <c r="F1490" s="18">
        <v>1</v>
      </c>
      <c r="G1490" s="19">
        <f>1.633198857*28.3</f>
        <v>46.219527653100002</v>
      </c>
      <c r="H1490" s="32">
        <v>2</v>
      </c>
      <c r="I1490" s="25">
        <f t="shared" si="86"/>
        <v>92.439055306200004</v>
      </c>
      <c r="J1490" s="40"/>
      <c r="K1490" s="39"/>
      <c r="L1490" s="39"/>
      <c r="M1490" s="39"/>
      <c r="N1490" s="23"/>
      <c r="O1490" s="39"/>
      <c r="P1490" s="39"/>
      <c r="Q1490" s="39"/>
      <c r="R1490" s="39"/>
    </row>
    <row r="1491" spans="1:18" s="2" customFormat="1" ht="14.4">
      <c r="A1491" s="20">
        <f t="shared" si="85"/>
        <v>1405</v>
      </c>
      <c r="B1491" s="17" t="s">
        <v>2126</v>
      </c>
      <c r="C1491" s="17" t="s">
        <v>2127</v>
      </c>
      <c r="D1491" s="20" t="s">
        <v>5</v>
      </c>
      <c r="E1491" s="20" t="s">
        <v>6</v>
      </c>
      <c r="F1491" s="18">
        <v>1</v>
      </c>
      <c r="G1491" s="19">
        <f>569.82</f>
        <v>569.82000000000005</v>
      </c>
      <c r="H1491" s="32">
        <v>2</v>
      </c>
      <c r="I1491" s="25">
        <f t="shared" si="86"/>
        <v>1139.6400000000001</v>
      </c>
      <c r="J1491" s="40"/>
      <c r="K1491" s="39"/>
      <c r="L1491" s="39"/>
      <c r="M1491" s="39"/>
      <c r="N1491" s="23"/>
      <c r="O1491" s="39"/>
      <c r="P1491" s="39"/>
      <c r="Q1491" s="39"/>
      <c r="R1491" s="39"/>
    </row>
    <row r="1492" spans="1:18" s="2" customFormat="1" ht="14.4">
      <c r="A1492" s="20">
        <f t="shared" si="85"/>
        <v>1406</v>
      </c>
      <c r="B1492" s="17" t="s">
        <v>2128</v>
      </c>
      <c r="C1492" s="17" t="s">
        <v>2129</v>
      </c>
      <c r="D1492" s="20" t="s">
        <v>48</v>
      </c>
      <c r="E1492" s="20" t="s">
        <v>49</v>
      </c>
      <c r="F1492" s="18">
        <v>1</v>
      </c>
      <c r="G1492" s="19">
        <f>1.633198857*236.93</f>
        <v>386.95380518900998</v>
      </c>
      <c r="H1492" s="32">
        <v>1</v>
      </c>
      <c r="I1492" s="25">
        <f t="shared" si="86"/>
        <v>386.95380518900998</v>
      </c>
      <c r="J1492" s="40"/>
      <c r="K1492" s="39"/>
      <c r="L1492" s="39"/>
      <c r="M1492" s="39"/>
      <c r="N1492" s="23"/>
      <c r="O1492" s="39"/>
      <c r="P1492" s="39"/>
      <c r="Q1492" s="39"/>
      <c r="R1492" s="39"/>
    </row>
    <row r="1493" spans="1:18" s="2" customFormat="1" ht="39.6">
      <c r="A1493" s="20">
        <f t="shared" si="85"/>
        <v>1407</v>
      </c>
      <c r="B1493" s="17" t="s">
        <v>2130</v>
      </c>
      <c r="C1493" s="17" t="s">
        <v>2131</v>
      </c>
      <c r="D1493" s="20" t="s">
        <v>5</v>
      </c>
      <c r="E1493" s="20" t="s">
        <v>6</v>
      </c>
      <c r="F1493" s="18">
        <v>1</v>
      </c>
      <c r="G1493" s="19">
        <f>1146.03</f>
        <v>1146.03</v>
      </c>
      <c r="H1493" s="32">
        <v>2</v>
      </c>
      <c r="I1493" s="25">
        <f t="shared" si="86"/>
        <v>2292.06</v>
      </c>
      <c r="J1493" s="40"/>
      <c r="K1493" s="39"/>
      <c r="L1493" s="39"/>
      <c r="M1493" s="39"/>
      <c r="N1493" s="23"/>
      <c r="O1493" s="39"/>
      <c r="P1493" s="39"/>
      <c r="Q1493" s="39"/>
      <c r="R1493" s="39"/>
    </row>
    <row r="1494" spans="1:18" s="2" customFormat="1" ht="14.4">
      <c r="A1494" s="20">
        <f t="shared" si="85"/>
        <v>1408</v>
      </c>
      <c r="B1494" s="17"/>
      <c r="C1494" s="17" t="s">
        <v>219</v>
      </c>
      <c r="D1494" s="20" t="s">
        <v>48</v>
      </c>
      <c r="E1494" s="20" t="s">
        <v>49</v>
      </c>
      <c r="F1494" s="18">
        <v>1</v>
      </c>
      <c r="G1494" s="19"/>
      <c r="H1494" s="32">
        <v>1</v>
      </c>
      <c r="I1494" s="25">
        <f>SUM(I1459:I1493)*0.05</f>
        <v>8047.94471815832</v>
      </c>
      <c r="J1494" s="40"/>
      <c r="K1494" s="39"/>
      <c r="L1494" s="39"/>
      <c r="M1494" s="39"/>
      <c r="N1494" s="23"/>
      <c r="O1494" s="39"/>
      <c r="P1494" s="39"/>
      <c r="Q1494" s="39"/>
      <c r="R1494" s="39"/>
    </row>
    <row r="1495" spans="1:18" ht="39.6">
      <c r="A1495" s="9" t="s">
        <v>61</v>
      </c>
      <c r="B1495" s="13" t="s">
        <v>2132</v>
      </c>
      <c r="C1495" s="13" t="s">
        <v>2133</v>
      </c>
      <c r="D1495" s="14"/>
      <c r="E1495" s="14"/>
      <c r="F1495" s="18"/>
      <c r="G1495" s="19"/>
      <c r="H1495" s="15"/>
      <c r="I1495" s="25"/>
      <c r="J1495" s="24"/>
      <c r="K1495" s="22"/>
      <c r="L1495" s="22"/>
      <c r="M1495" s="22"/>
      <c r="N1495" s="23"/>
      <c r="O1495" s="22"/>
      <c r="P1495" s="22"/>
      <c r="Q1495" s="22"/>
      <c r="R1495" s="22"/>
    </row>
    <row r="1496" spans="1:18" s="2" customFormat="1" ht="39.6">
      <c r="A1496" s="20">
        <f>A1494+1</f>
        <v>1409</v>
      </c>
      <c r="B1496" s="17" t="s">
        <v>2134</v>
      </c>
      <c r="C1496" s="17" t="s">
        <v>2135</v>
      </c>
      <c r="D1496" s="20" t="s">
        <v>5</v>
      </c>
      <c r="E1496" s="20" t="s">
        <v>6</v>
      </c>
      <c r="F1496" s="18">
        <v>1</v>
      </c>
      <c r="G1496" s="19">
        <v>45110</v>
      </c>
      <c r="H1496" s="32">
        <v>1</v>
      </c>
      <c r="I1496" s="25">
        <f t="shared" si="86"/>
        <v>45110</v>
      </c>
      <c r="J1496" s="40"/>
      <c r="K1496" s="39"/>
      <c r="L1496" s="39"/>
      <c r="M1496" s="39"/>
      <c r="N1496" s="23"/>
      <c r="O1496" s="39"/>
      <c r="P1496" s="39"/>
      <c r="Q1496" s="39"/>
      <c r="R1496" s="39"/>
    </row>
    <row r="1497" spans="1:18" s="2" customFormat="1" ht="14.4">
      <c r="A1497" s="20">
        <f t="shared" ref="A1497:A1502" si="87">A1496+1</f>
        <v>1410</v>
      </c>
      <c r="B1497" s="17" t="s">
        <v>2136</v>
      </c>
      <c r="C1497" s="17" t="s">
        <v>2137</v>
      </c>
      <c r="D1497" s="20" t="s">
        <v>5</v>
      </c>
      <c r="E1497" s="20" t="s">
        <v>6</v>
      </c>
      <c r="F1497" s="18">
        <v>1</v>
      </c>
      <c r="G1497" s="19">
        <v>1635</v>
      </c>
      <c r="H1497" s="32">
        <v>4</v>
      </c>
      <c r="I1497" s="25">
        <f t="shared" si="86"/>
        <v>6540</v>
      </c>
      <c r="J1497" s="40"/>
      <c r="K1497" s="39"/>
      <c r="L1497" s="39"/>
      <c r="M1497" s="39"/>
      <c r="N1497" s="23"/>
      <c r="O1497" s="39"/>
      <c r="P1497" s="39"/>
      <c r="Q1497" s="39"/>
      <c r="R1497" s="39"/>
    </row>
    <row r="1498" spans="1:18" s="2" customFormat="1" ht="14.4">
      <c r="A1498" s="20">
        <f t="shared" si="87"/>
        <v>1411</v>
      </c>
      <c r="B1498" s="17" t="s">
        <v>2138</v>
      </c>
      <c r="C1498" s="17" t="s">
        <v>2139</v>
      </c>
      <c r="D1498" s="20" t="s">
        <v>5</v>
      </c>
      <c r="E1498" s="20" t="s">
        <v>6</v>
      </c>
      <c r="F1498" s="18">
        <v>1</v>
      </c>
      <c r="G1498" s="19">
        <v>390</v>
      </c>
      <c r="H1498" s="32">
        <v>15</v>
      </c>
      <c r="I1498" s="25">
        <f t="shared" si="86"/>
        <v>5850</v>
      </c>
      <c r="J1498" s="40"/>
      <c r="K1498" s="39"/>
      <c r="L1498" s="39"/>
      <c r="M1498" s="39"/>
      <c r="N1498" s="23"/>
      <c r="O1498" s="39"/>
      <c r="P1498" s="39"/>
      <c r="Q1498" s="39"/>
      <c r="R1498" s="39"/>
    </row>
    <row r="1499" spans="1:18" s="2" customFormat="1" ht="14.4">
      <c r="A1499" s="20">
        <f t="shared" si="87"/>
        <v>1412</v>
      </c>
      <c r="B1499" s="17" t="s">
        <v>2140</v>
      </c>
      <c r="C1499" s="17" t="s">
        <v>2141</v>
      </c>
      <c r="D1499" s="20" t="s">
        <v>5</v>
      </c>
      <c r="E1499" s="20" t="s">
        <v>6</v>
      </c>
      <c r="F1499" s="18">
        <v>1</v>
      </c>
      <c r="G1499" s="19">
        <v>31421.1</v>
      </c>
      <c r="H1499" s="32">
        <v>1</v>
      </c>
      <c r="I1499" s="25">
        <f t="shared" si="86"/>
        <v>31421.1</v>
      </c>
      <c r="J1499" s="40"/>
      <c r="K1499" s="39"/>
      <c r="L1499" s="39"/>
      <c r="M1499" s="39"/>
      <c r="N1499" s="23"/>
      <c r="O1499" s="39"/>
      <c r="P1499" s="39"/>
      <c r="Q1499" s="39"/>
      <c r="R1499" s="39"/>
    </row>
    <row r="1500" spans="1:18" s="2" customFormat="1" ht="14.4">
      <c r="A1500" s="20">
        <f t="shared" si="87"/>
        <v>1413</v>
      </c>
      <c r="B1500" s="17" t="s">
        <v>2142</v>
      </c>
      <c r="C1500" s="17" t="s">
        <v>2143</v>
      </c>
      <c r="D1500" s="20" t="s">
        <v>5</v>
      </c>
      <c r="E1500" s="20" t="s">
        <v>6</v>
      </c>
      <c r="F1500" s="18">
        <v>1</v>
      </c>
      <c r="G1500" s="19">
        <v>8430</v>
      </c>
      <c r="H1500" s="32">
        <v>1</v>
      </c>
      <c r="I1500" s="25">
        <f t="shared" si="86"/>
        <v>8430</v>
      </c>
      <c r="J1500" s="40"/>
      <c r="K1500" s="39"/>
      <c r="L1500" s="39"/>
      <c r="M1500" s="39"/>
      <c r="N1500" s="23"/>
      <c r="O1500" s="39"/>
      <c r="P1500" s="39"/>
      <c r="Q1500" s="39"/>
      <c r="R1500" s="39"/>
    </row>
    <row r="1501" spans="1:18" s="2" customFormat="1" ht="14.4">
      <c r="A1501" s="20">
        <f t="shared" si="87"/>
        <v>1414</v>
      </c>
      <c r="B1501" s="17" t="s">
        <v>2144</v>
      </c>
      <c r="C1501" s="17" t="s">
        <v>2145</v>
      </c>
      <c r="D1501" s="20" t="s">
        <v>5</v>
      </c>
      <c r="E1501" s="20" t="s">
        <v>6</v>
      </c>
      <c r="F1501" s="18">
        <v>1</v>
      </c>
      <c r="G1501" s="19">
        <v>2420</v>
      </c>
      <c r="H1501" s="32">
        <v>1</v>
      </c>
      <c r="I1501" s="25">
        <f t="shared" si="86"/>
        <v>2420</v>
      </c>
      <c r="J1501" s="40"/>
      <c r="K1501" s="39"/>
      <c r="L1501" s="39"/>
      <c r="M1501" s="39"/>
      <c r="N1501" s="23"/>
      <c r="O1501" s="39"/>
      <c r="P1501" s="39"/>
      <c r="Q1501" s="39"/>
      <c r="R1501" s="39"/>
    </row>
    <row r="1502" spans="1:18" s="2" customFormat="1" ht="14.4">
      <c r="A1502" s="20">
        <f t="shared" si="87"/>
        <v>1415</v>
      </c>
      <c r="B1502" s="17" t="s">
        <v>2146</v>
      </c>
      <c r="C1502" s="17" t="s">
        <v>2147</v>
      </c>
      <c r="D1502" s="20" t="s">
        <v>5</v>
      </c>
      <c r="E1502" s="20" t="s">
        <v>6</v>
      </c>
      <c r="F1502" s="18">
        <v>1</v>
      </c>
      <c r="G1502" s="19">
        <v>2420</v>
      </c>
      <c r="H1502" s="32">
        <v>1</v>
      </c>
      <c r="I1502" s="25">
        <f t="shared" si="86"/>
        <v>2420</v>
      </c>
      <c r="J1502" s="40"/>
      <c r="K1502" s="39"/>
      <c r="L1502" s="39"/>
      <c r="M1502" s="39"/>
      <c r="N1502" s="23"/>
      <c r="O1502" s="39"/>
      <c r="P1502" s="39"/>
      <c r="Q1502" s="39"/>
      <c r="R1502" s="39"/>
    </row>
    <row r="1503" spans="1:18" ht="39.6">
      <c r="A1503" s="9" t="s">
        <v>61</v>
      </c>
      <c r="B1503" s="13" t="s">
        <v>2148</v>
      </c>
      <c r="C1503" s="13" t="s">
        <v>2149</v>
      </c>
      <c r="D1503" s="14"/>
      <c r="E1503" s="14"/>
      <c r="F1503" s="18"/>
      <c r="G1503" s="19"/>
      <c r="H1503" s="15"/>
      <c r="I1503" s="25"/>
      <c r="J1503" s="24"/>
      <c r="K1503" s="22"/>
      <c r="L1503" s="22"/>
      <c r="M1503" s="22"/>
      <c r="N1503" s="23"/>
      <c r="O1503" s="22"/>
      <c r="P1503" s="22"/>
      <c r="Q1503" s="22"/>
      <c r="R1503" s="22"/>
    </row>
    <row r="1504" spans="1:18" s="2" customFormat="1" ht="39.6">
      <c r="A1504" s="20">
        <f>A1502+1</f>
        <v>1416</v>
      </c>
      <c r="B1504" s="17" t="s">
        <v>2075</v>
      </c>
      <c r="C1504" s="17" t="s">
        <v>2076</v>
      </c>
      <c r="D1504" s="20" t="s">
        <v>1617</v>
      </c>
      <c r="E1504" s="20" t="s">
        <v>1618</v>
      </c>
      <c r="F1504" s="18">
        <v>1</v>
      </c>
      <c r="G1504" s="19">
        <f>32366.01</f>
        <v>32366.01</v>
      </c>
      <c r="H1504" s="32">
        <v>1</v>
      </c>
      <c r="I1504" s="25">
        <f t="shared" si="86"/>
        <v>32366.01</v>
      </c>
      <c r="J1504" s="40"/>
      <c r="K1504" s="39"/>
      <c r="L1504" s="39"/>
      <c r="M1504" s="39"/>
      <c r="N1504" s="23"/>
      <c r="O1504" s="39"/>
      <c r="P1504" s="39"/>
      <c r="Q1504" s="39"/>
      <c r="R1504" s="39"/>
    </row>
    <row r="1505" spans="1:18" s="2" customFormat="1" ht="52.8">
      <c r="A1505" s="20">
        <f>A1504+1</f>
        <v>1417</v>
      </c>
      <c r="B1505" s="17" t="s">
        <v>2150</v>
      </c>
      <c r="C1505" s="17" t="s">
        <v>2151</v>
      </c>
      <c r="D1505" s="20" t="s">
        <v>2152</v>
      </c>
      <c r="E1505" s="20" t="s">
        <v>2153</v>
      </c>
      <c r="F1505" s="18">
        <v>1</v>
      </c>
      <c r="G1505" s="19">
        <v>17143.64</v>
      </c>
      <c r="H1505" s="32">
        <v>1</v>
      </c>
      <c r="I1505" s="25">
        <f t="shared" si="86"/>
        <v>17143.64</v>
      </c>
      <c r="J1505" s="40"/>
      <c r="K1505" s="39"/>
      <c r="L1505" s="39"/>
      <c r="M1505" s="39"/>
      <c r="N1505" s="23"/>
      <c r="O1505" s="39"/>
      <c r="P1505" s="39"/>
      <c r="Q1505" s="39"/>
      <c r="R1505" s="39"/>
    </row>
    <row r="1506" spans="1:18" ht="26.4">
      <c r="A1506" s="9" t="s">
        <v>61</v>
      </c>
      <c r="B1506" s="13" t="s">
        <v>2154</v>
      </c>
      <c r="C1506" s="13" t="s">
        <v>2155</v>
      </c>
      <c r="D1506" s="14"/>
      <c r="E1506" s="14"/>
      <c r="F1506" s="18"/>
      <c r="G1506" s="19"/>
      <c r="H1506" s="15"/>
      <c r="I1506" s="25"/>
      <c r="J1506" s="24"/>
      <c r="K1506" s="22"/>
      <c r="L1506" s="22"/>
      <c r="M1506" s="22"/>
      <c r="N1506" s="23"/>
      <c r="O1506" s="22"/>
      <c r="P1506" s="22"/>
      <c r="Q1506" s="22"/>
      <c r="R1506" s="22"/>
    </row>
    <row r="1507" spans="1:18" ht="14.4">
      <c r="A1507" s="9" t="s">
        <v>61</v>
      </c>
      <c r="B1507" s="13" t="s">
        <v>2156</v>
      </c>
      <c r="C1507" s="13" t="s">
        <v>2157</v>
      </c>
      <c r="D1507" s="14"/>
      <c r="E1507" s="14"/>
      <c r="F1507" s="18"/>
      <c r="G1507" s="19"/>
      <c r="H1507" s="15"/>
      <c r="I1507" s="25"/>
      <c r="J1507" s="24"/>
      <c r="K1507" s="22"/>
      <c r="L1507" s="22"/>
      <c r="M1507" s="22"/>
      <c r="N1507" s="23"/>
      <c r="O1507" s="22"/>
      <c r="P1507" s="22"/>
      <c r="Q1507" s="22"/>
      <c r="R1507" s="22"/>
    </row>
    <row r="1508" spans="1:18" ht="26.4">
      <c r="A1508" s="9" t="s">
        <v>61</v>
      </c>
      <c r="B1508" s="13" t="s">
        <v>2158</v>
      </c>
      <c r="C1508" s="13" t="s">
        <v>2159</v>
      </c>
      <c r="D1508" s="14"/>
      <c r="E1508" s="14"/>
      <c r="F1508" s="18"/>
      <c r="G1508" s="19"/>
      <c r="H1508" s="15"/>
      <c r="I1508" s="25"/>
      <c r="J1508" s="24"/>
      <c r="K1508" s="22"/>
      <c r="L1508" s="22"/>
      <c r="M1508" s="22"/>
      <c r="N1508" s="23"/>
      <c r="O1508" s="22"/>
      <c r="P1508" s="22"/>
      <c r="Q1508" s="22"/>
      <c r="R1508" s="22"/>
    </row>
    <row r="1509" spans="1:18" s="2" customFormat="1" ht="26.4">
      <c r="A1509" s="20">
        <f>A1505+1</f>
        <v>1418</v>
      </c>
      <c r="B1509" s="17" t="s">
        <v>178</v>
      </c>
      <c r="C1509" s="17" t="s">
        <v>179</v>
      </c>
      <c r="D1509" s="20" t="s">
        <v>17</v>
      </c>
      <c r="E1509" s="20" t="s">
        <v>14</v>
      </c>
      <c r="F1509" s="18">
        <v>1</v>
      </c>
      <c r="G1509" s="19">
        <f>1.633198857*464.97</f>
        <v>759.38847253929009</v>
      </c>
      <c r="H1509" s="32">
        <v>1.2</v>
      </c>
      <c r="I1509" s="25">
        <f t="shared" si="86"/>
        <v>911.26616704714809</v>
      </c>
      <c r="J1509" s="40"/>
      <c r="K1509" s="39"/>
      <c r="L1509" s="39"/>
      <c r="M1509" s="39"/>
      <c r="N1509" s="23"/>
      <c r="O1509" s="39"/>
      <c r="P1509" s="39"/>
      <c r="Q1509" s="39"/>
      <c r="R1509" s="39"/>
    </row>
    <row r="1510" spans="1:18" s="2" customFormat="1" ht="39.6">
      <c r="A1510" s="20">
        <f>A1509+1</f>
        <v>1419</v>
      </c>
      <c r="B1510" s="17" t="s">
        <v>180</v>
      </c>
      <c r="C1510" s="17" t="s">
        <v>181</v>
      </c>
      <c r="D1510" s="20" t="s">
        <v>17</v>
      </c>
      <c r="E1510" s="20" t="s">
        <v>43</v>
      </c>
      <c r="F1510" s="18">
        <v>1</v>
      </c>
      <c r="G1510" s="19">
        <f>1960.81</f>
        <v>1960.81</v>
      </c>
      <c r="H1510" s="32">
        <v>1.38</v>
      </c>
      <c r="I1510" s="25">
        <f t="shared" si="86"/>
        <v>2705.9177999999997</v>
      </c>
      <c r="J1510" s="40"/>
      <c r="K1510" s="39"/>
      <c r="L1510" s="39"/>
      <c r="M1510" s="39"/>
      <c r="N1510" s="23"/>
      <c r="O1510" s="39"/>
      <c r="P1510" s="39"/>
      <c r="Q1510" s="39"/>
      <c r="R1510" s="39"/>
    </row>
    <row r="1511" spans="1:18" s="2" customFormat="1" ht="26.4">
      <c r="A1511" s="20">
        <f t="shared" ref="A1511:A1520" si="88">A1510+1</f>
        <v>1420</v>
      </c>
      <c r="B1511" s="17" t="s">
        <v>192</v>
      </c>
      <c r="C1511" s="17" t="s">
        <v>193</v>
      </c>
      <c r="D1511" s="9" t="s">
        <v>2160</v>
      </c>
      <c r="E1511" s="20" t="s">
        <v>2161</v>
      </c>
      <c r="F1511" s="18">
        <v>1</v>
      </c>
      <c r="G1511" s="19">
        <f>1.633198857*441.51</f>
        <v>721.07362735407003</v>
      </c>
      <c r="H1511" s="32">
        <v>2.4E-2</v>
      </c>
      <c r="I1511" s="25">
        <f t="shared" si="86"/>
        <v>17.305767056497682</v>
      </c>
      <c r="J1511" s="40"/>
      <c r="K1511" s="39"/>
      <c r="L1511" s="39"/>
      <c r="M1511" s="39"/>
      <c r="N1511" s="23"/>
      <c r="O1511" s="39"/>
      <c r="P1511" s="39"/>
      <c r="Q1511" s="39"/>
      <c r="R1511" s="39"/>
    </row>
    <row r="1512" spans="1:18" s="2" customFormat="1" ht="14.4">
      <c r="A1512" s="20">
        <f t="shared" si="88"/>
        <v>1421</v>
      </c>
      <c r="B1512" s="17" t="s">
        <v>566</v>
      </c>
      <c r="C1512" s="17" t="s">
        <v>567</v>
      </c>
      <c r="D1512" s="20" t="s">
        <v>17</v>
      </c>
      <c r="E1512" s="20" t="s">
        <v>43</v>
      </c>
      <c r="F1512" s="18">
        <v>1</v>
      </c>
      <c r="G1512" s="19">
        <f>2958</f>
        <v>2958</v>
      </c>
      <c r="H1512" s="32">
        <v>2.448</v>
      </c>
      <c r="I1512" s="25">
        <f t="shared" si="86"/>
        <v>7241.1840000000002</v>
      </c>
      <c r="J1512" s="40"/>
      <c r="K1512" s="39"/>
      <c r="L1512" s="39"/>
      <c r="M1512" s="39"/>
      <c r="N1512" s="23"/>
      <c r="O1512" s="39"/>
      <c r="P1512" s="39"/>
      <c r="Q1512" s="39"/>
      <c r="R1512" s="39"/>
    </row>
    <row r="1513" spans="1:18" s="2" customFormat="1" ht="26.4">
      <c r="A1513" s="20">
        <f t="shared" si="88"/>
        <v>1422</v>
      </c>
      <c r="B1513" s="17" t="s">
        <v>196</v>
      </c>
      <c r="C1513" s="17" t="s">
        <v>197</v>
      </c>
      <c r="D1513" s="9" t="s">
        <v>56</v>
      </c>
      <c r="E1513" s="20" t="s">
        <v>42</v>
      </c>
      <c r="F1513" s="18">
        <v>1</v>
      </c>
      <c r="G1513" s="19">
        <f>1.633198857*40245.85</f>
        <v>65729.476218993441</v>
      </c>
      <c r="H1513" s="32">
        <v>0.15</v>
      </c>
      <c r="I1513" s="25">
        <f t="shared" si="86"/>
        <v>9859.4214328490161</v>
      </c>
      <c r="J1513" s="40"/>
      <c r="K1513" s="39"/>
      <c r="L1513" s="39"/>
      <c r="M1513" s="39"/>
      <c r="N1513" s="23"/>
      <c r="O1513" s="39"/>
      <c r="P1513" s="39"/>
      <c r="Q1513" s="39"/>
      <c r="R1513" s="39"/>
    </row>
    <row r="1514" spans="1:18" s="2" customFormat="1" ht="14.4">
      <c r="A1514" s="20">
        <f t="shared" si="88"/>
        <v>1423</v>
      </c>
      <c r="B1514" s="17" t="s">
        <v>231</v>
      </c>
      <c r="C1514" s="17" t="s">
        <v>232</v>
      </c>
      <c r="D1514" s="20" t="s">
        <v>17</v>
      </c>
      <c r="E1514" s="20" t="s">
        <v>43</v>
      </c>
      <c r="F1514" s="18">
        <v>1</v>
      </c>
      <c r="G1514" s="19">
        <f>163.4</f>
        <v>163.4</v>
      </c>
      <c r="H1514" s="32">
        <v>0.09</v>
      </c>
      <c r="I1514" s="25">
        <f t="shared" si="86"/>
        <v>14.706</v>
      </c>
      <c r="J1514" s="40"/>
      <c r="K1514" s="39"/>
      <c r="L1514" s="39"/>
      <c r="M1514" s="39"/>
      <c r="N1514" s="23"/>
      <c r="O1514" s="39"/>
      <c r="P1514" s="39"/>
      <c r="Q1514" s="39"/>
      <c r="R1514" s="39"/>
    </row>
    <row r="1515" spans="1:18" s="2" customFormat="1" ht="39.6">
      <c r="A1515" s="20">
        <f t="shared" si="88"/>
        <v>1424</v>
      </c>
      <c r="B1515" s="17" t="s">
        <v>2162</v>
      </c>
      <c r="C1515" s="17" t="s">
        <v>2163</v>
      </c>
      <c r="D1515" s="9" t="s">
        <v>56</v>
      </c>
      <c r="E1515" s="20" t="s">
        <v>42</v>
      </c>
      <c r="F1515" s="18">
        <v>1</v>
      </c>
      <c r="G1515" s="19">
        <v>30676.89</v>
      </c>
      <c r="H1515" s="32">
        <v>0.159</v>
      </c>
      <c r="I1515" s="25">
        <f t="shared" si="86"/>
        <v>4877.6255099999998</v>
      </c>
      <c r="J1515" s="40"/>
      <c r="K1515" s="39"/>
      <c r="L1515" s="39"/>
      <c r="M1515" s="39"/>
      <c r="N1515" s="23"/>
      <c r="O1515" s="39"/>
      <c r="P1515" s="39"/>
      <c r="Q1515" s="39"/>
      <c r="R1515" s="39"/>
    </row>
    <row r="1516" spans="1:18" s="2" customFormat="1" ht="14.4">
      <c r="A1516" s="20">
        <f t="shared" si="88"/>
        <v>1425</v>
      </c>
      <c r="B1516" s="17" t="s">
        <v>206</v>
      </c>
      <c r="C1516" s="17" t="s">
        <v>207</v>
      </c>
      <c r="D1516" s="9" t="s">
        <v>56</v>
      </c>
      <c r="E1516" s="20" t="s">
        <v>42</v>
      </c>
      <c r="F1516" s="18">
        <v>1</v>
      </c>
      <c r="G1516" s="19">
        <f>3994.24</f>
        <v>3994.24</v>
      </c>
      <c r="H1516" s="32">
        <v>0.15</v>
      </c>
      <c r="I1516" s="25">
        <f t="shared" si="86"/>
        <v>599.13599999999997</v>
      </c>
      <c r="J1516" s="40"/>
      <c r="K1516" s="39"/>
      <c r="L1516" s="39"/>
      <c r="M1516" s="39"/>
      <c r="N1516" s="23"/>
      <c r="O1516" s="39"/>
      <c r="P1516" s="39"/>
      <c r="Q1516" s="39"/>
      <c r="R1516" s="39"/>
    </row>
    <row r="1517" spans="1:18" s="2" customFormat="1" ht="39.6">
      <c r="A1517" s="20">
        <f t="shared" si="88"/>
        <v>1426</v>
      </c>
      <c r="B1517" s="17" t="s">
        <v>2164</v>
      </c>
      <c r="C1517" s="17" t="s">
        <v>2165</v>
      </c>
      <c r="D1517" s="9" t="s">
        <v>56</v>
      </c>
      <c r="E1517" s="20" t="s">
        <v>42</v>
      </c>
      <c r="F1517" s="18">
        <v>1</v>
      </c>
      <c r="G1517" s="19">
        <f>1.633198857*28843.39</f>
        <v>47106.991580005226</v>
      </c>
      <c r="H1517" s="32">
        <v>6.6600000000000006E-2</v>
      </c>
      <c r="I1517" s="25">
        <f t="shared" si="86"/>
        <v>3137.3256392283483</v>
      </c>
      <c r="J1517" s="40"/>
      <c r="K1517" s="39"/>
      <c r="L1517" s="39"/>
      <c r="M1517" s="39"/>
      <c r="N1517" s="23"/>
      <c r="O1517" s="39"/>
      <c r="P1517" s="39"/>
      <c r="Q1517" s="39"/>
      <c r="R1517" s="39"/>
    </row>
    <row r="1518" spans="1:18" s="2" customFormat="1" ht="14.4">
      <c r="A1518" s="20">
        <f t="shared" si="88"/>
        <v>1427</v>
      </c>
      <c r="B1518" s="17" t="s">
        <v>2166</v>
      </c>
      <c r="C1518" s="17" t="s">
        <v>2167</v>
      </c>
      <c r="D1518" s="20" t="s">
        <v>5</v>
      </c>
      <c r="E1518" s="20" t="s">
        <v>6</v>
      </c>
      <c r="F1518" s="18">
        <v>1</v>
      </c>
      <c r="G1518" s="19">
        <f>202.08</f>
        <v>202.08</v>
      </c>
      <c r="H1518" s="32">
        <v>12</v>
      </c>
      <c r="I1518" s="25">
        <f t="shared" si="86"/>
        <v>2424.96</v>
      </c>
      <c r="J1518" s="40"/>
      <c r="K1518" s="39"/>
      <c r="L1518" s="39"/>
      <c r="M1518" s="39"/>
      <c r="N1518" s="23"/>
      <c r="O1518" s="39"/>
      <c r="P1518" s="39"/>
      <c r="Q1518" s="39"/>
      <c r="R1518" s="39"/>
    </row>
    <row r="1519" spans="1:18" s="2" customFormat="1" ht="14.4">
      <c r="A1519" s="20">
        <f t="shared" si="88"/>
        <v>1428</v>
      </c>
      <c r="B1519" s="17" t="s">
        <v>2168</v>
      </c>
      <c r="C1519" s="17" t="s">
        <v>2169</v>
      </c>
      <c r="D1519" s="20" t="s">
        <v>5</v>
      </c>
      <c r="E1519" s="20" t="s">
        <v>6</v>
      </c>
      <c r="F1519" s="18">
        <v>1</v>
      </c>
      <c r="G1519" s="19">
        <v>15.42</v>
      </c>
      <c r="H1519" s="32">
        <v>24</v>
      </c>
      <c r="I1519" s="25">
        <f t="shared" si="86"/>
        <v>370.08</v>
      </c>
      <c r="J1519" s="40"/>
      <c r="K1519" s="39"/>
      <c r="L1519" s="39"/>
      <c r="M1519" s="39"/>
      <c r="N1519" s="23"/>
      <c r="O1519" s="39"/>
      <c r="P1519" s="39"/>
      <c r="Q1519" s="39"/>
      <c r="R1519" s="39"/>
    </row>
    <row r="1520" spans="1:18" s="2" customFormat="1" ht="14.4">
      <c r="A1520" s="20">
        <f t="shared" si="88"/>
        <v>1429</v>
      </c>
      <c r="B1520" s="17" t="s">
        <v>2170</v>
      </c>
      <c r="C1520" s="17" t="s">
        <v>2171</v>
      </c>
      <c r="D1520" s="20" t="s">
        <v>5</v>
      </c>
      <c r="E1520" s="20" t="s">
        <v>6</v>
      </c>
      <c r="F1520" s="18">
        <v>1</v>
      </c>
      <c r="G1520" s="19">
        <v>23.58</v>
      </c>
      <c r="H1520" s="32">
        <v>36</v>
      </c>
      <c r="I1520" s="25">
        <f t="shared" si="86"/>
        <v>848.87999999999988</v>
      </c>
      <c r="J1520" s="40"/>
      <c r="K1520" s="39"/>
      <c r="L1520" s="39"/>
      <c r="M1520" s="39"/>
      <c r="N1520" s="23"/>
      <c r="O1520" s="39"/>
      <c r="P1520" s="39"/>
      <c r="Q1520" s="39"/>
      <c r="R1520" s="39"/>
    </row>
    <row r="1521" spans="1:18" ht="14.4">
      <c r="A1521" s="9" t="s">
        <v>61</v>
      </c>
      <c r="B1521" s="13" t="s">
        <v>2172</v>
      </c>
      <c r="C1521" s="13" t="s">
        <v>2173</v>
      </c>
      <c r="D1521" s="14"/>
      <c r="E1521" s="14"/>
      <c r="F1521" s="18"/>
      <c r="G1521" s="19"/>
      <c r="H1521" s="15"/>
      <c r="I1521" s="25"/>
      <c r="J1521" s="24"/>
      <c r="K1521" s="22"/>
      <c r="L1521" s="22"/>
      <c r="M1521" s="22"/>
      <c r="N1521" s="23"/>
      <c r="O1521" s="22"/>
      <c r="P1521" s="22"/>
      <c r="Q1521" s="22"/>
      <c r="R1521" s="22"/>
    </row>
    <row r="1522" spans="1:18" s="2" customFormat="1" ht="39.6">
      <c r="A1522" s="20">
        <f>A1520+1</f>
        <v>1430</v>
      </c>
      <c r="B1522" s="17" t="s">
        <v>2174</v>
      </c>
      <c r="C1522" s="17" t="s">
        <v>2175</v>
      </c>
      <c r="D1522" s="9" t="s">
        <v>56</v>
      </c>
      <c r="E1522" s="20" t="s">
        <v>42</v>
      </c>
      <c r="F1522" s="18">
        <v>1</v>
      </c>
      <c r="G1522" s="19">
        <f>1.633198857*10012.83</f>
        <v>16352.94251133531</v>
      </c>
      <c r="H1522" s="32">
        <v>0.28941</v>
      </c>
      <c r="I1522" s="25">
        <f t="shared" si="86"/>
        <v>4732.7050922055523</v>
      </c>
      <c r="J1522" s="40"/>
      <c r="K1522" s="39"/>
      <c r="L1522" s="39"/>
      <c r="M1522" s="39"/>
      <c r="N1522" s="23"/>
      <c r="O1522" s="39"/>
      <c r="P1522" s="39"/>
      <c r="Q1522" s="39"/>
      <c r="R1522" s="39"/>
    </row>
    <row r="1523" spans="1:18" s="2" customFormat="1" ht="26.4">
      <c r="A1523" s="20">
        <f>A1522+1</f>
        <v>1431</v>
      </c>
      <c r="B1523" s="17" t="s">
        <v>196</v>
      </c>
      <c r="C1523" s="17" t="s">
        <v>197</v>
      </c>
      <c r="D1523" s="9" t="s">
        <v>56</v>
      </c>
      <c r="E1523" s="20" t="s">
        <v>42</v>
      </c>
      <c r="F1523" s="18">
        <v>1</v>
      </c>
      <c r="G1523" s="19">
        <f>1.633198857*40343.89</f>
        <v>65889.595034933736</v>
      </c>
      <c r="H1523" s="32">
        <v>0.28941</v>
      </c>
      <c r="I1523" s="25">
        <f t="shared" si="86"/>
        <v>19069.107699060172</v>
      </c>
      <c r="J1523" s="40"/>
      <c r="K1523" s="39"/>
      <c r="L1523" s="39"/>
      <c r="M1523" s="39"/>
      <c r="N1523" s="23"/>
      <c r="O1523" s="39"/>
      <c r="P1523" s="39"/>
      <c r="Q1523" s="39"/>
      <c r="R1523" s="39"/>
    </row>
    <row r="1524" spans="1:18" s="2" customFormat="1" ht="26.4">
      <c r="A1524" s="20">
        <f t="shared" ref="A1524:A1543" si="89">A1523+1</f>
        <v>1432</v>
      </c>
      <c r="B1524" s="17" t="s">
        <v>2176</v>
      </c>
      <c r="C1524" s="17" t="s">
        <v>2177</v>
      </c>
      <c r="D1524" s="9" t="s">
        <v>56</v>
      </c>
      <c r="E1524" s="20" t="s">
        <v>42</v>
      </c>
      <c r="F1524" s="18">
        <v>1</v>
      </c>
      <c r="G1524" s="19">
        <f>27156.19</f>
        <v>27156.19</v>
      </c>
      <c r="H1524" s="32">
        <v>7.3903200000000002E-2</v>
      </c>
      <c r="I1524" s="25">
        <f t="shared" si="86"/>
        <v>2006.929340808</v>
      </c>
      <c r="J1524" s="40"/>
      <c r="K1524" s="39"/>
      <c r="L1524" s="39"/>
      <c r="M1524" s="39"/>
      <c r="N1524" s="23"/>
      <c r="O1524" s="39"/>
      <c r="P1524" s="39"/>
      <c r="Q1524" s="39"/>
      <c r="R1524" s="39"/>
    </row>
    <row r="1525" spans="1:18" s="2" customFormat="1" ht="14.4">
      <c r="A1525" s="20">
        <f t="shared" si="89"/>
        <v>1433</v>
      </c>
      <c r="B1525" s="17" t="s">
        <v>2178</v>
      </c>
      <c r="C1525" s="17" t="s">
        <v>2179</v>
      </c>
      <c r="D1525" s="9" t="s">
        <v>56</v>
      </c>
      <c r="E1525" s="20" t="s">
        <v>42</v>
      </c>
      <c r="F1525" s="18">
        <v>1</v>
      </c>
      <c r="G1525" s="19">
        <v>44006.78</v>
      </c>
      <c r="H1525" s="32">
        <v>0.1314612</v>
      </c>
      <c r="I1525" s="25">
        <f t="shared" si="86"/>
        <v>5785.1841069359998</v>
      </c>
      <c r="J1525" s="40"/>
      <c r="K1525" s="39"/>
      <c r="L1525" s="39"/>
      <c r="M1525" s="39"/>
      <c r="N1525" s="23"/>
      <c r="O1525" s="39"/>
      <c r="P1525" s="39"/>
      <c r="Q1525" s="39"/>
      <c r="R1525" s="39"/>
    </row>
    <row r="1526" spans="1:18" s="2" customFormat="1" ht="14.4">
      <c r="A1526" s="20">
        <f t="shared" si="89"/>
        <v>1434</v>
      </c>
      <c r="B1526" s="17" t="s">
        <v>2180</v>
      </c>
      <c r="C1526" s="17" t="s">
        <v>2181</v>
      </c>
      <c r="D1526" s="9" t="s">
        <v>56</v>
      </c>
      <c r="E1526" s="20" t="s">
        <v>42</v>
      </c>
      <c r="F1526" s="18">
        <v>1</v>
      </c>
      <c r="G1526" s="19">
        <v>44006.78</v>
      </c>
      <c r="H1526" s="32">
        <v>0.10141020000000001</v>
      </c>
      <c r="I1526" s="25">
        <f t="shared" si="86"/>
        <v>4462.7363611560004</v>
      </c>
      <c r="J1526" s="40"/>
      <c r="K1526" s="39"/>
      <c r="L1526" s="39"/>
      <c r="M1526" s="39"/>
      <c r="N1526" s="23"/>
      <c r="O1526" s="39"/>
      <c r="P1526" s="39"/>
      <c r="Q1526" s="39"/>
      <c r="R1526" s="39"/>
    </row>
    <row r="1527" spans="1:18" s="2" customFormat="1" ht="39.6">
      <c r="A1527" s="20">
        <f t="shared" si="89"/>
        <v>1435</v>
      </c>
      <c r="B1527" s="17" t="s">
        <v>2182</v>
      </c>
      <c r="C1527" s="17" t="s">
        <v>2183</v>
      </c>
      <c r="D1527" s="9" t="s">
        <v>56</v>
      </c>
      <c r="E1527" s="20" t="s">
        <v>42</v>
      </c>
      <c r="F1527" s="18">
        <v>1</v>
      </c>
      <c r="G1527" s="19">
        <f>1.633198857*10012.83</f>
        <v>16352.94251133531</v>
      </c>
      <c r="H1527" s="32">
        <v>0.13455</v>
      </c>
      <c r="I1527" s="25">
        <f t="shared" si="86"/>
        <v>2200.2884149001661</v>
      </c>
      <c r="J1527" s="40"/>
      <c r="K1527" s="39"/>
      <c r="L1527" s="39"/>
      <c r="M1527" s="39"/>
      <c r="N1527" s="23"/>
      <c r="O1527" s="39"/>
      <c r="P1527" s="39"/>
      <c r="Q1527" s="39"/>
      <c r="R1527" s="39"/>
    </row>
    <row r="1528" spans="1:18" s="2" customFormat="1" ht="26.4">
      <c r="A1528" s="20">
        <f t="shared" si="89"/>
        <v>1436</v>
      </c>
      <c r="B1528" s="17" t="s">
        <v>196</v>
      </c>
      <c r="C1528" s="17" t="s">
        <v>197</v>
      </c>
      <c r="D1528" s="9" t="s">
        <v>56</v>
      </c>
      <c r="E1528" s="20" t="s">
        <v>42</v>
      </c>
      <c r="F1528" s="18">
        <v>1</v>
      </c>
      <c r="G1528" s="19">
        <f>1.633198857*40349.83</f>
        <v>65899.296236144306</v>
      </c>
      <c r="H1528" s="32">
        <v>0.13455</v>
      </c>
      <c r="I1528" s="25">
        <f t="shared" si="86"/>
        <v>8866.7503085732169</v>
      </c>
      <c r="J1528" s="40"/>
      <c r="K1528" s="39"/>
      <c r="L1528" s="39"/>
      <c r="M1528" s="39"/>
      <c r="N1528" s="23"/>
      <c r="O1528" s="39"/>
      <c r="P1528" s="39"/>
      <c r="Q1528" s="39"/>
      <c r="R1528" s="39"/>
    </row>
    <row r="1529" spans="1:18" s="2" customFormat="1" ht="26.4">
      <c r="A1529" s="20">
        <f t="shared" si="89"/>
        <v>1437</v>
      </c>
      <c r="B1529" s="17" t="s">
        <v>2176</v>
      </c>
      <c r="C1529" s="17" t="s">
        <v>2177</v>
      </c>
      <c r="D1529" s="9" t="s">
        <v>56</v>
      </c>
      <c r="E1529" s="20" t="s">
        <v>42</v>
      </c>
      <c r="F1529" s="18">
        <v>1</v>
      </c>
      <c r="G1529" s="19">
        <f>27156.19</f>
        <v>27156.19</v>
      </c>
      <c r="H1529" s="32">
        <v>2.4517799999999999E-2</v>
      </c>
      <c r="I1529" s="25">
        <f t="shared" si="86"/>
        <v>665.81003518199998</v>
      </c>
      <c r="J1529" s="40"/>
      <c r="K1529" s="39"/>
      <c r="L1529" s="39"/>
      <c r="M1529" s="39"/>
      <c r="N1529" s="23"/>
      <c r="O1529" s="39"/>
      <c r="P1529" s="39"/>
      <c r="Q1529" s="39"/>
      <c r="R1529" s="39"/>
    </row>
    <row r="1530" spans="1:18" s="2" customFormat="1" ht="14.4">
      <c r="A1530" s="20">
        <f t="shared" si="89"/>
        <v>1438</v>
      </c>
      <c r="B1530" s="17" t="s">
        <v>2184</v>
      </c>
      <c r="C1530" s="17" t="s">
        <v>2185</v>
      </c>
      <c r="D1530" s="9" t="s">
        <v>56</v>
      </c>
      <c r="E1530" s="20" t="s">
        <v>42</v>
      </c>
      <c r="F1530" s="18">
        <v>1</v>
      </c>
      <c r="G1530" s="19">
        <f>44006.78</f>
        <v>44006.78</v>
      </c>
      <c r="H1530" s="32">
        <v>5.6572200000000003E-2</v>
      </c>
      <c r="I1530" s="25">
        <f t="shared" si="86"/>
        <v>2489.5603595160001</v>
      </c>
      <c r="J1530" s="40"/>
      <c r="K1530" s="39"/>
      <c r="L1530" s="39"/>
      <c r="M1530" s="39"/>
      <c r="N1530" s="23"/>
      <c r="O1530" s="39"/>
      <c r="P1530" s="39"/>
      <c r="Q1530" s="39"/>
      <c r="R1530" s="39"/>
    </row>
    <row r="1531" spans="1:18" s="2" customFormat="1" ht="14.4">
      <c r="A1531" s="20">
        <f t="shared" si="89"/>
        <v>1439</v>
      </c>
      <c r="B1531" s="17" t="s">
        <v>2180</v>
      </c>
      <c r="C1531" s="17" t="s">
        <v>2181</v>
      </c>
      <c r="D1531" s="9" t="s">
        <v>56</v>
      </c>
      <c r="E1531" s="20" t="s">
        <v>42</v>
      </c>
      <c r="F1531" s="18">
        <v>1</v>
      </c>
      <c r="G1531" s="19">
        <f>44006.78</f>
        <v>44006.78</v>
      </c>
      <c r="H1531" s="32">
        <v>3.6887999999999997E-2</v>
      </c>
      <c r="I1531" s="25">
        <f t="shared" si="86"/>
        <v>1623.3221006399999</v>
      </c>
      <c r="J1531" s="40"/>
      <c r="K1531" s="39"/>
      <c r="L1531" s="39"/>
      <c r="M1531" s="39"/>
      <c r="N1531" s="23"/>
      <c r="O1531" s="39"/>
      <c r="P1531" s="39"/>
      <c r="Q1531" s="39"/>
      <c r="R1531" s="39"/>
    </row>
    <row r="1532" spans="1:18" s="2" customFormat="1" ht="14.4">
      <c r="A1532" s="20">
        <f t="shared" si="89"/>
        <v>1440</v>
      </c>
      <c r="B1532" s="17" t="s">
        <v>2186</v>
      </c>
      <c r="C1532" s="17" t="s">
        <v>2187</v>
      </c>
      <c r="D1532" s="9" t="s">
        <v>56</v>
      </c>
      <c r="E1532" s="20" t="s">
        <v>42</v>
      </c>
      <c r="F1532" s="18">
        <v>1</v>
      </c>
      <c r="G1532" s="19">
        <f>44006.78</f>
        <v>44006.78</v>
      </c>
      <c r="H1532" s="32">
        <v>2.4645E-2</v>
      </c>
      <c r="I1532" s="25">
        <f t="shared" si="86"/>
        <v>1084.5470931</v>
      </c>
      <c r="J1532" s="40"/>
      <c r="K1532" s="39"/>
      <c r="L1532" s="39"/>
      <c r="M1532" s="39"/>
      <c r="N1532" s="23"/>
      <c r="O1532" s="39"/>
      <c r="P1532" s="39"/>
      <c r="Q1532" s="39"/>
      <c r="R1532" s="39"/>
    </row>
    <row r="1533" spans="1:18" s="2" customFormat="1" ht="14.4">
      <c r="A1533" s="20">
        <f t="shared" si="89"/>
        <v>1441</v>
      </c>
      <c r="B1533" s="17" t="s">
        <v>2188</v>
      </c>
      <c r="C1533" s="17" t="s">
        <v>2189</v>
      </c>
      <c r="D1533" s="20" t="s">
        <v>5</v>
      </c>
      <c r="E1533" s="20" t="s">
        <v>6</v>
      </c>
      <c r="F1533" s="18">
        <v>1</v>
      </c>
      <c r="G1533" s="19">
        <v>79.680000000000007</v>
      </c>
      <c r="H1533" s="32">
        <v>12</v>
      </c>
      <c r="I1533" s="25">
        <f t="shared" si="86"/>
        <v>956.16000000000008</v>
      </c>
      <c r="J1533" s="40"/>
      <c r="K1533" s="39"/>
      <c r="L1533" s="39"/>
      <c r="M1533" s="39"/>
      <c r="N1533" s="23"/>
      <c r="O1533" s="39"/>
      <c r="P1533" s="39"/>
      <c r="Q1533" s="39"/>
      <c r="R1533" s="39"/>
    </row>
    <row r="1534" spans="1:18" s="2" customFormat="1" ht="14.4">
      <c r="A1534" s="20">
        <f t="shared" si="89"/>
        <v>1442</v>
      </c>
      <c r="B1534" s="17" t="s">
        <v>2168</v>
      </c>
      <c r="C1534" s="17" t="s">
        <v>2169</v>
      </c>
      <c r="D1534" s="20" t="s">
        <v>5</v>
      </c>
      <c r="E1534" s="20" t="s">
        <v>6</v>
      </c>
      <c r="F1534" s="18">
        <v>1</v>
      </c>
      <c r="G1534" s="19">
        <v>15.42</v>
      </c>
      <c r="H1534" s="32">
        <v>24</v>
      </c>
      <c r="I1534" s="25">
        <f t="shared" si="86"/>
        <v>370.08</v>
      </c>
      <c r="J1534" s="40"/>
      <c r="K1534" s="39"/>
      <c r="L1534" s="39"/>
      <c r="M1534" s="39"/>
      <c r="N1534" s="23"/>
      <c r="O1534" s="39"/>
      <c r="P1534" s="39"/>
      <c r="Q1534" s="39"/>
      <c r="R1534" s="39"/>
    </row>
    <row r="1535" spans="1:18" s="2" customFormat="1" ht="14.4">
      <c r="A1535" s="20">
        <f t="shared" si="89"/>
        <v>1443</v>
      </c>
      <c r="B1535" s="17" t="s">
        <v>2170</v>
      </c>
      <c r="C1535" s="17" t="s">
        <v>2171</v>
      </c>
      <c r="D1535" s="20" t="s">
        <v>5</v>
      </c>
      <c r="E1535" s="20" t="s">
        <v>6</v>
      </c>
      <c r="F1535" s="18">
        <v>1</v>
      </c>
      <c r="G1535" s="19">
        <v>23.58</v>
      </c>
      <c r="H1535" s="32">
        <v>12</v>
      </c>
      <c r="I1535" s="25">
        <f t="shared" si="86"/>
        <v>282.95999999999998</v>
      </c>
      <c r="J1535" s="40"/>
      <c r="K1535" s="39"/>
      <c r="L1535" s="39"/>
      <c r="M1535" s="39"/>
      <c r="N1535" s="23"/>
      <c r="O1535" s="39"/>
      <c r="P1535" s="39"/>
      <c r="Q1535" s="39"/>
      <c r="R1535" s="39"/>
    </row>
    <row r="1536" spans="1:18" s="2" customFormat="1" ht="14.4">
      <c r="A1536" s="20">
        <f t="shared" si="89"/>
        <v>1444</v>
      </c>
      <c r="B1536" s="17" t="s">
        <v>2190</v>
      </c>
      <c r="C1536" s="17" t="s">
        <v>2191</v>
      </c>
      <c r="D1536" s="20" t="s">
        <v>8</v>
      </c>
      <c r="E1536" s="20" t="s">
        <v>9</v>
      </c>
      <c r="F1536" s="18">
        <v>1</v>
      </c>
      <c r="G1536" s="19">
        <f>1.633198857*33.65</f>
        <v>54.957141538049996</v>
      </c>
      <c r="H1536" s="32">
        <v>12.5</v>
      </c>
      <c r="I1536" s="25">
        <f t="shared" si="86"/>
        <v>686.964269225625</v>
      </c>
      <c r="J1536" s="40"/>
      <c r="K1536" s="39"/>
      <c r="L1536" s="39"/>
      <c r="M1536" s="39"/>
      <c r="N1536" s="23"/>
      <c r="O1536" s="39"/>
      <c r="P1536" s="39"/>
      <c r="Q1536" s="39"/>
      <c r="R1536" s="39"/>
    </row>
    <row r="1537" spans="1:18" s="2" customFormat="1" ht="14.4">
      <c r="A1537" s="20">
        <f t="shared" si="89"/>
        <v>1445</v>
      </c>
      <c r="B1537" s="17" t="s">
        <v>2192</v>
      </c>
      <c r="C1537" s="17" t="s">
        <v>2193</v>
      </c>
      <c r="D1537" s="20" t="s">
        <v>8</v>
      </c>
      <c r="E1537" s="20" t="s">
        <v>9</v>
      </c>
      <c r="F1537" s="18">
        <v>1</v>
      </c>
      <c r="G1537" s="19">
        <f>1.633198857*120.66</f>
        <v>197.06177408561999</v>
      </c>
      <c r="H1537" s="32">
        <v>12.5</v>
      </c>
      <c r="I1537" s="25">
        <f t="shared" si="86"/>
        <v>2463.2721760702498</v>
      </c>
      <c r="J1537" s="40"/>
      <c r="K1537" s="39"/>
      <c r="L1537" s="39"/>
      <c r="M1537" s="39"/>
      <c r="N1537" s="23"/>
      <c r="O1537" s="39"/>
      <c r="P1537" s="39"/>
      <c r="Q1537" s="39"/>
      <c r="R1537" s="39"/>
    </row>
    <row r="1538" spans="1:18" s="2" customFormat="1" ht="14.4">
      <c r="A1538" s="20">
        <f t="shared" si="89"/>
        <v>1446</v>
      </c>
      <c r="B1538" s="17" t="s">
        <v>2194</v>
      </c>
      <c r="C1538" s="17" t="s">
        <v>2195</v>
      </c>
      <c r="D1538" s="20" t="s">
        <v>8</v>
      </c>
      <c r="E1538" s="20" t="s">
        <v>9</v>
      </c>
      <c r="F1538" s="18">
        <v>1</v>
      </c>
      <c r="G1538" s="19">
        <f>1.633198857*31.66</f>
        <v>51.707075812619998</v>
      </c>
      <c r="H1538" s="32">
        <v>12.5</v>
      </c>
      <c r="I1538" s="25">
        <f t="shared" si="86"/>
        <v>646.33844765774995</v>
      </c>
      <c r="J1538" s="40"/>
      <c r="K1538" s="39"/>
      <c r="L1538" s="39"/>
      <c r="M1538" s="39"/>
      <c r="N1538" s="23"/>
      <c r="O1538" s="39"/>
      <c r="P1538" s="39"/>
      <c r="Q1538" s="39"/>
      <c r="R1538" s="39"/>
    </row>
    <row r="1539" spans="1:18" s="2" customFormat="1" ht="26.4">
      <c r="A1539" s="20">
        <f t="shared" si="89"/>
        <v>1447</v>
      </c>
      <c r="B1539" s="17" t="s">
        <v>1836</v>
      </c>
      <c r="C1539" s="17" t="s">
        <v>1837</v>
      </c>
      <c r="D1539" s="9" t="s">
        <v>2196</v>
      </c>
      <c r="E1539" s="20" t="s">
        <v>2197</v>
      </c>
      <c r="F1539" s="18">
        <v>1</v>
      </c>
      <c r="G1539" s="19">
        <f>1.633198857*44.47</f>
        <v>72.628353170789993</v>
      </c>
      <c r="H1539" s="32">
        <v>0.125</v>
      </c>
      <c r="I1539" s="25">
        <f t="shared" si="86"/>
        <v>9.0785441463487491</v>
      </c>
      <c r="J1539" s="40"/>
      <c r="K1539" s="39"/>
      <c r="L1539" s="39"/>
      <c r="M1539" s="39"/>
      <c r="N1539" s="23"/>
      <c r="O1539" s="39"/>
      <c r="P1539" s="39"/>
      <c r="Q1539" s="39"/>
      <c r="R1539" s="39"/>
    </row>
    <row r="1540" spans="1:18" s="2" customFormat="1" ht="26.4">
      <c r="A1540" s="20">
        <f t="shared" si="89"/>
        <v>1448</v>
      </c>
      <c r="B1540" s="17" t="s">
        <v>2198</v>
      </c>
      <c r="C1540" s="17" t="s">
        <v>2199</v>
      </c>
      <c r="D1540" s="9" t="s">
        <v>2196</v>
      </c>
      <c r="E1540" s="20" t="s">
        <v>2197</v>
      </c>
      <c r="F1540" s="18">
        <v>1</v>
      </c>
      <c r="G1540" s="19">
        <f>1.633198857*67.36</f>
        <v>110.01227500752</v>
      </c>
      <c r="H1540" s="32">
        <v>0.125</v>
      </c>
      <c r="I1540" s="25">
        <f t="shared" si="86"/>
        <v>13.75153437594</v>
      </c>
      <c r="J1540" s="40"/>
      <c r="K1540" s="39"/>
      <c r="L1540" s="39"/>
      <c r="M1540" s="39"/>
      <c r="N1540" s="23"/>
      <c r="O1540" s="39"/>
      <c r="P1540" s="39"/>
      <c r="Q1540" s="39"/>
      <c r="R1540" s="39"/>
    </row>
    <row r="1541" spans="1:18" s="2" customFormat="1" ht="39.6">
      <c r="A1541" s="20">
        <f t="shared" si="89"/>
        <v>1449</v>
      </c>
      <c r="B1541" s="17" t="s">
        <v>2200</v>
      </c>
      <c r="C1541" s="17" t="s">
        <v>2201</v>
      </c>
      <c r="D1541" s="9" t="s">
        <v>2196</v>
      </c>
      <c r="E1541" s="20" t="s">
        <v>2197</v>
      </c>
      <c r="F1541" s="18">
        <v>1</v>
      </c>
      <c r="G1541" s="19">
        <f>1.633198857*114.39</f>
        <v>186.82161725223</v>
      </c>
      <c r="H1541" s="32">
        <v>0.1</v>
      </c>
      <c r="I1541" s="25">
        <f t="shared" si="86"/>
        <v>18.682161725223001</v>
      </c>
      <c r="J1541" s="40"/>
      <c r="K1541" s="39"/>
      <c r="L1541" s="39"/>
      <c r="M1541" s="39"/>
      <c r="N1541" s="23"/>
      <c r="O1541" s="39"/>
      <c r="P1541" s="39"/>
      <c r="Q1541" s="39"/>
      <c r="R1541" s="39"/>
    </row>
    <row r="1542" spans="1:18" s="2" customFormat="1" ht="14.4">
      <c r="A1542" s="20">
        <f t="shared" si="89"/>
        <v>1450</v>
      </c>
      <c r="B1542" s="17" t="s">
        <v>2202</v>
      </c>
      <c r="C1542" s="17" t="s">
        <v>2203</v>
      </c>
      <c r="D1542" s="20" t="s">
        <v>8</v>
      </c>
      <c r="E1542" s="20" t="s">
        <v>9</v>
      </c>
      <c r="F1542" s="18">
        <v>1</v>
      </c>
      <c r="G1542" s="19">
        <v>316.47000000000003</v>
      </c>
      <c r="H1542" s="32">
        <v>10</v>
      </c>
      <c r="I1542" s="25">
        <f t="shared" si="86"/>
        <v>3164.7000000000003</v>
      </c>
      <c r="J1542" s="40"/>
      <c r="K1542" s="39"/>
      <c r="L1542" s="39"/>
      <c r="M1542" s="39"/>
      <c r="N1542" s="23"/>
      <c r="O1542" s="39"/>
      <c r="P1542" s="39"/>
      <c r="Q1542" s="39"/>
      <c r="R1542" s="39"/>
    </row>
    <row r="1543" spans="1:18" s="2" customFormat="1" ht="14.4">
      <c r="A1543" s="20">
        <f t="shared" si="89"/>
        <v>1451</v>
      </c>
      <c r="B1543" s="17" t="s">
        <v>2204</v>
      </c>
      <c r="C1543" s="17" t="s">
        <v>2205</v>
      </c>
      <c r="D1543" s="20" t="s">
        <v>5</v>
      </c>
      <c r="E1543" s="20" t="s">
        <v>6</v>
      </c>
      <c r="F1543" s="18">
        <v>1</v>
      </c>
      <c r="G1543" s="19">
        <v>1.44</v>
      </c>
      <c r="H1543" s="32">
        <v>80</v>
      </c>
      <c r="I1543" s="25">
        <f t="shared" si="86"/>
        <v>115.19999999999999</v>
      </c>
      <c r="J1543" s="40"/>
      <c r="K1543" s="39"/>
      <c r="L1543" s="39"/>
      <c r="M1543" s="39"/>
      <c r="N1543" s="23"/>
      <c r="O1543" s="39"/>
      <c r="P1543" s="39"/>
      <c r="Q1543" s="39"/>
      <c r="R1543" s="39"/>
    </row>
    <row r="1544" spans="1:18" ht="14.4">
      <c r="A1544" s="9" t="s">
        <v>61</v>
      </c>
      <c r="B1544" s="13" t="s">
        <v>2206</v>
      </c>
      <c r="C1544" s="13" t="s">
        <v>2207</v>
      </c>
      <c r="D1544" s="14"/>
      <c r="E1544" s="14"/>
      <c r="F1544" s="18"/>
      <c r="G1544" s="19"/>
      <c r="H1544" s="15"/>
      <c r="I1544" s="25"/>
      <c r="J1544" s="24"/>
      <c r="K1544" s="22"/>
      <c r="L1544" s="22"/>
      <c r="M1544" s="22"/>
      <c r="N1544" s="23"/>
      <c r="O1544" s="22"/>
      <c r="P1544" s="22"/>
      <c r="Q1544" s="22"/>
      <c r="R1544" s="22"/>
    </row>
    <row r="1545" spans="1:18" s="2" customFormat="1" ht="26.4">
      <c r="A1545" s="20">
        <f>A1543+1</f>
        <v>1452</v>
      </c>
      <c r="B1545" s="17" t="s">
        <v>2208</v>
      </c>
      <c r="C1545" s="17" t="s">
        <v>2209</v>
      </c>
      <c r="D1545" s="9" t="s">
        <v>56</v>
      </c>
      <c r="E1545" s="20" t="s">
        <v>42</v>
      </c>
      <c r="F1545" s="18">
        <v>1</v>
      </c>
      <c r="G1545" s="19">
        <f>1.633198857*115674.3</f>
        <v>188919.13454427512</v>
      </c>
      <c r="H1545" s="32">
        <v>1.091</v>
      </c>
      <c r="I1545" s="25">
        <f t="shared" si="86"/>
        <v>206110.77578780416</v>
      </c>
      <c r="J1545" s="40"/>
      <c r="K1545" s="39"/>
      <c r="L1545" s="39"/>
      <c r="M1545" s="39"/>
      <c r="N1545" s="23"/>
      <c r="O1545" s="39"/>
      <c r="P1545" s="39"/>
      <c r="Q1545" s="39"/>
      <c r="R1545" s="39"/>
    </row>
    <row r="1546" spans="1:18" s="2" customFormat="1" ht="39.6">
      <c r="A1546" s="20">
        <f>A1545+1</f>
        <v>1453</v>
      </c>
      <c r="B1546" s="17" t="s">
        <v>2210</v>
      </c>
      <c r="C1546" s="17" t="s">
        <v>2211</v>
      </c>
      <c r="D1546" s="9" t="s">
        <v>25</v>
      </c>
      <c r="E1546" s="20" t="s">
        <v>26</v>
      </c>
      <c r="F1546" s="18">
        <v>1</v>
      </c>
      <c r="G1546" s="19">
        <f>1.633198857*103.29</f>
        <v>168.69310993953002</v>
      </c>
      <c r="H1546" s="32">
        <v>0.45</v>
      </c>
      <c r="I1546" s="25">
        <f t="shared" si="86"/>
        <v>75.911899472788505</v>
      </c>
      <c r="J1546" s="40"/>
      <c r="K1546" s="39"/>
      <c r="L1546" s="39"/>
      <c r="M1546" s="39"/>
      <c r="N1546" s="23"/>
      <c r="O1546" s="39"/>
      <c r="P1546" s="39"/>
      <c r="Q1546" s="39"/>
      <c r="R1546" s="39"/>
    </row>
    <row r="1547" spans="1:18" s="2" customFormat="1" ht="26.4">
      <c r="A1547" s="20">
        <f t="shared" ref="A1547:A1553" si="90">A1546+1</f>
        <v>1454</v>
      </c>
      <c r="B1547" s="17" t="s">
        <v>2212</v>
      </c>
      <c r="C1547" s="17" t="s">
        <v>2213</v>
      </c>
      <c r="D1547" s="9" t="s">
        <v>25</v>
      </c>
      <c r="E1547" s="20" t="s">
        <v>26</v>
      </c>
      <c r="F1547" s="18">
        <v>1</v>
      </c>
      <c r="G1547" s="19">
        <f>1.633198857*828.9</f>
        <v>1353.7585325672999</v>
      </c>
      <c r="H1547" s="32">
        <v>0.13300000000000001</v>
      </c>
      <c r="I1547" s="25">
        <f t="shared" ref="I1547:I1610" si="91">G1547*H1547</f>
        <v>180.0498848314509</v>
      </c>
      <c r="J1547" s="40"/>
      <c r="K1547" s="39"/>
      <c r="L1547" s="39"/>
      <c r="M1547" s="39"/>
      <c r="N1547" s="23"/>
      <c r="O1547" s="39"/>
      <c r="P1547" s="39"/>
      <c r="Q1547" s="39"/>
      <c r="R1547" s="39"/>
    </row>
    <row r="1548" spans="1:18" s="2" customFormat="1" ht="14.4">
      <c r="A1548" s="20">
        <f t="shared" si="90"/>
        <v>1455</v>
      </c>
      <c r="B1548" s="17" t="s">
        <v>2214</v>
      </c>
      <c r="C1548" s="17" t="s">
        <v>2215</v>
      </c>
      <c r="D1548" s="9" t="s">
        <v>25</v>
      </c>
      <c r="E1548" s="20" t="s">
        <v>26</v>
      </c>
      <c r="F1548" s="18"/>
      <c r="G1548" s="19"/>
      <c r="H1548" s="32"/>
      <c r="I1548" s="25"/>
      <c r="J1548" s="40"/>
      <c r="K1548" s="39"/>
      <c r="L1548" s="39"/>
      <c r="M1548" s="39"/>
      <c r="N1548" s="23"/>
      <c r="O1548" s="39"/>
      <c r="P1548" s="39"/>
      <c r="Q1548" s="39"/>
      <c r="R1548" s="39"/>
    </row>
    <row r="1549" spans="1:18" s="2" customFormat="1" ht="26.4">
      <c r="A1549" s="20">
        <f t="shared" si="90"/>
        <v>1456</v>
      </c>
      <c r="B1549" s="17" t="s">
        <v>2216</v>
      </c>
      <c r="C1549" s="17" t="s">
        <v>2217</v>
      </c>
      <c r="D1549" s="9" t="s">
        <v>25</v>
      </c>
      <c r="E1549" s="20" t="s">
        <v>26</v>
      </c>
      <c r="F1549" s="18">
        <v>1</v>
      </c>
      <c r="G1549" s="19">
        <f>101.01</f>
        <v>101.01</v>
      </c>
      <c r="H1549" s="32">
        <v>1.4999999999999999E-2</v>
      </c>
      <c r="I1549" s="25">
        <f t="shared" si="91"/>
        <v>1.51515</v>
      </c>
      <c r="J1549" s="40"/>
      <c r="K1549" s="39"/>
      <c r="L1549" s="39"/>
      <c r="M1549" s="39"/>
      <c r="N1549" s="23"/>
      <c r="O1549" s="39"/>
      <c r="P1549" s="39"/>
      <c r="Q1549" s="39"/>
      <c r="R1549" s="39"/>
    </row>
    <row r="1550" spans="1:18" s="2" customFormat="1" ht="26.4">
      <c r="A1550" s="20">
        <f t="shared" si="90"/>
        <v>1457</v>
      </c>
      <c r="B1550" s="17" t="s">
        <v>2218</v>
      </c>
      <c r="C1550" s="17" t="s">
        <v>2219</v>
      </c>
      <c r="D1550" s="9" t="s">
        <v>25</v>
      </c>
      <c r="E1550" s="20" t="s">
        <v>26</v>
      </c>
      <c r="F1550" s="18">
        <v>1</v>
      </c>
      <c r="G1550" s="19">
        <f>191.15</f>
        <v>191.15</v>
      </c>
      <c r="H1550" s="32">
        <v>1.4999999999999999E-2</v>
      </c>
      <c r="I1550" s="25">
        <f t="shared" si="91"/>
        <v>2.8672499999999999</v>
      </c>
      <c r="J1550" s="40"/>
      <c r="K1550" s="39"/>
      <c r="L1550" s="39"/>
      <c r="M1550" s="39"/>
      <c r="N1550" s="23"/>
      <c r="O1550" s="39"/>
      <c r="P1550" s="39"/>
      <c r="Q1550" s="39"/>
      <c r="R1550" s="39"/>
    </row>
    <row r="1551" spans="1:18" s="2" customFormat="1" ht="52.8">
      <c r="A1551" s="20">
        <f t="shared" si="90"/>
        <v>1458</v>
      </c>
      <c r="B1551" s="17" t="s">
        <v>2220</v>
      </c>
      <c r="C1551" s="17" t="s">
        <v>2221</v>
      </c>
      <c r="D1551" s="9" t="s">
        <v>25</v>
      </c>
      <c r="E1551" s="20" t="s">
        <v>26</v>
      </c>
      <c r="F1551" s="18">
        <v>1</v>
      </c>
      <c r="G1551" s="19">
        <f>129.05</f>
        <v>129.05000000000001</v>
      </c>
      <c r="H1551" s="32">
        <v>1.4999999999999999E-2</v>
      </c>
      <c r="I1551" s="25">
        <f t="shared" si="91"/>
        <v>1.9357500000000001</v>
      </c>
      <c r="J1551" s="40"/>
      <c r="K1551" s="39"/>
      <c r="L1551" s="39"/>
      <c r="M1551" s="39"/>
      <c r="N1551" s="23"/>
      <c r="O1551" s="39"/>
      <c r="P1551" s="39"/>
      <c r="Q1551" s="39"/>
      <c r="R1551" s="39"/>
    </row>
    <row r="1552" spans="1:18" s="2" customFormat="1" ht="39.6">
      <c r="A1552" s="20">
        <f t="shared" si="90"/>
        <v>1459</v>
      </c>
      <c r="B1552" s="17" t="s">
        <v>2222</v>
      </c>
      <c r="C1552" s="17" t="s">
        <v>2223</v>
      </c>
      <c r="D1552" s="9" t="s">
        <v>25</v>
      </c>
      <c r="E1552" s="20" t="s">
        <v>26</v>
      </c>
      <c r="F1552" s="18">
        <v>1</v>
      </c>
      <c r="G1552" s="19">
        <f>1.633198857*81.49</f>
        <v>133.08937485692999</v>
      </c>
      <c r="H1552" s="32">
        <v>0.3</v>
      </c>
      <c r="I1552" s="25">
        <f t="shared" si="91"/>
        <v>39.926812457078995</v>
      </c>
      <c r="J1552" s="40"/>
      <c r="K1552" s="39"/>
      <c r="L1552" s="39"/>
      <c r="M1552" s="39"/>
      <c r="N1552" s="23"/>
      <c r="O1552" s="39"/>
      <c r="P1552" s="39"/>
      <c r="Q1552" s="39"/>
      <c r="R1552" s="39"/>
    </row>
    <row r="1553" spans="1:18" s="2" customFormat="1" ht="14.4">
      <c r="A1553" s="20">
        <f t="shared" si="90"/>
        <v>1460</v>
      </c>
      <c r="B1553" s="17" t="s">
        <v>2224</v>
      </c>
      <c r="C1553" s="17" t="s">
        <v>2225</v>
      </c>
      <c r="D1553" s="9" t="s">
        <v>56</v>
      </c>
      <c r="E1553" s="20" t="s">
        <v>42</v>
      </c>
      <c r="F1553" s="18">
        <v>1</v>
      </c>
      <c r="G1553" s="19">
        <f>51414.94</f>
        <v>51414.94</v>
      </c>
      <c r="H1553" s="32">
        <v>2.4299999999999999E-2</v>
      </c>
      <c r="I1553" s="25">
        <f t="shared" si="91"/>
        <v>1249.3830419999999</v>
      </c>
      <c r="J1553" s="40"/>
      <c r="K1553" s="39"/>
      <c r="L1553" s="39"/>
      <c r="M1553" s="39"/>
      <c r="N1553" s="23"/>
      <c r="O1553" s="39"/>
      <c r="P1553" s="39"/>
      <c r="Q1553" s="39"/>
      <c r="R1553" s="39"/>
    </row>
    <row r="1554" spans="1:18" ht="39.6">
      <c r="A1554" s="9" t="s">
        <v>61</v>
      </c>
      <c r="B1554" s="13" t="s">
        <v>2226</v>
      </c>
      <c r="C1554" s="13" t="s">
        <v>2227</v>
      </c>
      <c r="D1554" s="14"/>
      <c r="E1554" s="14"/>
      <c r="F1554" s="18"/>
      <c r="G1554" s="19"/>
      <c r="H1554" s="15"/>
      <c r="I1554" s="25"/>
      <c r="J1554" s="24"/>
      <c r="K1554" s="22"/>
      <c r="L1554" s="22"/>
      <c r="M1554" s="22"/>
      <c r="N1554" s="23"/>
      <c r="O1554" s="22"/>
      <c r="P1554" s="22"/>
      <c r="Q1554" s="22"/>
      <c r="R1554" s="22"/>
    </row>
    <row r="1555" spans="1:18" s="2" customFormat="1" ht="26.4">
      <c r="A1555" s="20">
        <f>A1553+1</f>
        <v>1461</v>
      </c>
      <c r="B1555" s="17" t="s">
        <v>2228</v>
      </c>
      <c r="C1555" s="17" t="s">
        <v>2229</v>
      </c>
      <c r="D1555" s="20" t="s">
        <v>5</v>
      </c>
      <c r="E1555" s="20" t="s">
        <v>6</v>
      </c>
      <c r="F1555" s="18">
        <v>1</v>
      </c>
      <c r="G1555" s="19">
        <v>590000</v>
      </c>
      <c r="H1555" s="32">
        <v>1</v>
      </c>
      <c r="I1555" s="25">
        <f t="shared" si="91"/>
        <v>590000</v>
      </c>
      <c r="J1555" s="40"/>
      <c r="K1555" s="39"/>
      <c r="L1555" s="39"/>
      <c r="M1555" s="39"/>
      <c r="N1555" s="23"/>
      <c r="O1555" s="39"/>
      <c r="P1555" s="39"/>
      <c r="Q1555" s="39"/>
      <c r="R1555" s="39"/>
    </row>
    <row r="1556" spans="1:18" ht="26.4">
      <c r="A1556" s="9" t="s">
        <v>61</v>
      </c>
      <c r="B1556" s="13" t="s">
        <v>2230</v>
      </c>
      <c r="C1556" s="13" t="s">
        <v>2231</v>
      </c>
      <c r="D1556" s="14"/>
      <c r="E1556" s="14"/>
      <c r="F1556" s="18"/>
      <c r="G1556" s="19"/>
      <c r="H1556" s="15"/>
      <c r="I1556" s="25"/>
      <c r="J1556" s="24"/>
      <c r="K1556" s="22"/>
      <c r="L1556" s="22"/>
      <c r="M1556" s="22"/>
      <c r="N1556" s="23"/>
      <c r="O1556" s="22"/>
      <c r="P1556" s="22"/>
      <c r="Q1556" s="22"/>
      <c r="R1556" s="22"/>
    </row>
    <row r="1557" spans="1:18" s="2" customFormat="1" ht="39.6">
      <c r="A1557" s="20">
        <f>A1555+1</f>
        <v>1462</v>
      </c>
      <c r="B1557" s="17" t="s">
        <v>2232</v>
      </c>
      <c r="C1557" s="17" t="s">
        <v>2233</v>
      </c>
      <c r="D1557" s="20" t="s">
        <v>5</v>
      </c>
      <c r="E1557" s="20" t="s">
        <v>6</v>
      </c>
      <c r="F1557" s="18">
        <v>1</v>
      </c>
      <c r="G1557" s="19">
        <f>1.633198857*46.43</f>
        <v>75.829422930510006</v>
      </c>
      <c r="H1557" s="32">
        <v>1</v>
      </c>
      <c r="I1557" s="25">
        <f t="shared" si="91"/>
        <v>75.829422930510006</v>
      </c>
      <c r="J1557" s="40"/>
      <c r="K1557" s="39"/>
      <c r="L1557" s="39"/>
      <c r="M1557" s="39"/>
      <c r="N1557" s="23"/>
      <c r="O1557" s="39"/>
      <c r="P1557" s="39"/>
      <c r="Q1557" s="39"/>
      <c r="R1557" s="39"/>
    </row>
    <row r="1558" spans="1:18" s="2" customFormat="1" ht="26.4">
      <c r="A1558" s="20">
        <f>A1557+1</f>
        <v>1463</v>
      </c>
      <c r="B1558" s="17" t="s">
        <v>2234</v>
      </c>
      <c r="C1558" s="17" t="s">
        <v>2235</v>
      </c>
      <c r="D1558" s="20" t="s">
        <v>5</v>
      </c>
      <c r="E1558" s="20" t="s">
        <v>6</v>
      </c>
      <c r="F1558" s="18">
        <v>1</v>
      </c>
      <c r="G1558" s="19">
        <f>81.28</f>
        <v>81.28</v>
      </c>
      <c r="H1558" s="32">
        <v>2</v>
      </c>
      <c r="I1558" s="25">
        <f t="shared" si="91"/>
        <v>162.56</v>
      </c>
      <c r="J1558" s="40"/>
      <c r="K1558" s="39"/>
      <c r="L1558" s="39"/>
      <c r="M1558" s="39"/>
      <c r="N1558" s="23"/>
      <c r="O1558" s="39"/>
      <c r="P1558" s="39"/>
      <c r="Q1558" s="39"/>
      <c r="R1558" s="39"/>
    </row>
    <row r="1559" spans="1:18" s="2" customFormat="1" ht="26.4">
      <c r="A1559" s="20">
        <f t="shared" ref="A1559:A1580" si="92">A1558+1</f>
        <v>1464</v>
      </c>
      <c r="B1559" s="17" t="s">
        <v>2236</v>
      </c>
      <c r="C1559" s="17" t="s">
        <v>2237</v>
      </c>
      <c r="D1559" s="20" t="s">
        <v>5</v>
      </c>
      <c r="E1559" s="20" t="s">
        <v>6</v>
      </c>
      <c r="F1559" s="18">
        <v>1</v>
      </c>
      <c r="G1559" s="19">
        <f>1.633198857*1236.36</f>
        <v>2019.2217388405199</v>
      </c>
      <c r="H1559" s="32">
        <v>1</v>
      </c>
      <c r="I1559" s="25">
        <f t="shared" si="91"/>
        <v>2019.2217388405199</v>
      </c>
      <c r="J1559" s="40"/>
      <c r="K1559" s="39"/>
      <c r="L1559" s="39"/>
      <c r="M1559" s="39"/>
      <c r="N1559" s="23"/>
      <c r="O1559" s="39"/>
      <c r="P1559" s="39"/>
      <c r="Q1559" s="39"/>
      <c r="R1559" s="39"/>
    </row>
    <row r="1560" spans="1:18" s="2" customFormat="1" ht="14.4">
      <c r="A1560" s="20">
        <f t="shared" si="92"/>
        <v>1465</v>
      </c>
      <c r="B1560" s="17" t="s">
        <v>2238</v>
      </c>
      <c r="C1560" s="17" t="s">
        <v>2239</v>
      </c>
      <c r="D1560" s="20" t="s">
        <v>5</v>
      </c>
      <c r="E1560" s="20" t="s">
        <v>6</v>
      </c>
      <c r="F1560" s="18">
        <v>1</v>
      </c>
      <c r="G1560" s="19">
        <f>5657.27</f>
        <v>5657.27</v>
      </c>
      <c r="H1560" s="32">
        <v>1</v>
      </c>
      <c r="I1560" s="25">
        <f t="shared" si="91"/>
        <v>5657.27</v>
      </c>
      <c r="J1560" s="40"/>
      <c r="K1560" s="39"/>
      <c r="L1560" s="39"/>
      <c r="M1560" s="39"/>
      <c r="N1560" s="23"/>
      <c r="O1560" s="39"/>
      <c r="P1560" s="39"/>
      <c r="Q1560" s="39"/>
      <c r="R1560" s="39"/>
    </row>
    <row r="1561" spans="1:18" s="2" customFormat="1" ht="39.6">
      <c r="A1561" s="20">
        <f t="shared" si="92"/>
        <v>1466</v>
      </c>
      <c r="B1561" s="17" t="s">
        <v>2240</v>
      </c>
      <c r="C1561" s="17" t="s">
        <v>2241</v>
      </c>
      <c r="D1561" s="20" t="s">
        <v>5</v>
      </c>
      <c r="E1561" s="20" t="s">
        <v>6</v>
      </c>
      <c r="F1561" s="18">
        <v>1</v>
      </c>
      <c r="G1561" s="19">
        <f>1.633198857*208.1</f>
        <v>339.86868214169999</v>
      </c>
      <c r="H1561" s="32">
        <v>1</v>
      </c>
      <c r="I1561" s="25">
        <f t="shared" si="91"/>
        <v>339.86868214169999</v>
      </c>
      <c r="J1561" s="40"/>
      <c r="K1561" s="39"/>
      <c r="L1561" s="39"/>
      <c r="M1561" s="39"/>
      <c r="N1561" s="23"/>
      <c r="O1561" s="39"/>
      <c r="P1561" s="39"/>
      <c r="Q1561" s="39"/>
      <c r="R1561" s="39"/>
    </row>
    <row r="1562" spans="1:18" s="2" customFormat="1" ht="39.6">
      <c r="A1562" s="20">
        <f t="shared" si="92"/>
        <v>1467</v>
      </c>
      <c r="B1562" s="17" t="s">
        <v>2242</v>
      </c>
      <c r="C1562" s="17" t="s">
        <v>2243</v>
      </c>
      <c r="D1562" s="20" t="s">
        <v>5</v>
      </c>
      <c r="E1562" s="20" t="s">
        <v>6</v>
      </c>
      <c r="F1562" s="18">
        <v>1</v>
      </c>
      <c r="G1562" s="19">
        <f>1.633198857*215.82</f>
        <v>352.47697731773997</v>
      </c>
      <c r="H1562" s="32">
        <v>3</v>
      </c>
      <c r="I1562" s="25">
        <f t="shared" si="91"/>
        <v>1057.4309319532199</v>
      </c>
      <c r="J1562" s="40"/>
      <c r="K1562" s="39"/>
      <c r="L1562" s="39"/>
      <c r="M1562" s="39"/>
      <c r="N1562" s="23"/>
      <c r="O1562" s="39"/>
      <c r="P1562" s="39"/>
      <c r="Q1562" s="39"/>
      <c r="R1562" s="39"/>
    </row>
    <row r="1563" spans="1:18" s="2" customFormat="1" ht="39.6">
      <c r="A1563" s="20">
        <f t="shared" si="92"/>
        <v>1468</v>
      </c>
      <c r="B1563" s="17" t="s">
        <v>2244</v>
      </c>
      <c r="C1563" s="17" t="s">
        <v>2245</v>
      </c>
      <c r="D1563" s="20" t="s">
        <v>5</v>
      </c>
      <c r="E1563" s="20" t="s">
        <v>6</v>
      </c>
      <c r="F1563" s="18">
        <v>1</v>
      </c>
      <c r="G1563" s="19">
        <f>1.633198857*402.85</f>
        <v>657.93415954245006</v>
      </c>
      <c r="H1563" s="32">
        <f>191+19</f>
        <v>210</v>
      </c>
      <c r="I1563" s="25">
        <f t="shared" si="91"/>
        <v>138166.1735039145</v>
      </c>
      <c r="J1563" s="40"/>
      <c r="K1563" s="39"/>
      <c r="L1563" s="39"/>
      <c r="M1563" s="39"/>
      <c r="N1563" s="23"/>
      <c r="O1563" s="39"/>
      <c r="P1563" s="39"/>
      <c r="Q1563" s="39"/>
      <c r="R1563" s="39"/>
    </row>
    <row r="1564" spans="1:18" s="2" customFormat="1" ht="14.4">
      <c r="A1564" s="20">
        <f t="shared" si="92"/>
        <v>1469</v>
      </c>
      <c r="B1564" s="17" t="s">
        <v>2246</v>
      </c>
      <c r="C1564" s="17" t="s">
        <v>2247</v>
      </c>
      <c r="D1564" s="20" t="s">
        <v>5</v>
      </c>
      <c r="E1564" s="20" t="s">
        <v>6</v>
      </c>
      <c r="F1564" s="18">
        <v>1</v>
      </c>
      <c r="G1564" s="19">
        <v>471</v>
      </c>
      <c r="H1564" s="32">
        <v>1</v>
      </c>
      <c r="I1564" s="25">
        <f t="shared" si="91"/>
        <v>471</v>
      </c>
      <c r="J1564" s="40"/>
      <c r="K1564" s="39"/>
      <c r="L1564" s="39"/>
      <c r="M1564" s="39"/>
      <c r="N1564" s="23"/>
      <c r="O1564" s="39"/>
      <c r="P1564" s="39"/>
      <c r="Q1564" s="39"/>
      <c r="R1564" s="39"/>
    </row>
    <row r="1565" spans="1:18" s="2" customFormat="1" ht="14.4">
      <c r="A1565" s="20">
        <f t="shared" si="92"/>
        <v>1470</v>
      </c>
      <c r="B1565" s="17" t="s">
        <v>2248</v>
      </c>
      <c r="C1565" s="17" t="s">
        <v>2249</v>
      </c>
      <c r="D1565" s="9" t="s">
        <v>25</v>
      </c>
      <c r="E1565" s="20" t="s">
        <v>26</v>
      </c>
      <c r="F1565" s="18">
        <v>1</v>
      </c>
      <c r="G1565" s="19">
        <v>11.87</v>
      </c>
      <c r="H1565" s="32">
        <v>250</v>
      </c>
      <c r="I1565" s="25">
        <f t="shared" si="91"/>
        <v>2967.5</v>
      </c>
      <c r="J1565" s="40"/>
      <c r="K1565" s="39"/>
      <c r="L1565" s="39"/>
      <c r="M1565" s="39"/>
      <c r="N1565" s="23"/>
      <c r="O1565" s="39"/>
      <c r="P1565" s="39"/>
      <c r="Q1565" s="39"/>
      <c r="R1565" s="39"/>
    </row>
    <row r="1566" spans="1:18" s="2" customFormat="1" ht="14.4">
      <c r="A1566" s="20">
        <f t="shared" si="92"/>
        <v>1471</v>
      </c>
      <c r="B1566" s="17" t="s">
        <v>2250</v>
      </c>
      <c r="C1566" s="17" t="s">
        <v>2251</v>
      </c>
      <c r="D1566" s="20" t="s">
        <v>25</v>
      </c>
      <c r="E1566" s="20" t="s">
        <v>26</v>
      </c>
      <c r="F1566" s="18">
        <v>1</v>
      </c>
      <c r="G1566" s="19">
        <v>17.899999999999999</v>
      </c>
      <c r="H1566" s="32">
        <v>20</v>
      </c>
      <c r="I1566" s="25">
        <f t="shared" si="91"/>
        <v>358</v>
      </c>
      <c r="J1566" s="40"/>
      <c r="K1566" s="39"/>
      <c r="L1566" s="39"/>
      <c r="M1566" s="39"/>
      <c r="N1566" s="23"/>
      <c r="O1566" s="39"/>
      <c r="P1566" s="39"/>
      <c r="Q1566" s="39"/>
      <c r="R1566" s="39"/>
    </row>
    <row r="1567" spans="1:18" s="2" customFormat="1" ht="14.4">
      <c r="A1567" s="20">
        <f t="shared" si="92"/>
        <v>1472</v>
      </c>
      <c r="B1567" s="17" t="s">
        <v>2252</v>
      </c>
      <c r="C1567" s="17" t="s">
        <v>2253</v>
      </c>
      <c r="D1567" s="20" t="s">
        <v>5</v>
      </c>
      <c r="E1567" s="20" t="s">
        <v>6</v>
      </c>
      <c r="F1567" s="18">
        <v>1</v>
      </c>
      <c r="G1567" s="19">
        <f>1.633198857*509.07</f>
        <v>831.41254213298998</v>
      </c>
      <c r="H1567" s="32">
        <v>20</v>
      </c>
      <c r="I1567" s="25">
        <f t="shared" si="91"/>
        <v>16628.2508426598</v>
      </c>
      <c r="J1567" s="40"/>
      <c r="K1567" s="39"/>
      <c r="L1567" s="39"/>
      <c r="M1567" s="39"/>
      <c r="N1567" s="23"/>
      <c r="O1567" s="39"/>
      <c r="P1567" s="39"/>
      <c r="Q1567" s="39"/>
      <c r="R1567" s="39"/>
    </row>
    <row r="1568" spans="1:18" s="2" customFormat="1" ht="14.4">
      <c r="A1568" s="20">
        <f t="shared" si="92"/>
        <v>1473</v>
      </c>
      <c r="B1568" s="17" t="s">
        <v>2254</v>
      </c>
      <c r="C1568" s="17" t="s">
        <v>2255</v>
      </c>
      <c r="D1568" s="20" t="s">
        <v>5</v>
      </c>
      <c r="E1568" s="20" t="s">
        <v>6</v>
      </c>
      <c r="F1568" s="18">
        <v>1</v>
      </c>
      <c r="G1568" s="19">
        <f>294.11</f>
        <v>294.11</v>
      </c>
      <c r="H1568" s="32">
        <v>10</v>
      </c>
      <c r="I1568" s="25">
        <f t="shared" si="91"/>
        <v>2941.1000000000004</v>
      </c>
      <c r="J1568" s="40"/>
      <c r="K1568" s="39"/>
      <c r="L1568" s="39"/>
      <c r="M1568" s="39"/>
      <c r="N1568" s="23"/>
      <c r="O1568" s="39"/>
      <c r="P1568" s="39"/>
      <c r="Q1568" s="39"/>
      <c r="R1568" s="39"/>
    </row>
    <row r="1569" spans="1:18" s="2" customFormat="1" ht="14.4">
      <c r="A1569" s="20">
        <f t="shared" si="92"/>
        <v>1474</v>
      </c>
      <c r="B1569" s="17" t="s">
        <v>2256</v>
      </c>
      <c r="C1569" s="17" t="s">
        <v>2257</v>
      </c>
      <c r="D1569" s="9" t="s">
        <v>25</v>
      </c>
      <c r="E1569" s="20" t="s">
        <v>26</v>
      </c>
      <c r="F1569" s="18">
        <v>1</v>
      </c>
      <c r="G1569" s="19">
        <f>1.633198857*47.7</f>
        <v>77.903585478899998</v>
      </c>
      <c r="H1569" s="32">
        <v>2500</v>
      </c>
      <c r="I1569" s="25">
        <f t="shared" si="91"/>
        <v>194758.96369725</v>
      </c>
      <c r="J1569" s="40"/>
      <c r="K1569" s="39"/>
      <c r="L1569" s="39"/>
      <c r="M1569" s="39"/>
      <c r="N1569" s="23"/>
      <c r="O1569" s="39"/>
      <c r="P1569" s="39"/>
      <c r="Q1569" s="39"/>
      <c r="R1569" s="39"/>
    </row>
    <row r="1570" spans="1:18" s="2" customFormat="1" ht="14.4">
      <c r="A1570" s="20">
        <f t="shared" si="92"/>
        <v>1475</v>
      </c>
      <c r="B1570" s="17" t="s">
        <v>2258</v>
      </c>
      <c r="C1570" s="17" t="s">
        <v>2259</v>
      </c>
      <c r="D1570" s="9" t="s">
        <v>25</v>
      </c>
      <c r="E1570" s="20" t="s">
        <v>26</v>
      </c>
      <c r="F1570" s="18">
        <v>1</v>
      </c>
      <c r="G1570" s="19">
        <f>254.52</f>
        <v>254.52</v>
      </c>
      <c r="H1570" s="32">
        <v>35</v>
      </c>
      <c r="I1570" s="25">
        <f t="shared" si="91"/>
        <v>8908.2000000000007</v>
      </c>
      <c r="J1570" s="40"/>
      <c r="K1570" s="39"/>
      <c r="L1570" s="39"/>
      <c r="M1570" s="39"/>
      <c r="N1570" s="23"/>
      <c r="O1570" s="39"/>
      <c r="P1570" s="39"/>
      <c r="Q1570" s="39"/>
      <c r="R1570" s="39"/>
    </row>
    <row r="1571" spans="1:18" s="2" customFormat="1" ht="14.4">
      <c r="A1571" s="20">
        <f t="shared" si="92"/>
        <v>1476</v>
      </c>
      <c r="B1571" s="17" t="s">
        <v>2260</v>
      </c>
      <c r="C1571" s="17" t="s">
        <v>2261</v>
      </c>
      <c r="D1571" s="20" t="s">
        <v>25</v>
      </c>
      <c r="E1571" s="20" t="s">
        <v>26</v>
      </c>
      <c r="F1571" s="18">
        <v>1</v>
      </c>
      <c r="G1571" s="19">
        <f>112.6</f>
        <v>112.6</v>
      </c>
      <c r="H1571" s="32">
        <v>2500</v>
      </c>
      <c r="I1571" s="25">
        <f t="shared" si="91"/>
        <v>281500</v>
      </c>
      <c r="J1571" s="40"/>
      <c r="K1571" s="39"/>
      <c r="L1571" s="39"/>
      <c r="M1571" s="39"/>
      <c r="N1571" s="23"/>
      <c r="O1571" s="39"/>
      <c r="P1571" s="39"/>
      <c r="Q1571" s="39"/>
      <c r="R1571" s="39"/>
    </row>
    <row r="1572" spans="1:18" s="2" customFormat="1" ht="14.4">
      <c r="A1572" s="20">
        <f t="shared" si="92"/>
        <v>1477</v>
      </c>
      <c r="B1572" s="17" t="s">
        <v>2262</v>
      </c>
      <c r="C1572" s="17" t="s">
        <v>2263</v>
      </c>
      <c r="D1572" s="9" t="s">
        <v>5</v>
      </c>
      <c r="E1572" s="20" t="s">
        <v>6</v>
      </c>
      <c r="F1572" s="18">
        <v>1</v>
      </c>
      <c r="G1572" s="19">
        <v>249.9</v>
      </c>
      <c r="H1572" s="32">
        <v>89</v>
      </c>
      <c r="I1572" s="25">
        <f t="shared" si="91"/>
        <v>22241.100000000002</v>
      </c>
      <c r="J1572" s="40"/>
      <c r="K1572" s="39"/>
      <c r="L1572" s="39"/>
      <c r="M1572" s="39"/>
      <c r="N1572" s="23"/>
      <c r="O1572" s="39"/>
      <c r="P1572" s="39"/>
      <c r="Q1572" s="39"/>
      <c r="R1572" s="39"/>
    </row>
    <row r="1573" spans="1:18" s="2" customFormat="1" ht="52.8">
      <c r="A1573" s="20">
        <f t="shared" si="92"/>
        <v>1478</v>
      </c>
      <c r="B1573" s="17" t="s">
        <v>2264</v>
      </c>
      <c r="C1573" s="17" t="s">
        <v>2265</v>
      </c>
      <c r="D1573" s="9" t="s">
        <v>25</v>
      </c>
      <c r="E1573" s="20" t="s">
        <v>26</v>
      </c>
      <c r="F1573" s="18">
        <v>1</v>
      </c>
      <c r="G1573" s="19">
        <f>1.633198857*14.46</f>
        <v>23.616055472220001</v>
      </c>
      <c r="H1573" s="32">
        <f>H1576+H1575+H1574</f>
        <v>3230</v>
      </c>
      <c r="I1573" s="25">
        <f t="shared" si="91"/>
        <v>76279.859175270598</v>
      </c>
      <c r="J1573" s="40"/>
      <c r="K1573" s="39"/>
      <c r="L1573" s="39"/>
      <c r="M1573" s="39"/>
      <c r="N1573" s="23"/>
      <c r="O1573" s="39"/>
      <c r="P1573" s="39"/>
      <c r="Q1573" s="39"/>
      <c r="R1573" s="39"/>
    </row>
    <row r="1574" spans="1:18" s="2" customFormat="1" ht="14.4">
      <c r="A1574" s="20">
        <f t="shared" si="92"/>
        <v>1479</v>
      </c>
      <c r="B1574" s="17" t="s">
        <v>2266</v>
      </c>
      <c r="C1574" s="17" t="s">
        <v>2267</v>
      </c>
      <c r="D1574" s="9" t="s">
        <v>25</v>
      </c>
      <c r="E1574" s="20" t="s">
        <v>26</v>
      </c>
      <c r="F1574" s="18">
        <v>1</v>
      </c>
      <c r="G1574" s="19">
        <f>20.34</f>
        <v>20.34</v>
      </c>
      <c r="H1574" s="32">
        <v>15</v>
      </c>
      <c r="I1574" s="25">
        <f t="shared" si="91"/>
        <v>305.10000000000002</v>
      </c>
      <c r="J1574" s="40"/>
      <c r="K1574" s="39"/>
      <c r="L1574" s="39"/>
      <c r="M1574" s="39"/>
      <c r="N1574" s="23"/>
      <c r="O1574" s="39"/>
      <c r="P1574" s="39"/>
      <c r="Q1574" s="39"/>
      <c r="R1574" s="39"/>
    </row>
    <row r="1575" spans="1:18" s="2" customFormat="1" ht="26.4">
      <c r="A1575" s="20">
        <f t="shared" si="92"/>
        <v>1480</v>
      </c>
      <c r="B1575" s="17" t="s">
        <v>2268</v>
      </c>
      <c r="C1575" s="17" t="s">
        <v>2269</v>
      </c>
      <c r="D1575" s="9" t="s">
        <v>25</v>
      </c>
      <c r="E1575" s="20" t="s">
        <v>26</v>
      </c>
      <c r="F1575" s="18">
        <v>1</v>
      </c>
      <c r="G1575" s="19">
        <f>40.98</f>
        <v>40.98</v>
      </c>
      <c r="H1575" s="32">
        <v>15</v>
      </c>
      <c r="I1575" s="25">
        <f t="shared" si="91"/>
        <v>614.69999999999993</v>
      </c>
      <c r="J1575" s="40"/>
      <c r="K1575" s="39"/>
      <c r="L1575" s="39"/>
      <c r="M1575" s="39"/>
      <c r="N1575" s="23"/>
      <c r="O1575" s="39"/>
      <c r="P1575" s="39"/>
      <c r="Q1575" s="39"/>
      <c r="R1575" s="39"/>
    </row>
    <row r="1576" spans="1:18" s="2" customFormat="1" ht="14.4">
      <c r="A1576" s="20">
        <f t="shared" si="92"/>
        <v>1481</v>
      </c>
      <c r="B1576" s="17" t="s">
        <v>2270</v>
      </c>
      <c r="C1576" s="17" t="s">
        <v>2271</v>
      </c>
      <c r="D1576" s="9" t="s">
        <v>25</v>
      </c>
      <c r="E1576" s="20" t="s">
        <v>26</v>
      </c>
      <c r="F1576" s="18">
        <v>1</v>
      </c>
      <c r="G1576" s="19">
        <f>24.52</f>
        <v>24.52</v>
      </c>
      <c r="H1576" s="32">
        <v>3200</v>
      </c>
      <c r="I1576" s="25">
        <f t="shared" si="91"/>
        <v>78464</v>
      </c>
      <c r="J1576" s="40"/>
      <c r="K1576" s="39"/>
      <c r="L1576" s="39"/>
      <c r="M1576" s="39"/>
      <c r="N1576" s="23"/>
      <c r="O1576" s="39"/>
      <c r="P1576" s="39"/>
      <c r="Q1576" s="39"/>
      <c r="R1576" s="39"/>
    </row>
    <row r="1577" spans="1:18" s="2" customFormat="1" ht="14.4">
      <c r="A1577" s="20">
        <f t="shared" si="92"/>
        <v>1482</v>
      </c>
      <c r="B1577" s="17" t="s">
        <v>2272</v>
      </c>
      <c r="C1577" s="17" t="s">
        <v>2273</v>
      </c>
      <c r="D1577" s="9" t="s">
        <v>2274</v>
      </c>
      <c r="E1577" s="20" t="s">
        <v>2275</v>
      </c>
      <c r="F1577" s="18">
        <v>1</v>
      </c>
      <c r="G1577" s="19">
        <v>10.57</v>
      </c>
      <c r="H1577" s="32">
        <v>9</v>
      </c>
      <c r="I1577" s="25">
        <f t="shared" si="91"/>
        <v>95.13</v>
      </c>
      <c r="J1577" s="40"/>
      <c r="K1577" s="39"/>
      <c r="L1577" s="39"/>
      <c r="M1577" s="39"/>
      <c r="N1577" s="23"/>
      <c r="O1577" s="39"/>
      <c r="P1577" s="39"/>
      <c r="Q1577" s="39"/>
      <c r="R1577" s="39"/>
    </row>
    <row r="1578" spans="1:18" s="2" customFormat="1" ht="14.4">
      <c r="A1578" s="20">
        <f t="shared" si="92"/>
        <v>1483</v>
      </c>
      <c r="B1578" s="17" t="s">
        <v>2276</v>
      </c>
      <c r="C1578" s="17" t="s">
        <v>2277</v>
      </c>
      <c r="D1578" s="9" t="s">
        <v>2274</v>
      </c>
      <c r="E1578" s="20" t="s">
        <v>2275</v>
      </c>
      <c r="F1578" s="18">
        <v>1</v>
      </c>
      <c r="G1578" s="19">
        <v>283.60000000000002</v>
      </c>
      <c r="H1578" s="32">
        <v>9</v>
      </c>
      <c r="I1578" s="25">
        <f t="shared" si="91"/>
        <v>2552.4</v>
      </c>
      <c r="J1578" s="40"/>
      <c r="K1578" s="39"/>
      <c r="L1578" s="39"/>
      <c r="M1578" s="39"/>
      <c r="N1578" s="23"/>
      <c r="O1578" s="39"/>
      <c r="P1578" s="39"/>
      <c r="Q1578" s="39"/>
      <c r="R1578" s="39"/>
    </row>
    <row r="1579" spans="1:18" s="2" customFormat="1" ht="14.4">
      <c r="A1579" s="20">
        <f t="shared" si="92"/>
        <v>1484</v>
      </c>
      <c r="B1579" s="17" t="s">
        <v>2278</v>
      </c>
      <c r="C1579" s="17" t="s">
        <v>2279</v>
      </c>
      <c r="D1579" s="20" t="s">
        <v>5</v>
      </c>
      <c r="E1579" s="20" t="s">
        <v>6</v>
      </c>
      <c r="F1579" s="18">
        <v>1</v>
      </c>
      <c r="G1579" s="19">
        <v>392</v>
      </c>
      <c r="H1579" s="32">
        <v>3</v>
      </c>
      <c r="I1579" s="25">
        <f t="shared" si="91"/>
        <v>1176</v>
      </c>
      <c r="J1579" s="40"/>
      <c r="K1579" s="39"/>
      <c r="L1579" s="39"/>
      <c r="M1579" s="39"/>
      <c r="N1579" s="23"/>
      <c r="O1579" s="39"/>
      <c r="P1579" s="39"/>
      <c r="Q1579" s="39"/>
      <c r="R1579" s="39"/>
    </row>
    <row r="1580" spans="1:18" s="2" customFormat="1" ht="14.4">
      <c r="A1580" s="20">
        <f t="shared" si="92"/>
        <v>1485</v>
      </c>
      <c r="B1580" s="17" t="s">
        <v>1077</v>
      </c>
      <c r="C1580" s="17" t="s">
        <v>219</v>
      </c>
      <c r="D1580" s="20" t="s">
        <v>48</v>
      </c>
      <c r="E1580" s="20" t="s">
        <v>49</v>
      </c>
      <c r="F1580" s="18">
        <v>1</v>
      </c>
      <c r="G1580" s="19"/>
      <c r="H1580" s="32">
        <v>1</v>
      </c>
      <c r="I1580" s="25">
        <f>SUM(I1496:I1579)*0.05</f>
        <v>94091.235496649286</v>
      </c>
      <c r="J1580" s="40"/>
      <c r="K1580" s="39"/>
      <c r="L1580" s="39"/>
      <c r="M1580" s="39"/>
      <c r="N1580" s="23"/>
      <c r="O1580" s="39"/>
      <c r="P1580" s="39"/>
      <c r="Q1580" s="39"/>
      <c r="R1580" s="39"/>
    </row>
    <row r="1581" spans="1:18" ht="39.6">
      <c r="A1581" s="9" t="s">
        <v>61</v>
      </c>
      <c r="B1581" s="13" t="s">
        <v>2280</v>
      </c>
      <c r="C1581" s="13" t="s">
        <v>2281</v>
      </c>
      <c r="D1581" s="14"/>
      <c r="E1581" s="14"/>
      <c r="F1581" s="18"/>
      <c r="G1581" s="19"/>
      <c r="H1581" s="15"/>
      <c r="I1581" s="25"/>
      <c r="J1581" s="24"/>
      <c r="K1581" s="22"/>
      <c r="L1581" s="22"/>
      <c r="M1581" s="22"/>
      <c r="N1581" s="23"/>
      <c r="O1581" s="22"/>
      <c r="P1581" s="22"/>
      <c r="Q1581" s="22"/>
      <c r="R1581" s="22"/>
    </row>
    <row r="1582" spans="1:18" s="2" customFormat="1" ht="26.4">
      <c r="A1582" s="20">
        <f>A1580+1</f>
        <v>1486</v>
      </c>
      <c r="B1582" s="17" t="s">
        <v>2282</v>
      </c>
      <c r="C1582" s="17" t="s">
        <v>2283</v>
      </c>
      <c r="D1582" s="20" t="s">
        <v>5</v>
      </c>
      <c r="E1582" s="20" t="s">
        <v>6</v>
      </c>
      <c r="F1582" s="18">
        <v>1</v>
      </c>
      <c r="G1582" s="19">
        <v>13370</v>
      </c>
      <c r="H1582" s="32">
        <v>1</v>
      </c>
      <c r="I1582" s="25">
        <f t="shared" si="91"/>
        <v>13370</v>
      </c>
      <c r="J1582" s="40"/>
      <c r="K1582" s="39"/>
      <c r="L1582" s="39"/>
      <c r="M1582" s="39"/>
      <c r="N1582" s="23"/>
      <c r="O1582" s="39"/>
      <c r="P1582" s="39"/>
      <c r="Q1582" s="39"/>
      <c r="R1582" s="39"/>
    </row>
    <row r="1583" spans="1:18" s="2" customFormat="1" ht="14.4">
      <c r="A1583" s="20">
        <f t="shared" ref="A1583:A1589" si="93">A1582+1</f>
        <v>1487</v>
      </c>
      <c r="B1583" s="17" t="s">
        <v>2284</v>
      </c>
      <c r="C1583" s="17" t="s">
        <v>2285</v>
      </c>
      <c r="D1583" s="20" t="s">
        <v>5</v>
      </c>
      <c r="E1583" s="20" t="s">
        <v>6</v>
      </c>
      <c r="F1583" s="18">
        <v>1</v>
      </c>
      <c r="G1583" s="19">
        <v>4800</v>
      </c>
      <c r="H1583" s="32">
        <v>1</v>
      </c>
      <c r="I1583" s="25">
        <f t="shared" si="91"/>
        <v>4800</v>
      </c>
      <c r="J1583" s="40"/>
      <c r="K1583" s="39"/>
      <c r="L1583" s="39"/>
      <c r="M1583" s="39"/>
      <c r="N1583" s="23"/>
      <c r="O1583" s="39"/>
      <c r="P1583" s="39"/>
      <c r="Q1583" s="39"/>
      <c r="R1583" s="39"/>
    </row>
    <row r="1584" spans="1:18" s="2" customFormat="1" ht="26.4">
      <c r="A1584" s="20">
        <f t="shared" si="93"/>
        <v>1488</v>
      </c>
      <c r="B1584" s="17" t="s">
        <v>2286</v>
      </c>
      <c r="C1584" s="17" t="s">
        <v>2287</v>
      </c>
      <c r="D1584" s="20" t="s">
        <v>5</v>
      </c>
      <c r="E1584" s="20" t="s">
        <v>6</v>
      </c>
      <c r="F1584" s="18">
        <v>1</v>
      </c>
      <c r="G1584" s="19">
        <v>3992</v>
      </c>
      <c r="H1584" s="32">
        <v>1</v>
      </c>
      <c r="I1584" s="25">
        <f t="shared" si="91"/>
        <v>3992</v>
      </c>
      <c r="J1584" s="40"/>
      <c r="K1584" s="39"/>
      <c r="L1584" s="39"/>
      <c r="M1584" s="39"/>
      <c r="N1584" s="23"/>
      <c r="O1584" s="39"/>
      <c r="P1584" s="39"/>
      <c r="Q1584" s="39"/>
      <c r="R1584" s="39"/>
    </row>
    <row r="1585" spans="1:18" s="2" customFormat="1" ht="14.4">
      <c r="A1585" s="20">
        <f t="shared" si="93"/>
        <v>1489</v>
      </c>
      <c r="B1585" s="17" t="s">
        <v>2288</v>
      </c>
      <c r="C1585" s="17" t="s">
        <v>2289</v>
      </c>
      <c r="D1585" s="20" t="s">
        <v>5</v>
      </c>
      <c r="E1585" s="20" t="s">
        <v>6</v>
      </c>
      <c r="F1585" s="18">
        <v>1</v>
      </c>
      <c r="G1585" s="19">
        <v>190.4</v>
      </c>
      <c r="H1585" s="32">
        <v>22</v>
      </c>
      <c r="I1585" s="25">
        <f t="shared" si="91"/>
        <v>4188.8</v>
      </c>
      <c r="J1585" s="40"/>
      <c r="K1585" s="39"/>
      <c r="L1585" s="39"/>
      <c r="M1585" s="39"/>
      <c r="N1585" s="23"/>
      <c r="O1585" s="39"/>
      <c r="P1585" s="39"/>
      <c r="Q1585" s="39"/>
      <c r="R1585" s="39"/>
    </row>
    <row r="1586" spans="1:18" s="2" customFormat="1" ht="14.4">
      <c r="A1586" s="20">
        <f t="shared" si="93"/>
        <v>1490</v>
      </c>
      <c r="B1586" s="17" t="s">
        <v>2290</v>
      </c>
      <c r="C1586" s="17" t="s">
        <v>2291</v>
      </c>
      <c r="D1586" s="20" t="s">
        <v>5</v>
      </c>
      <c r="E1586" s="20" t="s">
        <v>6</v>
      </c>
      <c r="F1586" s="18">
        <v>1</v>
      </c>
      <c r="G1586" s="19">
        <v>88.9</v>
      </c>
      <c r="H1586" s="32">
        <v>3</v>
      </c>
      <c r="I1586" s="25">
        <f t="shared" si="91"/>
        <v>266.70000000000005</v>
      </c>
      <c r="J1586" s="40"/>
      <c r="K1586" s="39"/>
      <c r="L1586" s="39"/>
      <c r="M1586" s="39"/>
      <c r="N1586" s="23"/>
      <c r="O1586" s="39"/>
      <c r="P1586" s="39"/>
      <c r="Q1586" s="39"/>
      <c r="R1586" s="39"/>
    </row>
    <row r="1587" spans="1:18" s="2" customFormat="1" ht="14.4">
      <c r="A1587" s="20">
        <f t="shared" si="93"/>
        <v>1491</v>
      </c>
      <c r="B1587" s="17" t="s">
        <v>2292</v>
      </c>
      <c r="C1587" s="17" t="s">
        <v>2293</v>
      </c>
      <c r="D1587" s="20" t="s">
        <v>5</v>
      </c>
      <c r="E1587" s="20" t="s">
        <v>6</v>
      </c>
      <c r="F1587" s="18">
        <v>1</v>
      </c>
      <c r="G1587" s="19">
        <v>950</v>
      </c>
      <c r="H1587" s="32">
        <v>210</v>
      </c>
      <c r="I1587" s="25">
        <f t="shared" si="91"/>
        <v>199500</v>
      </c>
      <c r="J1587" s="40"/>
      <c r="K1587" s="39"/>
      <c r="L1587" s="39"/>
      <c r="M1587" s="39"/>
      <c r="N1587" s="23"/>
      <c r="O1587" s="39"/>
      <c r="P1587" s="39"/>
      <c r="Q1587" s="39"/>
      <c r="R1587" s="39"/>
    </row>
    <row r="1588" spans="1:18" s="2" customFormat="1" ht="14.4">
      <c r="A1588" s="20">
        <f t="shared" si="93"/>
        <v>1492</v>
      </c>
      <c r="B1588" s="17"/>
      <c r="C1588" s="17" t="s">
        <v>2294</v>
      </c>
      <c r="D1588" s="20" t="s">
        <v>5</v>
      </c>
      <c r="E1588" s="20" t="s">
        <v>6</v>
      </c>
      <c r="F1588" s="18">
        <v>1</v>
      </c>
      <c r="G1588" s="19">
        <v>739.9</v>
      </c>
      <c r="H1588" s="32">
        <v>1</v>
      </c>
      <c r="I1588" s="25">
        <f t="shared" si="91"/>
        <v>739.9</v>
      </c>
      <c r="J1588" s="40"/>
      <c r="K1588" s="39"/>
      <c r="L1588" s="39"/>
      <c r="M1588" s="39"/>
      <c r="N1588" s="23"/>
      <c r="O1588" s="39"/>
      <c r="P1588" s="39"/>
      <c r="Q1588" s="39"/>
      <c r="R1588" s="39"/>
    </row>
    <row r="1589" spans="1:18" s="2" customFormat="1" ht="26.4">
      <c r="A1589" s="20">
        <f t="shared" si="93"/>
        <v>1493</v>
      </c>
      <c r="B1589" s="17"/>
      <c r="C1589" s="17" t="s">
        <v>2295</v>
      </c>
      <c r="D1589" s="20" t="s">
        <v>5</v>
      </c>
      <c r="E1589" s="20" t="s">
        <v>6</v>
      </c>
      <c r="F1589" s="18">
        <v>1</v>
      </c>
      <c r="G1589" s="19">
        <v>4776</v>
      </c>
      <c r="H1589" s="32">
        <v>1</v>
      </c>
      <c r="I1589" s="25">
        <f t="shared" si="91"/>
        <v>4776</v>
      </c>
      <c r="J1589" s="40"/>
      <c r="K1589" s="39"/>
      <c r="L1589" s="39"/>
      <c r="M1589" s="39"/>
      <c r="N1589" s="23"/>
      <c r="O1589" s="39"/>
      <c r="P1589" s="39"/>
      <c r="Q1589" s="39"/>
      <c r="R1589" s="39"/>
    </row>
    <row r="1590" spans="1:18" ht="39.6">
      <c r="A1590" s="9" t="s">
        <v>61</v>
      </c>
      <c r="B1590" s="13" t="s">
        <v>2296</v>
      </c>
      <c r="C1590" s="13" t="s">
        <v>2297</v>
      </c>
      <c r="D1590" s="14"/>
      <c r="E1590" s="14"/>
      <c r="F1590" s="18"/>
      <c r="G1590" s="19"/>
      <c r="H1590" s="15"/>
      <c r="I1590" s="25"/>
      <c r="J1590" s="24"/>
      <c r="K1590" s="22"/>
      <c r="L1590" s="22"/>
      <c r="M1590" s="22"/>
      <c r="N1590" s="23"/>
      <c r="O1590" s="22"/>
      <c r="P1590" s="22"/>
      <c r="Q1590" s="22"/>
      <c r="R1590" s="22"/>
    </row>
    <row r="1591" spans="1:18" s="2" customFormat="1" ht="52.8">
      <c r="A1591" s="20">
        <f>A1589+1</f>
        <v>1494</v>
      </c>
      <c r="B1591" s="17" t="s">
        <v>2298</v>
      </c>
      <c r="C1591" s="17" t="s">
        <v>2299</v>
      </c>
      <c r="D1591" s="20" t="s">
        <v>5</v>
      </c>
      <c r="E1591" s="20" t="s">
        <v>6</v>
      </c>
      <c r="F1591" s="18">
        <v>1</v>
      </c>
      <c r="G1591" s="19">
        <f>1.633198857*12346.97</f>
        <v>20165.05729141329</v>
      </c>
      <c r="H1591" s="32">
        <v>1</v>
      </c>
      <c r="I1591" s="25">
        <f t="shared" si="91"/>
        <v>20165.05729141329</v>
      </c>
      <c r="J1591" s="40"/>
      <c r="K1591" s="39"/>
      <c r="L1591" s="39"/>
      <c r="M1591" s="39"/>
      <c r="N1591" s="23"/>
      <c r="O1591" s="39"/>
      <c r="P1591" s="39"/>
      <c r="Q1591" s="39"/>
      <c r="R1591" s="39"/>
    </row>
    <row r="1592" spans="1:18" s="2" customFormat="1" ht="66">
      <c r="A1592" s="20">
        <f>A1591+1</f>
        <v>1495</v>
      </c>
      <c r="B1592" s="17" t="s">
        <v>2300</v>
      </c>
      <c r="C1592" s="17" t="s">
        <v>2301</v>
      </c>
      <c r="D1592" s="20" t="s">
        <v>5</v>
      </c>
      <c r="E1592" s="20" t="s">
        <v>6</v>
      </c>
      <c r="F1592" s="18">
        <v>1</v>
      </c>
      <c r="G1592" s="19">
        <f>1.633198857*720.03</f>
        <v>1175.9521730057099</v>
      </c>
      <c r="H1592" s="32">
        <v>12</v>
      </c>
      <c r="I1592" s="25">
        <f t="shared" si="91"/>
        <v>14111.426076068519</v>
      </c>
      <c r="J1592" s="40"/>
      <c r="K1592" s="39"/>
      <c r="L1592" s="39"/>
      <c r="M1592" s="39"/>
      <c r="N1592" s="23"/>
      <c r="O1592" s="39"/>
      <c r="P1592" s="39"/>
      <c r="Q1592" s="39"/>
      <c r="R1592" s="39"/>
    </row>
    <row r="1593" spans="1:18" s="2" customFormat="1" ht="39.6">
      <c r="A1593" s="20">
        <f t="shared" ref="A1593:A1633" si="94">A1592+1</f>
        <v>1496</v>
      </c>
      <c r="B1593" s="17" t="s">
        <v>2302</v>
      </c>
      <c r="C1593" s="17" t="s">
        <v>2303</v>
      </c>
      <c r="D1593" s="20" t="s">
        <v>5</v>
      </c>
      <c r="E1593" s="20" t="s">
        <v>6</v>
      </c>
      <c r="F1593" s="18">
        <v>1</v>
      </c>
      <c r="G1593" s="19">
        <f>1.633198857*1865.7</f>
        <v>3047.0591075049001</v>
      </c>
      <c r="H1593" s="32">
        <v>1</v>
      </c>
      <c r="I1593" s="25">
        <f t="shared" si="91"/>
        <v>3047.0591075049001</v>
      </c>
      <c r="J1593" s="40"/>
      <c r="K1593" s="39"/>
      <c r="L1593" s="39"/>
      <c r="M1593" s="39"/>
      <c r="N1593" s="23"/>
      <c r="O1593" s="39"/>
      <c r="P1593" s="39"/>
      <c r="Q1593" s="39"/>
      <c r="R1593" s="39"/>
    </row>
    <row r="1594" spans="1:18" s="2" customFormat="1" ht="39.6">
      <c r="A1594" s="20">
        <f t="shared" si="94"/>
        <v>1497</v>
      </c>
      <c r="B1594" s="17" t="s">
        <v>2304</v>
      </c>
      <c r="C1594" s="17" t="s">
        <v>2305</v>
      </c>
      <c r="D1594" s="20" t="s">
        <v>5</v>
      </c>
      <c r="E1594" s="20" t="s">
        <v>6</v>
      </c>
      <c r="F1594" s="18">
        <v>1</v>
      </c>
      <c r="G1594" s="19">
        <f>1.633198857*459.33</f>
        <v>750.17723098580996</v>
      </c>
      <c r="H1594" s="32">
        <v>2</v>
      </c>
      <c r="I1594" s="25">
        <f t="shared" si="91"/>
        <v>1500.3544619716199</v>
      </c>
      <c r="J1594" s="40"/>
      <c r="K1594" s="39"/>
      <c r="L1594" s="39"/>
      <c r="M1594" s="39"/>
      <c r="N1594" s="23"/>
      <c r="O1594" s="39"/>
      <c r="P1594" s="39"/>
      <c r="Q1594" s="39"/>
      <c r="R1594" s="39"/>
    </row>
    <row r="1595" spans="1:18" s="2" customFormat="1" ht="39.6">
      <c r="A1595" s="20">
        <f t="shared" si="94"/>
        <v>1498</v>
      </c>
      <c r="B1595" s="17" t="s">
        <v>2306</v>
      </c>
      <c r="C1595" s="17" t="s">
        <v>2307</v>
      </c>
      <c r="D1595" s="20" t="s">
        <v>1617</v>
      </c>
      <c r="E1595" s="20" t="s">
        <v>1618</v>
      </c>
      <c r="F1595" s="18">
        <v>1</v>
      </c>
      <c r="G1595" s="19">
        <f>1.633198857*8134.36</f>
        <v>13285.027454426519</v>
      </c>
      <c r="H1595" s="32">
        <v>1</v>
      </c>
      <c r="I1595" s="25">
        <f t="shared" si="91"/>
        <v>13285.027454426519</v>
      </c>
      <c r="J1595" s="40"/>
      <c r="K1595" s="39"/>
      <c r="L1595" s="39"/>
      <c r="M1595" s="39"/>
      <c r="N1595" s="23"/>
      <c r="O1595" s="39"/>
      <c r="P1595" s="39"/>
      <c r="Q1595" s="39"/>
      <c r="R1595" s="39"/>
    </row>
    <row r="1596" spans="1:18" s="2" customFormat="1" ht="105.6">
      <c r="A1596" s="20">
        <f t="shared" si="94"/>
        <v>1499</v>
      </c>
      <c r="B1596" s="17" t="s">
        <v>2308</v>
      </c>
      <c r="C1596" s="17" t="s">
        <v>2309</v>
      </c>
      <c r="D1596" s="20" t="s">
        <v>1617</v>
      </c>
      <c r="E1596" s="20" t="s">
        <v>1618</v>
      </c>
      <c r="F1596" s="18">
        <v>1</v>
      </c>
      <c r="G1596" s="19">
        <f>1.633198857*8867.4</f>
        <v>14482.2275445618</v>
      </c>
      <c r="H1596" s="32">
        <v>1</v>
      </c>
      <c r="I1596" s="25">
        <f t="shared" si="91"/>
        <v>14482.2275445618</v>
      </c>
      <c r="J1596" s="40"/>
      <c r="K1596" s="39"/>
      <c r="L1596" s="39"/>
      <c r="M1596" s="39"/>
      <c r="N1596" s="23"/>
      <c r="O1596" s="39"/>
      <c r="P1596" s="39"/>
      <c r="Q1596" s="39"/>
      <c r="R1596" s="39"/>
    </row>
    <row r="1597" spans="1:18" ht="66">
      <c r="A1597" s="20"/>
      <c r="B1597" s="13" t="s">
        <v>2310</v>
      </c>
      <c r="C1597" s="13" t="s">
        <v>2311</v>
      </c>
      <c r="D1597" s="14"/>
      <c r="E1597" s="14"/>
      <c r="F1597" s="18"/>
      <c r="G1597" s="19"/>
      <c r="H1597" s="15"/>
      <c r="I1597" s="25"/>
      <c r="J1597" s="24"/>
      <c r="K1597" s="22"/>
      <c r="L1597" s="22"/>
      <c r="M1597" s="22"/>
      <c r="N1597" s="23"/>
      <c r="O1597" s="22"/>
      <c r="P1597" s="22"/>
      <c r="Q1597" s="22"/>
      <c r="R1597" s="22"/>
    </row>
    <row r="1598" spans="1:18" s="2" customFormat="1" ht="14.4">
      <c r="A1598" s="20">
        <f>A1596+1</f>
        <v>1500</v>
      </c>
      <c r="B1598" s="17" t="s">
        <v>2312</v>
      </c>
      <c r="C1598" s="17" t="s">
        <v>2313</v>
      </c>
      <c r="D1598" s="20" t="s">
        <v>5</v>
      </c>
      <c r="E1598" s="20" t="s">
        <v>6</v>
      </c>
      <c r="F1598" s="18">
        <v>1</v>
      </c>
      <c r="G1598" s="19">
        <f>1.633198857*7595.96</f>
        <v>12405.713189817719</v>
      </c>
      <c r="H1598" s="32">
        <v>1</v>
      </c>
      <c r="I1598" s="25">
        <f t="shared" si="91"/>
        <v>12405.713189817719</v>
      </c>
      <c r="J1598" s="40"/>
      <c r="K1598" s="39"/>
      <c r="L1598" s="39"/>
      <c r="M1598" s="39"/>
      <c r="N1598" s="23"/>
      <c r="O1598" s="39"/>
      <c r="P1598" s="39"/>
      <c r="Q1598" s="39"/>
      <c r="R1598" s="39"/>
    </row>
    <row r="1599" spans="1:18" s="2" customFormat="1" ht="14.4">
      <c r="A1599" s="20">
        <f t="shared" si="94"/>
        <v>1501</v>
      </c>
      <c r="B1599" s="17" t="s">
        <v>2314</v>
      </c>
      <c r="C1599" s="17" t="s">
        <v>2315</v>
      </c>
      <c r="D1599" s="20" t="s">
        <v>5</v>
      </c>
      <c r="E1599" s="20" t="s">
        <v>6</v>
      </c>
      <c r="F1599" s="18">
        <v>1</v>
      </c>
      <c r="G1599" s="19">
        <f>1.633198857*1184.21</f>
        <v>1934.0504184479701</v>
      </c>
      <c r="H1599" s="32">
        <v>1</v>
      </c>
      <c r="I1599" s="25">
        <f t="shared" si="91"/>
        <v>1934.0504184479701</v>
      </c>
      <c r="J1599" s="40"/>
      <c r="K1599" s="39"/>
      <c r="L1599" s="39"/>
      <c r="M1599" s="39"/>
      <c r="N1599" s="23"/>
      <c r="O1599" s="39"/>
      <c r="P1599" s="39"/>
      <c r="Q1599" s="39"/>
      <c r="R1599" s="39"/>
    </row>
    <row r="1600" spans="1:18" s="2" customFormat="1" ht="14.4">
      <c r="A1600" s="20">
        <f t="shared" si="94"/>
        <v>1502</v>
      </c>
      <c r="B1600" s="17" t="s">
        <v>2316</v>
      </c>
      <c r="C1600" s="17" t="s">
        <v>2317</v>
      </c>
      <c r="D1600" s="20" t="s">
        <v>5</v>
      </c>
      <c r="E1600" s="20" t="s">
        <v>6</v>
      </c>
      <c r="F1600" s="18">
        <v>1</v>
      </c>
      <c r="G1600" s="19">
        <v>6801.71</v>
      </c>
      <c r="H1600" s="32">
        <v>1</v>
      </c>
      <c r="I1600" s="25">
        <f t="shared" si="91"/>
        <v>6801.71</v>
      </c>
      <c r="J1600" s="40"/>
      <c r="K1600" s="39"/>
      <c r="L1600" s="39"/>
      <c r="M1600" s="39"/>
      <c r="N1600" s="23"/>
      <c r="O1600" s="39"/>
      <c r="P1600" s="39"/>
      <c r="Q1600" s="39"/>
      <c r="R1600" s="39"/>
    </row>
    <row r="1601" spans="1:18" s="2" customFormat="1" ht="14.4">
      <c r="A1601" s="20">
        <f t="shared" si="94"/>
        <v>1503</v>
      </c>
      <c r="B1601" s="17" t="s">
        <v>2318</v>
      </c>
      <c r="C1601" s="17" t="s">
        <v>2319</v>
      </c>
      <c r="D1601" s="20" t="s">
        <v>5</v>
      </c>
      <c r="E1601" s="20" t="s">
        <v>6</v>
      </c>
      <c r="F1601" s="18">
        <v>1</v>
      </c>
      <c r="G1601" s="19">
        <f>1.633198857*7595.96</f>
        <v>12405.713189817719</v>
      </c>
      <c r="H1601" s="32">
        <v>1</v>
      </c>
      <c r="I1601" s="25">
        <f t="shared" si="91"/>
        <v>12405.713189817719</v>
      </c>
      <c r="J1601" s="40"/>
      <c r="K1601" s="39"/>
      <c r="L1601" s="39"/>
      <c r="M1601" s="39"/>
      <c r="N1601" s="23"/>
      <c r="O1601" s="39"/>
      <c r="P1601" s="39"/>
      <c r="Q1601" s="39"/>
      <c r="R1601" s="39"/>
    </row>
    <row r="1602" spans="1:18" s="2" customFormat="1" ht="14.4">
      <c r="A1602" s="20">
        <f t="shared" si="94"/>
        <v>1504</v>
      </c>
      <c r="B1602" s="17" t="s">
        <v>2320</v>
      </c>
      <c r="C1602" s="17" t="s">
        <v>2321</v>
      </c>
      <c r="D1602" s="20" t="s">
        <v>5</v>
      </c>
      <c r="E1602" s="20" t="s">
        <v>6</v>
      </c>
      <c r="F1602" s="18">
        <v>1</v>
      </c>
      <c r="G1602" s="19">
        <f>1.633198857*568.64</f>
        <v>928.70219804447993</v>
      </c>
      <c r="H1602" s="32">
        <f>105+44+27</f>
        <v>176</v>
      </c>
      <c r="I1602" s="25">
        <f t="shared" si="91"/>
        <v>163451.58685582847</v>
      </c>
      <c r="J1602" s="40"/>
      <c r="K1602" s="39"/>
      <c r="L1602" s="39"/>
      <c r="M1602" s="39"/>
      <c r="N1602" s="23"/>
      <c r="O1602" s="39"/>
      <c r="P1602" s="39"/>
      <c r="Q1602" s="39"/>
      <c r="R1602" s="39"/>
    </row>
    <row r="1603" spans="1:18" s="2" customFormat="1" ht="26.4">
      <c r="A1603" s="20">
        <f t="shared" si="94"/>
        <v>1505</v>
      </c>
      <c r="B1603" s="17" t="s">
        <v>1370</v>
      </c>
      <c r="C1603" s="17" t="s">
        <v>1371</v>
      </c>
      <c r="D1603" s="20" t="s">
        <v>5</v>
      </c>
      <c r="E1603" s="20" t="s">
        <v>6</v>
      </c>
      <c r="F1603" s="18">
        <v>1</v>
      </c>
      <c r="G1603" s="19">
        <f>1.633198857*224.61</f>
        <v>366.83279527077002</v>
      </c>
      <c r="H1603" s="32">
        <v>27</v>
      </c>
      <c r="I1603" s="25">
        <f t="shared" si="91"/>
        <v>9904.485472310791</v>
      </c>
      <c r="J1603" s="40"/>
      <c r="K1603" s="39"/>
      <c r="L1603" s="39"/>
      <c r="M1603" s="39"/>
      <c r="N1603" s="23"/>
      <c r="O1603" s="39"/>
      <c r="P1603" s="39"/>
      <c r="Q1603" s="39"/>
      <c r="R1603" s="39"/>
    </row>
    <row r="1604" spans="1:18" s="2" customFormat="1" ht="14.4">
      <c r="A1604" s="20">
        <f t="shared" si="94"/>
        <v>1506</v>
      </c>
      <c r="B1604" s="17" t="s">
        <v>2238</v>
      </c>
      <c r="C1604" s="17" t="s">
        <v>2239</v>
      </c>
      <c r="D1604" s="20" t="s">
        <v>5</v>
      </c>
      <c r="E1604" s="20" t="s">
        <v>6</v>
      </c>
      <c r="F1604" s="18">
        <v>1</v>
      </c>
      <c r="G1604" s="19">
        <f>5657.27</f>
        <v>5657.27</v>
      </c>
      <c r="H1604" s="32">
        <v>1</v>
      </c>
      <c r="I1604" s="25">
        <f t="shared" si="91"/>
        <v>5657.27</v>
      </c>
      <c r="J1604" s="40"/>
      <c r="K1604" s="39"/>
      <c r="L1604" s="39"/>
      <c r="M1604" s="39"/>
      <c r="N1604" s="23"/>
      <c r="O1604" s="39"/>
      <c r="P1604" s="39"/>
      <c r="Q1604" s="39"/>
      <c r="R1604" s="39"/>
    </row>
    <row r="1605" spans="1:18" s="2" customFormat="1" ht="26.4">
      <c r="A1605" s="20">
        <f t="shared" si="94"/>
        <v>1507</v>
      </c>
      <c r="B1605" s="17" t="s">
        <v>2322</v>
      </c>
      <c r="C1605" s="17" t="s">
        <v>2323</v>
      </c>
      <c r="D1605" s="20" t="s">
        <v>5</v>
      </c>
      <c r="E1605" s="20" t="s">
        <v>6</v>
      </c>
      <c r="F1605" s="18">
        <v>1</v>
      </c>
      <c r="G1605" s="19">
        <v>81.28</v>
      </c>
      <c r="H1605" s="32">
        <v>2</v>
      </c>
      <c r="I1605" s="25">
        <f t="shared" si="91"/>
        <v>162.56</v>
      </c>
      <c r="J1605" s="40"/>
      <c r="K1605" s="39"/>
      <c r="L1605" s="39"/>
      <c r="M1605" s="39"/>
      <c r="N1605" s="23"/>
      <c r="O1605" s="39"/>
      <c r="P1605" s="39"/>
      <c r="Q1605" s="39"/>
      <c r="R1605" s="39"/>
    </row>
    <row r="1606" spans="1:18" s="2" customFormat="1" ht="66">
      <c r="A1606" s="20">
        <f t="shared" si="94"/>
        <v>1508</v>
      </c>
      <c r="B1606" s="17" t="s">
        <v>2324</v>
      </c>
      <c r="C1606" s="17" t="s">
        <v>2325</v>
      </c>
      <c r="D1606" s="20" t="s">
        <v>5</v>
      </c>
      <c r="E1606" s="20" t="s">
        <v>6</v>
      </c>
      <c r="F1606" s="18">
        <v>1</v>
      </c>
      <c r="G1606" s="19">
        <f>1.633198857*381.26</f>
        <v>622.67339621982001</v>
      </c>
      <c r="H1606" s="32">
        <v>2</v>
      </c>
      <c r="I1606" s="25">
        <f t="shared" si="91"/>
        <v>1245.34679243964</v>
      </c>
      <c r="J1606" s="40"/>
      <c r="K1606" s="39"/>
      <c r="L1606" s="39"/>
      <c r="M1606" s="39"/>
      <c r="N1606" s="23"/>
      <c r="O1606" s="39"/>
      <c r="P1606" s="39"/>
      <c r="Q1606" s="39"/>
      <c r="R1606" s="39"/>
    </row>
    <row r="1607" spans="1:18" s="2" customFormat="1" ht="14.4">
      <c r="A1607" s="20">
        <f t="shared" si="94"/>
        <v>1509</v>
      </c>
      <c r="B1607" s="17" t="s">
        <v>2326</v>
      </c>
      <c r="C1607" s="17" t="s">
        <v>2327</v>
      </c>
      <c r="D1607" s="20" t="s">
        <v>5</v>
      </c>
      <c r="E1607" s="20" t="s">
        <v>6</v>
      </c>
      <c r="F1607" s="18">
        <v>1</v>
      </c>
      <c r="G1607" s="19">
        <f>152.55</f>
        <v>152.55000000000001</v>
      </c>
      <c r="H1607" s="32">
        <v>2</v>
      </c>
      <c r="I1607" s="25">
        <f t="shared" si="91"/>
        <v>305.10000000000002</v>
      </c>
      <c r="J1607" s="40"/>
      <c r="K1607" s="39"/>
      <c r="L1607" s="39"/>
      <c r="M1607" s="39"/>
      <c r="N1607" s="23"/>
      <c r="O1607" s="39"/>
      <c r="P1607" s="39"/>
      <c r="Q1607" s="39"/>
      <c r="R1607" s="39"/>
    </row>
    <row r="1608" spans="1:18" s="2" customFormat="1" ht="14.4">
      <c r="A1608" s="20">
        <f t="shared" si="94"/>
        <v>1510</v>
      </c>
      <c r="B1608" s="17" t="s">
        <v>2314</v>
      </c>
      <c r="C1608" s="17" t="s">
        <v>2315</v>
      </c>
      <c r="D1608" s="20" t="s">
        <v>5</v>
      </c>
      <c r="E1608" s="20" t="s">
        <v>6</v>
      </c>
      <c r="F1608" s="18">
        <v>1</v>
      </c>
      <c r="G1608" s="19">
        <f>1.633198857*1184.21</f>
        <v>1934.0504184479701</v>
      </c>
      <c r="H1608" s="32">
        <v>1</v>
      </c>
      <c r="I1608" s="25">
        <f t="shared" si="91"/>
        <v>1934.0504184479701</v>
      </c>
      <c r="J1608" s="40"/>
      <c r="K1608" s="39"/>
      <c r="L1608" s="39"/>
      <c r="M1608" s="39"/>
      <c r="N1608" s="23"/>
      <c r="O1608" s="39"/>
      <c r="P1608" s="39"/>
      <c r="Q1608" s="39"/>
      <c r="R1608" s="39"/>
    </row>
    <row r="1609" spans="1:18" s="2" customFormat="1" ht="14.4">
      <c r="A1609" s="20">
        <f t="shared" si="94"/>
        <v>1511</v>
      </c>
      <c r="B1609" s="17" t="s">
        <v>2328</v>
      </c>
      <c r="C1609" s="17" t="s">
        <v>2329</v>
      </c>
      <c r="D1609" s="20" t="s">
        <v>5</v>
      </c>
      <c r="E1609" s="20" t="s">
        <v>6</v>
      </c>
      <c r="F1609" s="18">
        <v>1</v>
      </c>
      <c r="G1609" s="19">
        <v>8093.03</v>
      </c>
      <c r="H1609" s="32">
        <v>1</v>
      </c>
      <c r="I1609" s="25">
        <f t="shared" si="91"/>
        <v>8093.03</v>
      </c>
      <c r="J1609" s="40"/>
      <c r="K1609" s="39"/>
      <c r="L1609" s="39"/>
      <c r="M1609" s="39"/>
      <c r="N1609" s="23"/>
      <c r="O1609" s="39"/>
      <c r="P1609" s="39"/>
      <c r="Q1609" s="39"/>
      <c r="R1609" s="39"/>
    </row>
    <row r="1610" spans="1:18" s="2" customFormat="1" ht="14.4">
      <c r="A1610" s="20">
        <f t="shared" si="94"/>
        <v>1512</v>
      </c>
      <c r="B1610" s="17" t="s">
        <v>2252</v>
      </c>
      <c r="C1610" s="17" t="s">
        <v>2330</v>
      </c>
      <c r="D1610" s="20" t="s">
        <v>5</v>
      </c>
      <c r="E1610" s="20" t="s">
        <v>6</v>
      </c>
      <c r="F1610" s="18">
        <v>1</v>
      </c>
      <c r="G1610" s="19">
        <f>1.633198857*509.07</f>
        <v>831.41254213298998</v>
      </c>
      <c r="H1610" s="32">
        <f>H1611+H1612</f>
        <v>203</v>
      </c>
      <c r="I1610" s="25">
        <f t="shared" si="91"/>
        <v>168776.74605299695</v>
      </c>
      <c r="J1610" s="40"/>
      <c r="K1610" s="39"/>
      <c r="L1610" s="39"/>
      <c r="M1610" s="39"/>
      <c r="N1610" s="23"/>
      <c r="O1610" s="39"/>
      <c r="P1610" s="39"/>
      <c r="Q1610" s="39"/>
      <c r="R1610" s="39"/>
    </row>
    <row r="1611" spans="1:18" s="2" customFormat="1" ht="14.4">
      <c r="A1611" s="20">
        <f t="shared" si="94"/>
        <v>1513</v>
      </c>
      <c r="B1611" s="17" t="s">
        <v>2331</v>
      </c>
      <c r="C1611" s="17" t="s">
        <v>2332</v>
      </c>
      <c r="D1611" s="20" t="s">
        <v>5</v>
      </c>
      <c r="E1611" s="20" t="s">
        <v>6</v>
      </c>
      <c r="F1611" s="18">
        <v>1</v>
      </c>
      <c r="G1611" s="19">
        <f>294.11</f>
        <v>294.11</v>
      </c>
      <c r="H1611" s="32">
        <v>27</v>
      </c>
      <c r="I1611" s="25">
        <f t="shared" ref="I1611:I1674" si="95">G1611*H1611</f>
        <v>7940.97</v>
      </c>
      <c r="J1611" s="40"/>
      <c r="K1611" s="39"/>
      <c r="L1611" s="39"/>
      <c r="M1611" s="39"/>
      <c r="N1611" s="23"/>
      <c r="O1611" s="39"/>
      <c r="P1611" s="39"/>
      <c r="Q1611" s="39"/>
      <c r="R1611" s="39"/>
    </row>
    <row r="1612" spans="1:18" s="2" customFormat="1" ht="14.4">
      <c r="A1612" s="20">
        <f t="shared" si="94"/>
        <v>1514</v>
      </c>
      <c r="B1612" s="17" t="s">
        <v>2333</v>
      </c>
      <c r="C1612" s="17" t="s">
        <v>2334</v>
      </c>
      <c r="D1612" s="20" t="s">
        <v>5</v>
      </c>
      <c r="E1612" s="20" t="s">
        <v>6</v>
      </c>
      <c r="F1612" s="18">
        <v>1</v>
      </c>
      <c r="G1612" s="19">
        <f>59.51</f>
        <v>59.51</v>
      </c>
      <c r="H1612" s="32">
        <v>176</v>
      </c>
      <c r="I1612" s="25">
        <f t="shared" si="95"/>
        <v>10473.76</v>
      </c>
      <c r="J1612" s="40"/>
      <c r="K1612" s="39"/>
      <c r="L1612" s="39"/>
      <c r="M1612" s="39"/>
      <c r="N1612" s="23"/>
      <c r="O1612" s="39"/>
      <c r="P1612" s="39"/>
      <c r="Q1612" s="39"/>
      <c r="R1612" s="39"/>
    </row>
    <row r="1613" spans="1:18" s="2" customFormat="1" ht="14.4">
      <c r="A1613" s="20">
        <f t="shared" si="94"/>
        <v>1515</v>
      </c>
      <c r="B1613" s="17" t="s">
        <v>2256</v>
      </c>
      <c r="C1613" s="17" t="s">
        <v>2257</v>
      </c>
      <c r="D1613" s="9" t="s">
        <v>25</v>
      </c>
      <c r="E1613" s="20" t="s">
        <v>26</v>
      </c>
      <c r="F1613" s="18">
        <v>1</v>
      </c>
      <c r="G1613" s="19">
        <f>1.633198857*47.7</f>
        <v>77.903585478899998</v>
      </c>
      <c r="H1613" s="32">
        <f>H1614+H1615</f>
        <v>2685</v>
      </c>
      <c r="I1613" s="25">
        <f t="shared" si="95"/>
        <v>209171.12701084648</v>
      </c>
      <c r="J1613" s="40"/>
      <c r="K1613" s="39"/>
      <c r="L1613" s="39"/>
      <c r="M1613" s="39"/>
      <c r="N1613" s="23"/>
      <c r="O1613" s="39"/>
      <c r="P1613" s="39"/>
      <c r="Q1613" s="39"/>
      <c r="R1613" s="39"/>
    </row>
    <row r="1614" spans="1:18" s="2" customFormat="1" ht="14.4">
      <c r="A1614" s="20">
        <f t="shared" si="94"/>
        <v>1516</v>
      </c>
      <c r="B1614" s="17" t="s">
        <v>2258</v>
      </c>
      <c r="C1614" s="17" t="s">
        <v>2259</v>
      </c>
      <c r="D1614" s="9" t="s">
        <v>25</v>
      </c>
      <c r="E1614" s="20" t="s">
        <v>26</v>
      </c>
      <c r="F1614" s="18">
        <v>1</v>
      </c>
      <c r="G1614" s="19">
        <f>254.52</f>
        <v>254.52</v>
      </c>
      <c r="H1614" s="32">
        <v>35</v>
      </c>
      <c r="I1614" s="25">
        <f t="shared" si="95"/>
        <v>8908.2000000000007</v>
      </c>
      <c r="J1614" s="40"/>
      <c r="K1614" s="39"/>
      <c r="L1614" s="39"/>
      <c r="M1614" s="39"/>
      <c r="N1614" s="23"/>
      <c r="O1614" s="39"/>
      <c r="P1614" s="39"/>
      <c r="Q1614" s="39"/>
      <c r="R1614" s="39"/>
    </row>
    <row r="1615" spans="1:18" s="2" customFormat="1" ht="14.4">
      <c r="A1615" s="20">
        <f t="shared" si="94"/>
        <v>1517</v>
      </c>
      <c r="B1615" s="17" t="s">
        <v>2335</v>
      </c>
      <c r="C1615" s="17" t="s">
        <v>2336</v>
      </c>
      <c r="D1615" s="9" t="s">
        <v>25</v>
      </c>
      <c r="E1615" s="20" t="s">
        <v>26</v>
      </c>
      <c r="F1615" s="18">
        <v>1</v>
      </c>
      <c r="G1615" s="19">
        <f>578.46</f>
        <v>578.46</v>
      </c>
      <c r="H1615" s="32">
        <v>2650</v>
      </c>
      <c r="I1615" s="25">
        <f t="shared" si="95"/>
        <v>1532919</v>
      </c>
      <c r="J1615" s="40"/>
      <c r="K1615" s="39"/>
      <c r="L1615" s="39"/>
      <c r="M1615" s="39"/>
      <c r="N1615" s="23"/>
      <c r="O1615" s="39"/>
      <c r="P1615" s="39"/>
      <c r="Q1615" s="39"/>
      <c r="R1615" s="39"/>
    </row>
    <row r="1616" spans="1:18" s="2" customFormat="1" ht="14.4">
      <c r="A1616" s="20">
        <f t="shared" si="94"/>
        <v>1518</v>
      </c>
      <c r="B1616" s="17" t="s">
        <v>2262</v>
      </c>
      <c r="C1616" s="17" t="s">
        <v>2337</v>
      </c>
      <c r="D1616" s="9" t="s">
        <v>2274</v>
      </c>
      <c r="E1616" s="20" t="s">
        <v>2275</v>
      </c>
      <c r="F1616" s="18">
        <v>1</v>
      </c>
      <c r="G1616" s="19">
        <f>249.9</f>
        <v>249.9</v>
      </c>
      <c r="H1616" s="32">
        <v>3</v>
      </c>
      <c r="I1616" s="25">
        <f t="shared" si="95"/>
        <v>749.7</v>
      </c>
      <c r="J1616" s="40"/>
      <c r="K1616" s="39"/>
      <c r="L1616" s="39"/>
      <c r="M1616" s="39"/>
      <c r="N1616" s="23"/>
      <c r="O1616" s="39"/>
      <c r="P1616" s="39"/>
      <c r="Q1616" s="39"/>
      <c r="R1616" s="39"/>
    </row>
    <row r="1617" spans="1:18" s="2" customFormat="1" ht="52.8">
      <c r="A1617" s="20">
        <f t="shared" si="94"/>
        <v>1519</v>
      </c>
      <c r="B1617" s="17" t="s">
        <v>2264</v>
      </c>
      <c r="C1617" s="17" t="s">
        <v>2265</v>
      </c>
      <c r="D1617" s="9" t="s">
        <v>25</v>
      </c>
      <c r="E1617" s="20" t="s">
        <v>26</v>
      </c>
      <c r="F1617" s="18">
        <v>1</v>
      </c>
      <c r="G1617" s="19">
        <f>1.633198857*11.46</f>
        <v>18.716458901220001</v>
      </c>
      <c r="H1617" s="32">
        <f>H1618+H1619+H1620</f>
        <v>2980</v>
      </c>
      <c r="I1617" s="25">
        <f t="shared" si="95"/>
        <v>55775.0475256356</v>
      </c>
      <c r="J1617" s="40"/>
      <c r="K1617" s="39"/>
      <c r="L1617" s="39"/>
      <c r="M1617" s="39"/>
      <c r="N1617" s="23"/>
      <c r="O1617" s="39"/>
      <c r="P1617" s="39"/>
      <c r="Q1617" s="39"/>
      <c r="R1617" s="39"/>
    </row>
    <row r="1618" spans="1:18" s="2" customFormat="1" ht="14.4">
      <c r="A1618" s="20">
        <f t="shared" si="94"/>
        <v>1520</v>
      </c>
      <c r="B1618" s="17" t="s">
        <v>2338</v>
      </c>
      <c r="C1618" s="17" t="s">
        <v>2339</v>
      </c>
      <c r="D1618" s="9" t="s">
        <v>25</v>
      </c>
      <c r="E1618" s="20" t="s">
        <v>26</v>
      </c>
      <c r="F1618" s="18">
        <v>1</v>
      </c>
      <c r="G1618" s="19">
        <v>20.34</v>
      </c>
      <c r="H1618" s="32">
        <v>10</v>
      </c>
      <c r="I1618" s="25">
        <f t="shared" si="95"/>
        <v>203.4</v>
      </c>
      <c r="J1618" s="40"/>
      <c r="K1618" s="39"/>
      <c r="L1618" s="39"/>
      <c r="M1618" s="39"/>
      <c r="N1618" s="23"/>
      <c r="O1618" s="39"/>
      <c r="P1618" s="39"/>
      <c r="Q1618" s="39"/>
      <c r="R1618" s="39"/>
    </row>
    <row r="1619" spans="1:18" s="2" customFormat="1" ht="26.4">
      <c r="A1619" s="20">
        <f t="shared" si="94"/>
        <v>1521</v>
      </c>
      <c r="B1619" s="17" t="s">
        <v>2268</v>
      </c>
      <c r="C1619" s="17" t="s">
        <v>2340</v>
      </c>
      <c r="D1619" s="9" t="s">
        <v>25</v>
      </c>
      <c r="E1619" s="20" t="s">
        <v>26</v>
      </c>
      <c r="F1619" s="18">
        <v>1</v>
      </c>
      <c r="G1619" s="19">
        <v>40.98</v>
      </c>
      <c r="H1619" s="32">
        <v>20</v>
      </c>
      <c r="I1619" s="25">
        <f t="shared" si="95"/>
        <v>819.59999999999991</v>
      </c>
      <c r="J1619" s="40"/>
      <c r="K1619" s="39"/>
      <c r="L1619" s="39"/>
      <c r="M1619" s="39"/>
      <c r="N1619" s="23"/>
      <c r="O1619" s="39"/>
      <c r="P1619" s="39"/>
      <c r="Q1619" s="39"/>
      <c r="R1619" s="39"/>
    </row>
    <row r="1620" spans="1:18" s="2" customFormat="1" ht="26.4">
      <c r="A1620" s="20">
        <f t="shared" si="94"/>
        <v>1522</v>
      </c>
      <c r="B1620" s="17" t="s">
        <v>2341</v>
      </c>
      <c r="C1620" s="17" t="s">
        <v>2342</v>
      </c>
      <c r="D1620" s="9" t="s">
        <v>25</v>
      </c>
      <c r="E1620" s="20" t="s">
        <v>26</v>
      </c>
      <c r="F1620" s="18">
        <v>1</v>
      </c>
      <c r="G1620" s="19">
        <v>24.52</v>
      </c>
      <c r="H1620" s="32">
        <v>2950</v>
      </c>
      <c r="I1620" s="25">
        <f t="shared" si="95"/>
        <v>72334</v>
      </c>
      <c r="J1620" s="40"/>
      <c r="K1620" s="39"/>
      <c r="L1620" s="39"/>
      <c r="M1620" s="39"/>
      <c r="N1620" s="23"/>
      <c r="O1620" s="39"/>
      <c r="P1620" s="39"/>
      <c r="Q1620" s="39"/>
      <c r="R1620" s="39"/>
    </row>
    <row r="1621" spans="1:18" s="2" customFormat="1" ht="14.4">
      <c r="A1621" s="20">
        <f t="shared" si="94"/>
        <v>1523</v>
      </c>
      <c r="B1621" s="17" t="s">
        <v>2343</v>
      </c>
      <c r="C1621" s="17" t="s">
        <v>2344</v>
      </c>
      <c r="D1621" s="9" t="s">
        <v>2274</v>
      </c>
      <c r="E1621" s="20" t="s">
        <v>2275</v>
      </c>
      <c r="F1621" s="18">
        <v>1</v>
      </c>
      <c r="G1621" s="19">
        <v>60.25</v>
      </c>
      <c r="H1621" s="32">
        <v>3</v>
      </c>
      <c r="I1621" s="25">
        <f t="shared" si="95"/>
        <v>180.75</v>
      </c>
      <c r="J1621" s="40"/>
      <c r="K1621" s="39"/>
      <c r="L1621" s="39"/>
      <c r="M1621" s="39"/>
      <c r="N1621" s="23"/>
      <c r="O1621" s="39"/>
      <c r="P1621" s="39"/>
      <c r="Q1621" s="39"/>
      <c r="R1621" s="39"/>
    </row>
    <row r="1622" spans="1:18" s="2" customFormat="1" ht="14.4">
      <c r="A1622" s="20">
        <f t="shared" si="94"/>
        <v>1524</v>
      </c>
      <c r="B1622" s="17" t="s">
        <v>2345</v>
      </c>
      <c r="C1622" s="17" t="s">
        <v>2346</v>
      </c>
      <c r="D1622" s="9" t="s">
        <v>25</v>
      </c>
      <c r="E1622" s="20" t="s">
        <v>26</v>
      </c>
      <c r="F1622" s="18">
        <v>1</v>
      </c>
      <c r="G1622" s="19">
        <v>122.48</v>
      </c>
      <c r="H1622" s="32">
        <v>0.2</v>
      </c>
      <c r="I1622" s="25">
        <f t="shared" si="95"/>
        <v>24.496000000000002</v>
      </c>
      <c r="J1622" s="40"/>
      <c r="K1622" s="39"/>
      <c r="L1622" s="39"/>
      <c r="M1622" s="39"/>
      <c r="N1622" s="23"/>
      <c r="O1622" s="39"/>
      <c r="P1622" s="39"/>
      <c r="Q1622" s="39"/>
      <c r="R1622" s="39"/>
    </row>
    <row r="1623" spans="1:18" s="2" customFormat="1" ht="14.4">
      <c r="A1623" s="20">
        <f t="shared" si="94"/>
        <v>1525</v>
      </c>
      <c r="B1623" s="17" t="s">
        <v>2347</v>
      </c>
      <c r="C1623" s="17" t="s">
        <v>2348</v>
      </c>
      <c r="D1623" s="9" t="s">
        <v>2274</v>
      </c>
      <c r="E1623" s="20" t="s">
        <v>2275</v>
      </c>
      <c r="F1623" s="18">
        <v>1</v>
      </c>
      <c r="G1623" s="19">
        <v>184</v>
      </c>
      <c r="H1623" s="32">
        <v>81</v>
      </c>
      <c r="I1623" s="25">
        <f t="shared" si="95"/>
        <v>14904</v>
      </c>
      <c r="J1623" s="40"/>
      <c r="K1623" s="39"/>
      <c r="L1623" s="39"/>
      <c r="M1623" s="39"/>
      <c r="N1623" s="23"/>
      <c r="O1623" s="39"/>
      <c r="P1623" s="39"/>
      <c r="Q1623" s="39"/>
      <c r="R1623" s="39"/>
    </row>
    <row r="1624" spans="1:18" s="2" customFormat="1" ht="14.4">
      <c r="A1624" s="20">
        <f t="shared" si="94"/>
        <v>1526</v>
      </c>
      <c r="B1624" s="17" t="s">
        <v>2276</v>
      </c>
      <c r="C1624" s="17" t="s">
        <v>2277</v>
      </c>
      <c r="D1624" s="9" t="s">
        <v>2274</v>
      </c>
      <c r="E1624" s="20" t="s">
        <v>2275</v>
      </c>
      <c r="F1624" s="18">
        <v>1</v>
      </c>
      <c r="G1624" s="19">
        <v>283.60000000000002</v>
      </c>
      <c r="H1624" s="32">
        <v>81</v>
      </c>
      <c r="I1624" s="25">
        <f t="shared" si="95"/>
        <v>22971.600000000002</v>
      </c>
      <c r="J1624" s="40"/>
      <c r="K1624" s="39"/>
      <c r="L1624" s="39"/>
      <c r="M1624" s="39"/>
      <c r="N1624" s="23"/>
      <c r="O1624" s="39"/>
      <c r="P1624" s="39"/>
      <c r="Q1624" s="39"/>
      <c r="R1624" s="39"/>
    </row>
    <row r="1625" spans="1:18" s="2" customFormat="1" ht="26.4">
      <c r="A1625" s="20">
        <f t="shared" si="94"/>
        <v>1527</v>
      </c>
      <c r="B1625" s="17" t="s">
        <v>2349</v>
      </c>
      <c r="C1625" s="17" t="s">
        <v>2350</v>
      </c>
      <c r="D1625" s="20" t="s">
        <v>5</v>
      </c>
      <c r="E1625" s="20" t="s">
        <v>6</v>
      </c>
      <c r="F1625" s="18">
        <v>1</v>
      </c>
      <c r="G1625" s="19">
        <f>1.633198857*219.09</f>
        <v>357.81753758013002</v>
      </c>
      <c r="H1625" s="32">
        <v>3</v>
      </c>
      <c r="I1625" s="25">
        <f t="shared" si="95"/>
        <v>1073.4526127403901</v>
      </c>
      <c r="J1625" s="40"/>
      <c r="K1625" s="39"/>
      <c r="L1625" s="39"/>
      <c r="M1625" s="39"/>
      <c r="N1625" s="23"/>
      <c r="O1625" s="39"/>
      <c r="P1625" s="39"/>
      <c r="Q1625" s="39"/>
      <c r="R1625" s="39"/>
    </row>
    <row r="1626" spans="1:18" s="2" customFormat="1" ht="26.4">
      <c r="A1626" s="20">
        <f t="shared" si="94"/>
        <v>1528</v>
      </c>
      <c r="B1626" s="17" t="s">
        <v>2351</v>
      </c>
      <c r="C1626" s="17" t="s">
        <v>2352</v>
      </c>
      <c r="D1626" s="20" t="s">
        <v>5</v>
      </c>
      <c r="E1626" s="20" t="s">
        <v>6</v>
      </c>
      <c r="F1626" s="18">
        <v>1</v>
      </c>
      <c r="G1626" s="19">
        <v>459.1</v>
      </c>
      <c r="H1626" s="32">
        <v>3</v>
      </c>
      <c r="I1626" s="25">
        <f t="shared" si="95"/>
        <v>1377.3000000000002</v>
      </c>
      <c r="J1626" s="40"/>
      <c r="K1626" s="39"/>
      <c r="L1626" s="39"/>
      <c r="M1626" s="39"/>
      <c r="N1626" s="23"/>
      <c r="O1626" s="39"/>
      <c r="P1626" s="39"/>
      <c r="Q1626" s="39"/>
      <c r="R1626" s="39"/>
    </row>
    <row r="1627" spans="1:18" s="2" customFormat="1" ht="14.4">
      <c r="A1627" s="20">
        <f t="shared" si="94"/>
        <v>1529</v>
      </c>
      <c r="B1627" s="17" t="s">
        <v>2353</v>
      </c>
      <c r="C1627" s="17" t="s">
        <v>2354</v>
      </c>
      <c r="D1627" s="20" t="s">
        <v>5</v>
      </c>
      <c r="E1627" s="20" t="s">
        <v>6</v>
      </c>
      <c r="F1627" s="18">
        <v>1</v>
      </c>
      <c r="G1627" s="19">
        <v>173.5</v>
      </c>
      <c r="H1627" s="32">
        <v>3</v>
      </c>
      <c r="I1627" s="25">
        <f t="shared" si="95"/>
        <v>520.5</v>
      </c>
      <c r="J1627" s="40"/>
      <c r="K1627" s="39"/>
      <c r="L1627" s="39"/>
      <c r="M1627" s="39"/>
      <c r="N1627" s="23"/>
      <c r="O1627" s="39"/>
      <c r="P1627" s="39"/>
      <c r="Q1627" s="39"/>
      <c r="R1627" s="39"/>
    </row>
    <row r="1628" spans="1:18" s="2" customFormat="1" ht="26.4">
      <c r="A1628" s="20">
        <f t="shared" si="94"/>
        <v>1530</v>
      </c>
      <c r="B1628" s="17" t="s">
        <v>2355</v>
      </c>
      <c r="C1628" s="17" t="s">
        <v>2356</v>
      </c>
      <c r="D1628" s="20" t="s">
        <v>5</v>
      </c>
      <c r="E1628" s="20" t="s">
        <v>6</v>
      </c>
      <c r="F1628" s="18">
        <v>1</v>
      </c>
      <c r="G1628" s="19">
        <f>1.633198857*219.94</f>
        <v>359.20575660857997</v>
      </c>
      <c r="H1628" s="32">
        <v>3</v>
      </c>
      <c r="I1628" s="25">
        <f t="shared" si="95"/>
        <v>1077.6172698257399</v>
      </c>
      <c r="J1628" s="40"/>
      <c r="K1628" s="39"/>
      <c r="L1628" s="39"/>
      <c r="M1628" s="39"/>
      <c r="N1628" s="23"/>
      <c r="O1628" s="39"/>
      <c r="P1628" s="39"/>
      <c r="Q1628" s="39"/>
      <c r="R1628" s="39"/>
    </row>
    <row r="1629" spans="1:18" s="2" customFormat="1" ht="14.4">
      <c r="A1629" s="20">
        <f t="shared" si="94"/>
        <v>1531</v>
      </c>
      <c r="B1629" s="17" t="s">
        <v>2357</v>
      </c>
      <c r="C1629" s="17" t="s">
        <v>2358</v>
      </c>
      <c r="D1629" s="20" t="s">
        <v>5</v>
      </c>
      <c r="E1629" s="20" t="s">
        <v>6</v>
      </c>
      <c r="F1629" s="18">
        <v>1</v>
      </c>
      <c r="G1629" s="19">
        <v>561.1</v>
      </c>
      <c r="H1629" s="32">
        <v>3</v>
      </c>
      <c r="I1629" s="25">
        <f t="shared" si="95"/>
        <v>1683.3000000000002</v>
      </c>
      <c r="J1629" s="40"/>
      <c r="K1629" s="39"/>
      <c r="L1629" s="39"/>
      <c r="M1629" s="39"/>
      <c r="N1629" s="23"/>
      <c r="O1629" s="39"/>
      <c r="P1629" s="39"/>
      <c r="Q1629" s="39"/>
      <c r="R1629" s="39"/>
    </row>
    <row r="1630" spans="1:18" s="2" customFormat="1" ht="26.4">
      <c r="A1630" s="20">
        <f t="shared" si="94"/>
        <v>1532</v>
      </c>
      <c r="B1630" s="17" t="s">
        <v>2359</v>
      </c>
      <c r="C1630" s="17" t="s">
        <v>2360</v>
      </c>
      <c r="D1630" s="20" t="s">
        <v>5</v>
      </c>
      <c r="E1630" s="20" t="s">
        <v>6</v>
      </c>
      <c r="F1630" s="18">
        <v>1</v>
      </c>
      <c r="G1630" s="19">
        <v>188.8</v>
      </c>
      <c r="H1630" s="32">
        <v>3</v>
      </c>
      <c r="I1630" s="25">
        <f t="shared" si="95"/>
        <v>566.40000000000009</v>
      </c>
      <c r="J1630" s="40"/>
      <c r="K1630" s="39"/>
      <c r="L1630" s="39"/>
      <c r="M1630" s="39"/>
      <c r="N1630" s="23"/>
      <c r="O1630" s="39"/>
      <c r="P1630" s="39"/>
      <c r="Q1630" s="39"/>
      <c r="R1630" s="39"/>
    </row>
    <row r="1631" spans="1:18" s="2" customFormat="1" ht="14.4">
      <c r="A1631" s="20">
        <f t="shared" si="94"/>
        <v>1533</v>
      </c>
      <c r="B1631" s="17" t="s">
        <v>2361</v>
      </c>
      <c r="C1631" s="17" t="s">
        <v>2362</v>
      </c>
      <c r="D1631" s="20" t="s">
        <v>5</v>
      </c>
      <c r="E1631" s="20" t="s">
        <v>6</v>
      </c>
      <c r="F1631" s="18">
        <v>1</v>
      </c>
      <c r="G1631" s="19">
        <f>1.633198857*591.57</f>
        <v>966.1514478354901</v>
      </c>
      <c r="H1631" s="32">
        <v>1</v>
      </c>
      <c r="I1631" s="25">
        <f t="shared" si="95"/>
        <v>966.1514478354901</v>
      </c>
      <c r="J1631" s="40"/>
      <c r="K1631" s="39"/>
      <c r="L1631" s="39"/>
      <c r="M1631" s="39"/>
      <c r="N1631" s="23"/>
      <c r="O1631" s="39"/>
      <c r="P1631" s="39"/>
      <c r="Q1631" s="39"/>
      <c r="R1631" s="39"/>
    </row>
    <row r="1632" spans="1:18" s="2" customFormat="1" ht="14.4">
      <c r="A1632" s="20">
        <f t="shared" si="94"/>
        <v>1534</v>
      </c>
      <c r="B1632" s="17" t="s">
        <v>2363</v>
      </c>
      <c r="C1632" s="17" t="s">
        <v>2364</v>
      </c>
      <c r="D1632" s="20" t="s">
        <v>5</v>
      </c>
      <c r="E1632" s="20" t="s">
        <v>6</v>
      </c>
      <c r="F1632" s="18">
        <v>1</v>
      </c>
      <c r="G1632" s="19">
        <v>592.72</v>
      </c>
      <c r="H1632" s="32">
        <v>1</v>
      </c>
      <c r="I1632" s="25">
        <f t="shared" si="95"/>
        <v>592.72</v>
      </c>
      <c r="J1632" s="40"/>
      <c r="K1632" s="39"/>
      <c r="L1632" s="39"/>
      <c r="M1632" s="39"/>
      <c r="N1632" s="23"/>
      <c r="O1632" s="39"/>
      <c r="P1632" s="39"/>
      <c r="Q1632" s="39"/>
      <c r="R1632" s="39"/>
    </row>
    <row r="1633" spans="1:18" s="2" customFormat="1" ht="14.4">
      <c r="A1633" s="20">
        <f t="shared" si="94"/>
        <v>1535</v>
      </c>
      <c r="B1633" s="17" t="s">
        <v>1077</v>
      </c>
      <c r="C1633" s="17" t="s">
        <v>219</v>
      </c>
      <c r="D1633" s="20" t="s">
        <v>48</v>
      </c>
      <c r="E1633" s="20" t="s">
        <v>49</v>
      </c>
      <c r="F1633" s="18">
        <v>1</v>
      </c>
      <c r="G1633" s="19"/>
      <c r="H1633" s="32">
        <v>1</v>
      </c>
      <c r="I1633" s="25"/>
      <c r="J1633" s="40"/>
      <c r="K1633" s="39"/>
      <c r="L1633" s="39"/>
      <c r="M1633" s="39"/>
      <c r="N1633" s="23"/>
      <c r="O1633" s="39"/>
      <c r="P1633" s="39"/>
      <c r="Q1633" s="39"/>
      <c r="R1633" s="39"/>
    </row>
    <row r="1634" spans="1:18" ht="66">
      <c r="A1634" s="9" t="s">
        <v>61</v>
      </c>
      <c r="B1634" s="13" t="s">
        <v>2365</v>
      </c>
      <c r="C1634" s="13" t="s">
        <v>2366</v>
      </c>
      <c r="D1634" s="14"/>
      <c r="E1634" s="14"/>
      <c r="F1634" s="18"/>
      <c r="G1634" s="19"/>
      <c r="H1634" s="15"/>
      <c r="I1634" s="25"/>
      <c r="J1634" s="24"/>
      <c r="K1634" s="22"/>
      <c r="L1634" s="22"/>
      <c r="M1634" s="22"/>
      <c r="N1634" s="23"/>
      <c r="O1634" s="22"/>
      <c r="P1634" s="22"/>
      <c r="Q1634" s="22"/>
      <c r="R1634" s="22"/>
    </row>
    <row r="1635" spans="1:18" s="2" customFormat="1" ht="14.4">
      <c r="A1635" s="20">
        <f>A1633+1</f>
        <v>1536</v>
      </c>
      <c r="B1635" s="17" t="s">
        <v>2367</v>
      </c>
      <c r="C1635" s="17" t="s">
        <v>2368</v>
      </c>
      <c r="D1635" s="20" t="s">
        <v>5</v>
      </c>
      <c r="E1635" s="20" t="s">
        <v>6</v>
      </c>
      <c r="F1635" s="18">
        <v>1</v>
      </c>
      <c r="G1635" s="19">
        <v>48408</v>
      </c>
      <c r="H1635" s="32">
        <v>1</v>
      </c>
      <c r="I1635" s="25">
        <f t="shared" si="95"/>
        <v>48408</v>
      </c>
      <c r="J1635" s="40"/>
      <c r="K1635" s="39"/>
      <c r="L1635" s="39"/>
      <c r="M1635" s="39"/>
      <c r="N1635" s="23"/>
      <c r="O1635" s="39"/>
      <c r="P1635" s="39"/>
      <c r="Q1635" s="39"/>
      <c r="R1635" s="39"/>
    </row>
    <row r="1636" spans="1:18" s="2" customFormat="1" ht="14.4">
      <c r="A1636" s="20">
        <f t="shared" ref="A1636:A1641" si="96">A1635+1</f>
        <v>1537</v>
      </c>
      <c r="B1636" s="17" t="s">
        <v>2369</v>
      </c>
      <c r="C1636" s="17" t="s">
        <v>2370</v>
      </c>
      <c r="D1636" s="20" t="s">
        <v>5</v>
      </c>
      <c r="E1636" s="20" t="s">
        <v>6</v>
      </c>
      <c r="F1636" s="18">
        <v>1</v>
      </c>
      <c r="G1636" s="19">
        <v>720</v>
      </c>
      <c r="H1636" s="32">
        <v>1</v>
      </c>
      <c r="I1636" s="25">
        <f t="shared" si="95"/>
        <v>720</v>
      </c>
      <c r="J1636" s="40"/>
      <c r="K1636" s="39"/>
      <c r="L1636" s="39"/>
      <c r="M1636" s="39"/>
      <c r="N1636" s="23"/>
      <c r="O1636" s="39"/>
      <c r="P1636" s="39"/>
      <c r="Q1636" s="39"/>
      <c r="R1636" s="39"/>
    </row>
    <row r="1637" spans="1:18" s="2" customFormat="1" ht="14.4">
      <c r="A1637" s="20">
        <f t="shared" si="96"/>
        <v>1538</v>
      </c>
      <c r="B1637" s="17" t="s">
        <v>2371</v>
      </c>
      <c r="C1637" s="17" t="s">
        <v>2372</v>
      </c>
      <c r="D1637" s="20" t="s">
        <v>5</v>
      </c>
      <c r="E1637" s="20" t="s">
        <v>6</v>
      </c>
      <c r="F1637" s="18">
        <v>1</v>
      </c>
      <c r="G1637" s="19">
        <v>1120</v>
      </c>
      <c r="H1637" s="32">
        <f>105+44</f>
        <v>149</v>
      </c>
      <c r="I1637" s="25">
        <f t="shared" si="95"/>
        <v>166880</v>
      </c>
      <c r="J1637" s="40"/>
      <c r="K1637" s="39"/>
      <c r="L1637" s="39"/>
      <c r="M1637" s="39"/>
      <c r="N1637" s="23"/>
      <c r="O1637" s="39"/>
      <c r="P1637" s="39"/>
      <c r="Q1637" s="39"/>
      <c r="R1637" s="39"/>
    </row>
    <row r="1638" spans="1:18" s="2" customFormat="1" ht="14.4">
      <c r="A1638" s="20">
        <f t="shared" si="96"/>
        <v>1539</v>
      </c>
      <c r="B1638" s="17" t="s">
        <v>2373</v>
      </c>
      <c r="C1638" s="17" t="s">
        <v>2374</v>
      </c>
      <c r="D1638" s="20" t="s">
        <v>5</v>
      </c>
      <c r="E1638" s="20" t="s">
        <v>6</v>
      </c>
      <c r="F1638" s="18">
        <v>1</v>
      </c>
      <c r="G1638" s="19">
        <v>1820</v>
      </c>
      <c r="H1638" s="32">
        <v>27</v>
      </c>
      <c r="I1638" s="25">
        <f t="shared" si="95"/>
        <v>49140</v>
      </c>
      <c r="J1638" s="40"/>
      <c r="K1638" s="39"/>
      <c r="L1638" s="39"/>
      <c r="M1638" s="39"/>
      <c r="N1638" s="23"/>
      <c r="O1638" s="39"/>
      <c r="P1638" s="39"/>
      <c r="Q1638" s="39"/>
      <c r="R1638" s="39"/>
    </row>
    <row r="1639" spans="1:18" s="2" customFormat="1" ht="26.4">
      <c r="A1639" s="20">
        <f t="shared" si="96"/>
        <v>1540</v>
      </c>
      <c r="B1639" s="17" t="s">
        <v>2375</v>
      </c>
      <c r="C1639" s="17" t="s">
        <v>2376</v>
      </c>
      <c r="D1639" s="20" t="s">
        <v>5</v>
      </c>
      <c r="E1639" s="20" t="s">
        <v>6</v>
      </c>
      <c r="F1639" s="18">
        <v>1</v>
      </c>
      <c r="G1639" s="19">
        <v>1401</v>
      </c>
      <c r="H1639" s="32">
        <v>20</v>
      </c>
      <c r="I1639" s="25">
        <f t="shared" si="95"/>
        <v>28020</v>
      </c>
      <c r="J1639" s="40"/>
      <c r="K1639" s="39"/>
      <c r="L1639" s="39"/>
      <c r="M1639" s="39"/>
      <c r="N1639" s="23"/>
      <c r="O1639" s="39"/>
      <c r="P1639" s="39"/>
      <c r="Q1639" s="39"/>
      <c r="R1639" s="39"/>
    </row>
    <row r="1640" spans="1:18" s="2" customFormat="1" ht="39.6">
      <c r="A1640" s="20">
        <f t="shared" si="96"/>
        <v>1541</v>
      </c>
      <c r="B1640" s="17" t="s">
        <v>2377</v>
      </c>
      <c r="C1640" s="17" t="s">
        <v>2378</v>
      </c>
      <c r="D1640" s="20" t="s">
        <v>5</v>
      </c>
      <c r="E1640" s="20" t="s">
        <v>6</v>
      </c>
      <c r="F1640" s="18">
        <v>1</v>
      </c>
      <c r="G1640" s="19">
        <v>1401</v>
      </c>
      <c r="H1640" s="32">
        <v>7</v>
      </c>
      <c r="I1640" s="25">
        <f t="shared" si="95"/>
        <v>9807</v>
      </c>
      <c r="J1640" s="40"/>
      <c r="K1640" s="39"/>
      <c r="L1640" s="39"/>
      <c r="M1640" s="39"/>
      <c r="N1640" s="23"/>
      <c r="O1640" s="39"/>
      <c r="P1640" s="39"/>
      <c r="Q1640" s="39"/>
      <c r="R1640" s="39"/>
    </row>
    <row r="1641" spans="1:18" s="2" customFormat="1" ht="14.4">
      <c r="A1641" s="20">
        <f t="shared" si="96"/>
        <v>1542</v>
      </c>
      <c r="B1641" s="17" t="s">
        <v>2284</v>
      </c>
      <c r="C1641" s="17" t="s">
        <v>2285</v>
      </c>
      <c r="D1641" s="20" t="s">
        <v>5</v>
      </c>
      <c r="E1641" s="20" t="s">
        <v>6</v>
      </c>
      <c r="F1641" s="18">
        <v>1</v>
      </c>
      <c r="G1641" s="19">
        <v>4800</v>
      </c>
      <c r="H1641" s="32">
        <v>2</v>
      </c>
      <c r="I1641" s="25">
        <f t="shared" si="95"/>
        <v>9600</v>
      </c>
      <c r="J1641" s="40"/>
      <c r="K1641" s="39"/>
      <c r="L1641" s="39"/>
      <c r="M1641" s="39"/>
      <c r="N1641" s="23"/>
      <c r="O1641" s="39"/>
      <c r="P1641" s="39"/>
      <c r="Q1641" s="39"/>
      <c r="R1641" s="39"/>
    </row>
    <row r="1642" spans="1:18" ht="66">
      <c r="A1642" s="9" t="s">
        <v>61</v>
      </c>
      <c r="B1642" s="13" t="s">
        <v>2379</v>
      </c>
      <c r="C1642" s="13" t="s">
        <v>2380</v>
      </c>
      <c r="D1642" s="14"/>
      <c r="E1642" s="14"/>
      <c r="F1642" s="18"/>
      <c r="G1642" s="19"/>
      <c r="H1642" s="15"/>
      <c r="I1642" s="25"/>
      <c r="J1642" s="24"/>
      <c r="K1642" s="22"/>
      <c r="L1642" s="22"/>
      <c r="M1642" s="22"/>
      <c r="N1642" s="23"/>
      <c r="O1642" s="22"/>
      <c r="P1642" s="22"/>
      <c r="Q1642" s="22"/>
      <c r="R1642" s="22"/>
    </row>
    <row r="1643" spans="1:18" s="2" customFormat="1" ht="39.6">
      <c r="A1643" s="20">
        <f>A1641+1</f>
        <v>1543</v>
      </c>
      <c r="B1643" s="17" t="s">
        <v>2306</v>
      </c>
      <c r="C1643" s="17" t="s">
        <v>2307</v>
      </c>
      <c r="D1643" s="20" t="s">
        <v>1617</v>
      </c>
      <c r="E1643" s="20" t="s">
        <v>1618</v>
      </c>
      <c r="F1643" s="18">
        <v>1</v>
      </c>
      <c r="G1643" s="19">
        <f>1.633198857*8134.36</f>
        <v>13285.027454426519</v>
      </c>
      <c r="H1643" s="32">
        <v>1</v>
      </c>
      <c r="I1643" s="25">
        <f t="shared" si="95"/>
        <v>13285.027454426519</v>
      </c>
      <c r="J1643" s="40"/>
      <c r="K1643" s="39"/>
      <c r="L1643" s="39"/>
      <c r="M1643" s="39"/>
      <c r="N1643" s="23"/>
      <c r="O1643" s="39"/>
      <c r="P1643" s="39"/>
      <c r="Q1643" s="39"/>
      <c r="R1643" s="39"/>
    </row>
    <row r="1644" spans="1:18" s="2" customFormat="1" ht="105.6">
      <c r="A1644" s="20">
        <f>A1643+1</f>
        <v>1544</v>
      </c>
      <c r="B1644" s="17" t="s">
        <v>2308</v>
      </c>
      <c r="C1644" s="17" t="s">
        <v>2309</v>
      </c>
      <c r="D1644" s="20" t="s">
        <v>1617</v>
      </c>
      <c r="E1644" s="20" t="s">
        <v>1618</v>
      </c>
      <c r="F1644" s="18">
        <v>1</v>
      </c>
      <c r="G1644" s="19">
        <f>1.633198857*8867.4</f>
        <v>14482.2275445618</v>
      </c>
      <c r="H1644" s="32">
        <v>1</v>
      </c>
      <c r="I1644" s="25">
        <f t="shared" si="95"/>
        <v>14482.2275445618</v>
      </c>
      <c r="J1644" s="40"/>
      <c r="K1644" s="39"/>
      <c r="L1644" s="39"/>
      <c r="M1644" s="39"/>
      <c r="N1644" s="23"/>
      <c r="O1644" s="39"/>
      <c r="P1644" s="39"/>
      <c r="Q1644" s="39"/>
      <c r="R1644" s="39"/>
    </row>
    <row r="1645" spans="1:18" ht="39.6">
      <c r="A1645" s="9" t="s">
        <v>61</v>
      </c>
      <c r="B1645" s="13" t="s">
        <v>2381</v>
      </c>
      <c r="C1645" s="13" t="s">
        <v>2382</v>
      </c>
      <c r="D1645" s="14"/>
      <c r="E1645" s="14"/>
      <c r="F1645" s="18"/>
      <c r="G1645" s="19"/>
      <c r="H1645" s="15"/>
      <c r="I1645" s="25"/>
      <c r="J1645" s="24"/>
      <c r="K1645" s="22"/>
      <c r="L1645" s="22"/>
      <c r="M1645" s="22"/>
      <c r="N1645" s="23"/>
      <c r="O1645" s="22"/>
      <c r="P1645" s="22"/>
      <c r="Q1645" s="22"/>
      <c r="R1645" s="22"/>
    </row>
    <row r="1646" spans="1:18" s="2" customFormat="1" ht="26.4">
      <c r="A1646" s="20">
        <f>A1644+1</f>
        <v>1545</v>
      </c>
      <c r="B1646" s="17" t="s">
        <v>2383</v>
      </c>
      <c r="C1646" s="17" t="s">
        <v>2384</v>
      </c>
      <c r="D1646" s="20" t="s">
        <v>5</v>
      </c>
      <c r="E1646" s="20" t="s">
        <v>6</v>
      </c>
      <c r="F1646" s="18">
        <v>1</v>
      </c>
      <c r="G1646" s="19">
        <f>1.633198857*7595.96</f>
        <v>12405.713189817719</v>
      </c>
      <c r="H1646" s="32">
        <v>1</v>
      </c>
      <c r="I1646" s="25">
        <f t="shared" si="95"/>
        <v>12405.713189817719</v>
      </c>
      <c r="J1646" s="40"/>
      <c r="K1646" s="39"/>
      <c r="L1646" s="39"/>
      <c r="M1646" s="39"/>
      <c r="N1646" s="23"/>
      <c r="O1646" s="39"/>
      <c r="P1646" s="39"/>
      <c r="Q1646" s="39"/>
      <c r="R1646" s="39"/>
    </row>
    <row r="1647" spans="1:18" s="2" customFormat="1" ht="39.6">
      <c r="A1647" s="20">
        <f>A1646+1</f>
        <v>1546</v>
      </c>
      <c r="B1647" s="17" t="s">
        <v>2385</v>
      </c>
      <c r="C1647" s="17" t="s">
        <v>2386</v>
      </c>
      <c r="D1647" s="9" t="s">
        <v>25</v>
      </c>
      <c r="E1647" s="20" t="s">
        <v>26</v>
      </c>
      <c r="F1647" s="18">
        <v>1</v>
      </c>
      <c r="G1647" s="19">
        <f>1.633198857*452.05</f>
        <v>738.28754330685001</v>
      </c>
      <c r="H1647" s="32">
        <v>25</v>
      </c>
      <c r="I1647" s="25">
        <f t="shared" si="95"/>
        <v>18457.18858267125</v>
      </c>
      <c r="J1647" s="40"/>
      <c r="K1647" s="39"/>
      <c r="L1647" s="39"/>
      <c r="M1647" s="39"/>
      <c r="N1647" s="23"/>
      <c r="O1647" s="39"/>
      <c r="P1647" s="39"/>
      <c r="Q1647" s="39"/>
      <c r="R1647" s="39"/>
    </row>
    <row r="1648" spans="1:18" s="2" customFormat="1" ht="14.4">
      <c r="A1648" s="20">
        <f t="shared" ref="A1648:A1677" si="97">A1647+1</f>
        <v>1547</v>
      </c>
      <c r="B1648" s="17" t="s">
        <v>2387</v>
      </c>
      <c r="C1648" s="17" t="s">
        <v>2388</v>
      </c>
      <c r="D1648" s="9" t="s">
        <v>25</v>
      </c>
      <c r="E1648" s="20" t="s">
        <v>26</v>
      </c>
      <c r="F1648" s="18">
        <v>1</v>
      </c>
      <c r="G1648" s="19">
        <f>92.05</f>
        <v>92.05</v>
      </c>
      <c r="H1648" s="32">
        <v>25</v>
      </c>
      <c r="I1648" s="25">
        <f t="shared" si="95"/>
        <v>2301.25</v>
      </c>
      <c r="J1648" s="40"/>
      <c r="K1648" s="39"/>
      <c r="L1648" s="39"/>
      <c r="M1648" s="39"/>
      <c r="N1648" s="23"/>
      <c r="O1648" s="39"/>
      <c r="P1648" s="39"/>
      <c r="Q1648" s="39"/>
      <c r="R1648" s="39"/>
    </row>
    <row r="1649" spans="1:18" s="2" customFormat="1" ht="14.4">
      <c r="A1649" s="20">
        <f t="shared" si="97"/>
        <v>1548</v>
      </c>
      <c r="B1649" s="17" t="s">
        <v>2389</v>
      </c>
      <c r="C1649" s="17" t="s">
        <v>2390</v>
      </c>
      <c r="D1649" s="20" t="s">
        <v>5</v>
      </c>
      <c r="E1649" s="20" t="s">
        <v>6</v>
      </c>
      <c r="F1649" s="18">
        <v>1</v>
      </c>
      <c r="G1649" s="19">
        <f>293.63</f>
        <v>293.63</v>
      </c>
      <c r="H1649" s="32">
        <v>4</v>
      </c>
      <c r="I1649" s="25">
        <f t="shared" si="95"/>
        <v>1174.52</v>
      </c>
      <c r="J1649" s="40"/>
      <c r="K1649" s="39"/>
      <c r="L1649" s="39"/>
      <c r="M1649" s="39"/>
      <c r="N1649" s="23"/>
      <c r="O1649" s="39"/>
      <c r="P1649" s="39"/>
      <c r="Q1649" s="39"/>
      <c r="R1649" s="39"/>
    </row>
    <row r="1650" spans="1:18" s="2" customFormat="1" ht="14.4">
      <c r="A1650" s="20">
        <f t="shared" si="97"/>
        <v>1549</v>
      </c>
      <c r="B1650" s="17" t="s">
        <v>2391</v>
      </c>
      <c r="C1650" s="17" t="s">
        <v>2392</v>
      </c>
      <c r="D1650" s="20" t="s">
        <v>5</v>
      </c>
      <c r="E1650" s="20" t="s">
        <v>6</v>
      </c>
      <c r="F1650" s="18">
        <v>1</v>
      </c>
      <c r="G1650" s="19">
        <v>441.53</v>
      </c>
      <c r="H1650" s="32">
        <v>13</v>
      </c>
      <c r="I1650" s="25">
        <f t="shared" si="95"/>
        <v>5739.8899999999994</v>
      </c>
      <c r="J1650" s="40"/>
      <c r="K1650" s="39"/>
      <c r="L1650" s="39"/>
      <c r="M1650" s="39"/>
      <c r="N1650" s="23"/>
      <c r="O1650" s="39"/>
      <c r="P1650" s="39"/>
      <c r="Q1650" s="39"/>
      <c r="R1650" s="39"/>
    </row>
    <row r="1651" spans="1:18" s="2" customFormat="1" ht="14.4">
      <c r="A1651" s="20">
        <f t="shared" si="97"/>
        <v>1550</v>
      </c>
      <c r="B1651" s="17" t="s">
        <v>2393</v>
      </c>
      <c r="C1651" s="17" t="s">
        <v>2394</v>
      </c>
      <c r="D1651" s="20" t="s">
        <v>5</v>
      </c>
      <c r="E1651" s="20" t="s">
        <v>6</v>
      </c>
      <c r="F1651" s="18">
        <v>1</v>
      </c>
      <c r="G1651" s="19">
        <v>671.87</v>
      </c>
      <c r="H1651" s="32">
        <v>8</v>
      </c>
      <c r="I1651" s="25">
        <f t="shared" si="95"/>
        <v>5374.96</v>
      </c>
      <c r="J1651" s="40"/>
      <c r="K1651" s="39"/>
      <c r="L1651" s="39"/>
      <c r="M1651" s="39"/>
      <c r="N1651" s="23"/>
      <c r="O1651" s="39"/>
      <c r="P1651" s="39"/>
      <c r="Q1651" s="39"/>
      <c r="R1651" s="39"/>
    </row>
    <row r="1652" spans="1:18" s="2" customFormat="1" ht="14.4">
      <c r="A1652" s="20">
        <f t="shared" si="97"/>
        <v>1551</v>
      </c>
      <c r="B1652" s="17" t="s">
        <v>2395</v>
      </c>
      <c r="C1652" s="17" t="s">
        <v>2396</v>
      </c>
      <c r="D1652" s="20" t="s">
        <v>5</v>
      </c>
      <c r="E1652" s="20" t="s">
        <v>6</v>
      </c>
      <c r="F1652" s="18">
        <v>1</v>
      </c>
      <c r="G1652" s="19">
        <v>457.67</v>
      </c>
      <c r="H1652" s="32">
        <v>6</v>
      </c>
      <c r="I1652" s="25">
        <f t="shared" si="95"/>
        <v>2746.02</v>
      </c>
      <c r="J1652" s="40"/>
      <c r="K1652" s="39"/>
      <c r="L1652" s="39"/>
      <c r="M1652" s="39"/>
      <c r="N1652" s="23"/>
      <c r="O1652" s="39"/>
      <c r="P1652" s="39"/>
      <c r="Q1652" s="39"/>
      <c r="R1652" s="39"/>
    </row>
    <row r="1653" spans="1:18" s="2" customFormat="1" ht="26.4">
      <c r="A1653" s="20">
        <f t="shared" si="97"/>
        <v>1552</v>
      </c>
      <c r="B1653" s="17" t="s">
        <v>2397</v>
      </c>
      <c r="C1653" s="17" t="s">
        <v>2398</v>
      </c>
      <c r="D1653" s="20" t="s">
        <v>5</v>
      </c>
      <c r="E1653" s="20" t="s">
        <v>6</v>
      </c>
      <c r="F1653" s="18">
        <v>1</v>
      </c>
      <c r="G1653" s="19">
        <f>1.633198857*127.9</f>
        <v>208.88613381030001</v>
      </c>
      <c r="H1653" s="32">
        <f>H1654+H1655+H1656+H1657</f>
        <v>9</v>
      </c>
      <c r="I1653" s="25">
        <f t="shared" si="95"/>
        <v>1879.9752042927</v>
      </c>
      <c r="J1653" s="40"/>
      <c r="K1653" s="39"/>
      <c r="L1653" s="39"/>
      <c r="M1653" s="39"/>
      <c r="N1653" s="23"/>
      <c r="O1653" s="39"/>
      <c r="P1653" s="39"/>
      <c r="Q1653" s="39"/>
      <c r="R1653" s="39"/>
    </row>
    <row r="1654" spans="1:18" s="2" customFormat="1" ht="26.4">
      <c r="A1654" s="20">
        <f t="shared" si="97"/>
        <v>1553</v>
      </c>
      <c r="B1654" s="17" t="s">
        <v>2399</v>
      </c>
      <c r="C1654" s="17" t="s">
        <v>2400</v>
      </c>
      <c r="D1654" s="20" t="s">
        <v>5</v>
      </c>
      <c r="E1654" s="20" t="s">
        <v>6</v>
      </c>
      <c r="F1654" s="18">
        <v>1</v>
      </c>
      <c r="G1654" s="19">
        <v>461.93</v>
      </c>
      <c r="H1654" s="32">
        <v>4</v>
      </c>
      <c r="I1654" s="25">
        <f t="shared" si="95"/>
        <v>1847.72</v>
      </c>
      <c r="J1654" s="40"/>
      <c r="K1654" s="39"/>
      <c r="L1654" s="39"/>
      <c r="M1654" s="39"/>
      <c r="N1654" s="23"/>
      <c r="O1654" s="39"/>
      <c r="P1654" s="39"/>
      <c r="Q1654" s="39"/>
      <c r="R1654" s="39"/>
    </row>
    <row r="1655" spans="1:18" s="2" customFormat="1" ht="26.4">
      <c r="A1655" s="20">
        <f t="shared" si="97"/>
        <v>1554</v>
      </c>
      <c r="B1655" s="17" t="s">
        <v>2401</v>
      </c>
      <c r="C1655" s="17" t="s">
        <v>2402</v>
      </c>
      <c r="D1655" s="20" t="s">
        <v>5</v>
      </c>
      <c r="E1655" s="20" t="s">
        <v>6</v>
      </c>
      <c r="F1655" s="18">
        <v>1</v>
      </c>
      <c r="G1655" s="19">
        <v>461.93</v>
      </c>
      <c r="H1655" s="32">
        <v>2</v>
      </c>
      <c r="I1655" s="25">
        <f t="shared" si="95"/>
        <v>923.86</v>
      </c>
      <c r="J1655" s="40"/>
      <c r="K1655" s="39"/>
      <c r="L1655" s="39"/>
      <c r="M1655" s="39"/>
      <c r="N1655" s="23"/>
      <c r="O1655" s="39"/>
      <c r="P1655" s="39"/>
      <c r="Q1655" s="39"/>
      <c r="R1655" s="39"/>
    </row>
    <row r="1656" spans="1:18" s="2" customFormat="1" ht="26.4">
      <c r="A1656" s="20">
        <f t="shared" si="97"/>
        <v>1555</v>
      </c>
      <c r="B1656" s="17" t="s">
        <v>2403</v>
      </c>
      <c r="C1656" s="17" t="s">
        <v>2404</v>
      </c>
      <c r="D1656" s="20" t="s">
        <v>5</v>
      </c>
      <c r="E1656" s="20" t="s">
        <v>6</v>
      </c>
      <c r="F1656" s="18">
        <v>1</v>
      </c>
      <c r="G1656" s="19">
        <v>461.93</v>
      </c>
      <c r="H1656" s="32">
        <v>1</v>
      </c>
      <c r="I1656" s="25">
        <f t="shared" si="95"/>
        <v>461.93</v>
      </c>
      <c r="J1656" s="40"/>
      <c r="K1656" s="39"/>
      <c r="L1656" s="39"/>
      <c r="M1656" s="39"/>
      <c r="N1656" s="23"/>
      <c r="O1656" s="39"/>
      <c r="P1656" s="39"/>
      <c r="Q1656" s="39"/>
      <c r="R1656" s="39"/>
    </row>
    <row r="1657" spans="1:18" s="2" customFormat="1" ht="26.4">
      <c r="A1657" s="20">
        <f t="shared" si="97"/>
        <v>1556</v>
      </c>
      <c r="B1657" s="17" t="s">
        <v>2405</v>
      </c>
      <c r="C1657" s="17" t="s">
        <v>2406</v>
      </c>
      <c r="D1657" s="20" t="s">
        <v>5</v>
      </c>
      <c r="E1657" s="20" t="s">
        <v>6</v>
      </c>
      <c r="F1657" s="18">
        <v>1</v>
      </c>
      <c r="G1657" s="19">
        <v>461.93</v>
      </c>
      <c r="H1657" s="32">
        <v>2</v>
      </c>
      <c r="I1657" s="25">
        <f t="shared" si="95"/>
        <v>923.86</v>
      </c>
      <c r="J1657" s="40"/>
      <c r="K1657" s="39"/>
      <c r="L1657" s="39"/>
      <c r="M1657" s="39"/>
      <c r="N1657" s="23"/>
      <c r="O1657" s="39"/>
      <c r="P1657" s="39"/>
      <c r="Q1657" s="39"/>
      <c r="R1657" s="39"/>
    </row>
    <row r="1658" spans="1:18" s="2" customFormat="1" ht="14.4">
      <c r="A1658" s="20">
        <f t="shared" si="97"/>
        <v>1557</v>
      </c>
      <c r="B1658" s="17" t="s">
        <v>2407</v>
      </c>
      <c r="C1658" s="17" t="s">
        <v>2408</v>
      </c>
      <c r="D1658" s="20" t="s">
        <v>5</v>
      </c>
      <c r="E1658" s="20" t="s">
        <v>6</v>
      </c>
      <c r="F1658" s="18">
        <v>1</v>
      </c>
      <c r="G1658" s="19">
        <v>25.88</v>
      </c>
      <c r="H1658" s="32">
        <v>34</v>
      </c>
      <c r="I1658" s="25">
        <f t="shared" si="95"/>
        <v>879.92</v>
      </c>
      <c r="J1658" s="40"/>
      <c r="K1658" s="39"/>
      <c r="L1658" s="39"/>
      <c r="M1658" s="39"/>
      <c r="N1658" s="23"/>
      <c r="O1658" s="39"/>
      <c r="P1658" s="39"/>
      <c r="Q1658" s="39"/>
      <c r="R1658" s="39"/>
    </row>
    <row r="1659" spans="1:18" s="2" customFormat="1" ht="14.4">
      <c r="A1659" s="20">
        <f t="shared" si="97"/>
        <v>1558</v>
      </c>
      <c r="B1659" s="17" t="s">
        <v>2409</v>
      </c>
      <c r="C1659" s="17" t="s">
        <v>2410</v>
      </c>
      <c r="D1659" s="20" t="s">
        <v>5</v>
      </c>
      <c r="E1659" s="20" t="s">
        <v>6</v>
      </c>
      <c r="F1659" s="18">
        <v>1</v>
      </c>
      <c r="G1659" s="19">
        <v>149.12</v>
      </c>
      <c r="H1659" s="32">
        <v>3</v>
      </c>
      <c r="I1659" s="25">
        <f t="shared" si="95"/>
        <v>447.36</v>
      </c>
      <c r="J1659" s="40"/>
      <c r="K1659" s="39"/>
      <c r="L1659" s="39"/>
      <c r="M1659" s="39"/>
      <c r="N1659" s="23"/>
      <c r="O1659" s="39"/>
      <c r="P1659" s="39"/>
      <c r="Q1659" s="39"/>
      <c r="R1659" s="39"/>
    </row>
    <row r="1660" spans="1:18" s="2" customFormat="1" ht="14.4">
      <c r="A1660" s="20">
        <f t="shared" si="97"/>
        <v>1559</v>
      </c>
      <c r="B1660" s="17" t="s">
        <v>2411</v>
      </c>
      <c r="C1660" s="17" t="s">
        <v>2412</v>
      </c>
      <c r="D1660" s="9" t="s">
        <v>25</v>
      </c>
      <c r="E1660" s="20" t="s">
        <v>26</v>
      </c>
      <c r="F1660" s="18">
        <v>1</v>
      </c>
      <c r="G1660" s="19">
        <f>1.633198857*8.83</f>
        <v>14.421145907310001</v>
      </c>
      <c r="H1660" s="32">
        <v>15</v>
      </c>
      <c r="I1660" s="25">
        <f t="shared" si="95"/>
        <v>216.31718860965</v>
      </c>
      <c r="J1660" s="40"/>
      <c r="K1660" s="39"/>
      <c r="L1660" s="39"/>
      <c r="M1660" s="39"/>
      <c r="N1660" s="23"/>
      <c r="O1660" s="39"/>
      <c r="P1660" s="39"/>
      <c r="Q1660" s="39"/>
      <c r="R1660" s="39"/>
    </row>
    <row r="1661" spans="1:18" s="2" customFormat="1" ht="14.4">
      <c r="A1661" s="20">
        <f t="shared" si="97"/>
        <v>1560</v>
      </c>
      <c r="B1661" s="17" t="s">
        <v>2413</v>
      </c>
      <c r="C1661" s="17" t="s">
        <v>2414</v>
      </c>
      <c r="D1661" s="9" t="s">
        <v>25</v>
      </c>
      <c r="E1661" s="20" t="s">
        <v>26</v>
      </c>
      <c r="F1661" s="18">
        <v>1</v>
      </c>
      <c r="G1661" s="19">
        <v>121.52</v>
      </c>
      <c r="H1661" s="32">
        <v>15</v>
      </c>
      <c r="I1661" s="25">
        <f t="shared" si="95"/>
        <v>1822.8</v>
      </c>
      <c r="J1661" s="40"/>
      <c r="K1661" s="39"/>
      <c r="L1661" s="39"/>
      <c r="M1661" s="39"/>
      <c r="N1661" s="23"/>
      <c r="O1661" s="39"/>
      <c r="P1661" s="39"/>
      <c r="Q1661" s="39"/>
      <c r="R1661" s="39"/>
    </row>
    <row r="1662" spans="1:18" s="2" customFormat="1" ht="14.4">
      <c r="A1662" s="20">
        <f t="shared" si="97"/>
        <v>1561</v>
      </c>
      <c r="B1662" s="17" t="s">
        <v>2415</v>
      </c>
      <c r="C1662" s="17" t="s">
        <v>2416</v>
      </c>
      <c r="D1662" s="20" t="s">
        <v>5</v>
      </c>
      <c r="E1662" s="20" t="s">
        <v>6</v>
      </c>
      <c r="F1662" s="18">
        <v>1</v>
      </c>
      <c r="G1662" s="19">
        <v>31.82</v>
      </c>
      <c r="H1662" s="32">
        <v>2</v>
      </c>
      <c r="I1662" s="25">
        <f t="shared" si="95"/>
        <v>63.64</v>
      </c>
      <c r="J1662" s="40"/>
      <c r="K1662" s="39"/>
      <c r="L1662" s="39"/>
      <c r="M1662" s="39"/>
      <c r="N1662" s="23"/>
      <c r="O1662" s="39"/>
      <c r="P1662" s="39"/>
      <c r="Q1662" s="39"/>
      <c r="R1662" s="39"/>
    </row>
    <row r="1663" spans="1:18" s="2" customFormat="1" ht="14.4">
      <c r="A1663" s="20">
        <f t="shared" si="97"/>
        <v>1562</v>
      </c>
      <c r="B1663" s="17" t="s">
        <v>2417</v>
      </c>
      <c r="C1663" s="17" t="s">
        <v>2418</v>
      </c>
      <c r="D1663" s="20" t="s">
        <v>5</v>
      </c>
      <c r="E1663" s="20" t="s">
        <v>6</v>
      </c>
      <c r="F1663" s="18">
        <v>1</v>
      </c>
      <c r="G1663" s="19">
        <v>508.67</v>
      </c>
      <c r="H1663" s="32">
        <v>1</v>
      </c>
      <c r="I1663" s="25">
        <f t="shared" si="95"/>
        <v>508.67</v>
      </c>
      <c r="J1663" s="40"/>
      <c r="K1663" s="39"/>
      <c r="L1663" s="39"/>
      <c r="M1663" s="39"/>
      <c r="N1663" s="23"/>
      <c r="O1663" s="39"/>
      <c r="P1663" s="39"/>
      <c r="Q1663" s="39"/>
      <c r="R1663" s="39"/>
    </row>
    <row r="1664" spans="1:18" s="2" customFormat="1" ht="14.4">
      <c r="A1664" s="20">
        <f t="shared" si="97"/>
        <v>1563</v>
      </c>
      <c r="B1664" s="17" t="s">
        <v>2419</v>
      </c>
      <c r="C1664" s="17" t="s">
        <v>2420</v>
      </c>
      <c r="D1664" s="20" t="s">
        <v>5</v>
      </c>
      <c r="E1664" s="20" t="s">
        <v>6</v>
      </c>
      <c r="F1664" s="18">
        <v>1</v>
      </c>
      <c r="G1664" s="19">
        <f>1.633198857*402.85</f>
        <v>657.93415954245006</v>
      </c>
      <c r="H1664" s="32">
        <v>3</v>
      </c>
      <c r="I1664" s="25">
        <f t="shared" si="95"/>
        <v>1973.8024786273502</v>
      </c>
      <c r="J1664" s="40"/>
      <c r="K1664" s="39"/>
      <c r="L1664" s="39"/>
      <c r="M1664" s="39"/>
      <c r="N1664" s="23"/>
      <c r="O1664" s="39"/>
      <c r="P1664" s="39"/>
      <c r="Q1664" s="39"/>
      <c r="R1664" s="39"/>
    </row>
    <row r="1665" spans="1:18" s="2" customFormat="1" ht="26.4">
      <c r="A1665" s="20">
        <f t="shared" si="97"/>
        <v>1564</v>
      </c>
      <c r="B1665" s="17" t="s">
        <v>2421</v>
      </c>
      <c r="C1665" s="17" t="s">
        <v>2422</v>
      </c>
      <c r="D1665" s="20" t="s">
        <v>5</v>
      </c>
      <c r="E1665" s="20" t="s">
        <v>6</v>
      </c>
      <c r="F1665" s="18">
        <v>1</v>
      </c>
      <c r="G1665" s="19">
        <f>215.42</f>
        <v>215.42</v>
      </c>
      <c r="H1665" s="32">
        <v>3</v>
      </c>
      <c r="I1665" s="25">
        <f t="shared" si="95"/>
        <v>646.26</v>
      </c>
      <c r="J1665" s="40"/>
      <c r="K1665" s="39"/>
      <c r="L1665" s="39"/>
      <c r="M1665" s="39"/>
      <c r="N1665" s="23"/>
      <c r="O1665" s="39"/>
      <c r="P1665" s="39"/>
      <c r="Q1665" s="39"/>
      <c r="R1665" s="39"/>
    </row>
    <row r="1666" spans="1:18" s="2" customFormat="1" ht="14.4">
      <c r="A1666" s="20">
        <f t="shared" si="97"/>
        <v>1565</v>
      </c>
      <c r="B1666" s="17" t="s">
        <v>2423</v>
      </c>
      <c r="C1666" s="17" t="s">
        <v>2424</v>
      </c>
      <c r="D1666" s="20" t="s">
        <v>5</v>
      </c>
      <c r="E1666" s="20" t="s">
        <v>6</v>
      </c>
      <c r="F1666" s="18">
        <v>1</v>
      </c>
      <c r="G1666" s="19">
        <f>380.44</f>
        <v>380.44</v>
      </c>
      <c r="H1666" s="32">
        <v>1</v>
      </c>
      <c r="I1666" s="25">
        <f t="shared" si="95"/>
        <v>380.44</v>
      </c>
      <c r="J1666" s="40"/>
      <c r="K1666" s="39"/>
      <c r="L1666" s="39"/>
      <c r="M1666" s="39"/>
      <c r="N1666" s="23"/>
      <c r="O1666" s="39"/>
      <c r="P1666" s="39"/>
      <c r="Q1666" s="39"/>
      <c r="R1666" s="39"/>
    </row>
    <row r="1667" spans="1:18" s="2" customFormat="1" ht="14.4">
      <c r="A1667" s="20">
        <f t="shared" si="97"/>
        <v>1566</v>
      </c>
      <c r="B1667" s="17" t="s">
        <v>2425</v>
      </c>
      <c r="C1667" s="17" t="s">
        <v>2426</v>
      </c>
      <c r="D1667" s="20" t="s">
        <v>5</v>
      </c>
      <c r="E1667" s="20" t="s">
        <v>6</v>
      </c>
      <c r="F1667" s="18">
        <v>1</v>
      </c>
      <c r="G1667" s="19">
        <f>1777.73</f>
        <v>1777.73</v>
      </c>
      <c r="H1667" s="32">
        <v>1</v>
      </c>
      <c r="I1667" s="25">
        <f t="shared" si="95"/>
        <v>1777.73</v>
      </c>
      <c r="J1667" s="40"/>
      <c r="K1667" s="39"/>
      <c r="L1667" s="39"/>
      <c r="M1667" s="39"/>
      <c r="N1667" s="23"/>
      <c r="O1667" s="39"/>
      <c r="P1667" s="39"/>
      <c r="Q1667" s="39"/>
      <c r="R1667" s="39"/>
    </row>
    <row r="1668" spans="1:18" s="2" customFormat="1" ht="14.4">
      <c r="A1668" s="20">
        <f t="shared" si="97"/>
        <v>1567</v>
      </c>
      <c r="B1668" s="17" t="s">
        <v>2427</v>
      </c>
      <c r="C1668" s="17" t="s">
        <v>2428</v>
      </c>
      <c r="D1668" s="20" t="s">
        <v>5</v>
      </c>
      <c r="E1668" s="20" t="s">
        <v>6</v>
      </c>
      <c r="F1668" s="18">
        <v>1</v>
      </c>
      <c r="G1668" s="19">
        <f>1.633198857*1779.85</f>
        <v>2906.84898563145</v>
      </c>
      <c r="H1668" s="32">
        <v>7</v>
      </c>
      <c r="I1668" s="25">
        <f t="shared" si="95"/>
        <v>20347.942899420152</v>
      </c>
      <c r="J1668" s="40"/>
      <c r="K1668" s="39"/>
      <c r="L1668" s="39"/>
      <c r="M1668" s="39"/>
      <c r="N1668" s="23"/>
      <c r="O1668" s="39"/>
      <c r="P1668" s="39"/>
      <c r="Q1668" s="39"/>
      <c r="R1668" s="39"/>
    </row>
    <row r="1669" spans="1:18" s="2" customFormat="1" ht="14.4">
      <c r="A1669" s="20">
        <f t="shared" si="97"/>
        <v>1568</v>
      </c>
      <c r="B1669" s="17" t="s">
        <v>2429</v>
      </c>
      <c r="C1669" s="17" t="s">
        <v>2430</v>
      </c>
      <c r="D1669" s="20" t="s">
        <v>5</v>
      </c>
      <c r="E1669" s="20" t="s">
        <v>6</v>
      </c>
      <c r="F1669" s="18">
        <v>1</v>
      </c>
      <c r="G1669" s="19">
        <v>523.97</v>
      </c>
      <c r="H1669" s="32">
        <v>7</v>
      </c>
      <c r="I1669" s="25">
        <f t="shared" si="95"/>
        <v>3667.79</v>
      </c>
      <c r="J1669" s="40"/>
      <c r="K1669" s="39"/>
      <c r="L1669" s="39"/>
      <c r="M1669" s="39"/>
      <c r="N1669" s="23"/>
      <c r="O1669" s="39"/>
      <c r="P1669" s="39"/>
      <c r="Q1669" s="39"/>
      <c r="R1669" s="39"/>
    </row>
    <row r="1670" spans="1:18" s="2" customFormat="1" ht="14.4">
      <c r="A1670" s="20">
        <f t="shared" si="97"/>
        <v>1569</v>
      </c>
      <c r="B1670" s="17" t="s">
        <v>2431</v>
      </c>
      <c r="C1670" s="17" t="s">
        <v>2432</v>
      </c>
      <c r="D1670" s="20" t="s">
        <v>5</v>
      </c>
      <c r="E1670" s="20" t="s">
        <v>6</v>
      </c>
      <c r="F1670" s="18">
        <v>1</v>
      </c>
      <c r="G1670" s="19">
        <v>484.03</v>
      </c>
      <c r="H1670" s="32">
        <v>3</v>
      </c>
      <c r="I1670" s="25">
        <f t="shared" si="95"/>
        <v>1452.09</v>
      </c>
      <c r="J1670" s="40"/>
      <c r="K1670" s="39"/>
      <c r="L1670" s="39"/>
      <c r="M1670" s="39"/>
      <c r="N1670" s="23"/>
      <c r="O1670" s="39"/>
      <c r="P1670" s="39"/>
      <c r="Q1670" s="39"/>
      <c r="R1670" s="39"/>
    </row>
    <row r="1671" spans="1:18" s="2" customFormat="1" ht="14.4">
      <c r="A1671" s="20">
        <f t="shared" si="97"/>
        <v>1570</v>
      </c>
      <c r="B1671" s="17" t="s">
        <v>2433</v>
      </c>
      <c r="C1671" s="17" t="s">
        <v>2434</v>
      </c>
      <c r="D1671" s="20" t="s">
        <v>5</v>
      </c>
      <c r="E1671" s="20" t="s">
        <v>6</v>
      </c>
      <c r="F1671" s="18">
        <v>1</v>
      </c>
      <c r="G1671" s="19">
        <v>325.07</v>
      </c>
      <c r="H1671" s="32">
        <v>1</v>
      </c>
      <c r="I1671" s="25">
        <f t="shared" si="95"/>
        <v>325.07</v>
      </c>
      <c r="J1671" s="40"/>
      <c r="K1671" s="39"/>
      <c r="L1671" s="39"/>
      <c r="M1671" s="39"/>
      <c r="N1671" s="23"/>
      <c r="O1671" s="39"/>
      <c r="P1671" s="39"/>
      <c r="Q1671" s="39"/>
      <c r="R1671" s="39"/>
    </row>
    <row r="1672" spans="1:18" s="2" customFormat="1" ht="14.4">
      <c r="A1672" s="20">
        <f t="shared" si="97"/>
        <v>1571</v>
      </c>
      <c r="B1672" s="17" t="s">
        <v>2427</v>
      </c>
      <c r="C1672" s="17" t="s">
        <v>2428</v>
      </c>
      <c r="D1672" s="20" t="s">
        <v>5</v>
      </c>
      <c r="E1672" s="20" t="s">
        <v>6</v>
      </c>
      <c r="F1672" s="18">
        <v>1</v>
      </c>
      <c r="G1672" s="19">
        <f>1.633198857*1779.85</f>
        <v>2906.84898563145</v>
      </c>
      <c r="H1672" s="32">
        <v>1</v>
      </c>
      <c r="I1672" s="25">
        <f t="shared" si="95"/>
        <v>2906.84898563145</v>
      </c>
      <c r="J1672" s="40"/>
      <c r="K1672" s="39"/>
      <c r="L1672" s="39"/>
      <c r="M1672" s="39"/>
      <c r="N1672" s="23"/>
      <c r="O1672" s="39"/>
      <c r="P1672" s="39"/>
      <c r="Q1672" s="39"/>
      <c r="R1672" s="39"/>
    </row>
    <row r="1673" spans="1:18" s="2" customFormat="1" ht="26.4">
      <c r="A1673" s="20">
        <f t="shared" si="97"/>
        <v>1572</v>
      </c>
      <c r="B1673" s="17" t="s">
        <v>2435</v>
      </c>
      <c r="C1673" s="17" t="s">
        <v>2436</v>
      </c>
      <c r="D1673" s="20" t="s">
        <v>5</v>
      </c>
      <c r="E1673" s="20" t="s">
        <v>6</v>
      </c>
      <c r="F1673" s="18">
        <v>1</v>
      </c>
      <c r="G1673" s="19">
        <v>2311.52</v>
      </c>
      <c r="H1673" s="32">
        <v>1</v>
      </c>
      <c r="I1673" s="25">
        <f t="shared" si="95"/>
        <v>2311.52</v>
      </c>
      <c r="J1673" s="40"/>
      <c r="K1673" s="39"/>
      <c r="L1673" s="39"/>
      <c r="M1673" s="39"/>
      <c r="N1673" s="23"/>
      <c r="O1673" s="39"/>
      <c r="P1673" s="39"/>
      <c r="Q1673" s="39"/>
      <c r="R1673" s="39"/>
    </row>
    <row r="1674" spans="1:18" s="2" customFormat="1" ht="14.4">
      <c r="A1674" s="20">
        <f t="shared" si="97"/>
        <v>1573</v>
      </c>
      <c r="B1674" s="17" t="s">
        <v>2437</v>
      </c>
      <c r="C1674" s="17" t="s">
        <v>2438</v>
      </c>
      <c r="D1674" s="20" t="s">
        <v>5</v>
      </c>
      <c r="E1674" s="20" t="s">
        <v>6</v>
      </c>
      <c r="F1674" s="18">
        <v>1</v>
      </c>
      <c r="G1674" s="19">
        <v>7.96</v>
      </c>
      <c r="H1674" s="32">
        <v>20</v>
      </c>
      <c r="I1674" s="25">
        <f t="shared" si="95"/>
        <v>159.19999999999999</v>
      </c>
      <c r="J1674" s="40"/>
      <c r="K1674" s="39"/>
      <c r="L1674" s="39"/>
      <c r="M1674" s="39"/>
      <c r="N1674" s="23"/>
      <c r="O1674" s="39"/>
      <c r="P1674" s="39"/>
      <c r="Q1674" s="39"/>
      <c r="R1674" s="39"/>
    </row>
    <row r="1675" spans="1:18" s="2" customFormat="1" ht="14.4">
      <c r="A1675" s="20">
        <f t="shared" si="97"/>
        <v>1574</v>
      </c>
      <c r="B1675" s="17" t="s">
        <v>2439</v>
      </c>
      <c r="C1675" s="17" t="s">
        <v>2440</v>
      </c>
      <c r="D1675" s="20" t="s">
        <v>5</v>
      </c>
      <c r="E1675" s="20" t="s">
        <v>6</v>
      </c>
      <c r="F1675" s="18">
        <v>1</v>
      </c>
      <c r="G1675" s="19">
        <v>1.99</v>
      </c>
      <c r="H1675" s="32">
        <v>40</v>
      </c>
      <c r="I1675" s="25">
        <f t="shared" ref="I1675:I1738" si="98">G1675*H1675</f>
        <v>79.599999999999994</v>
      </c>
      <c r="J1675" s="40"/>
      <c r="K1675" s="39"/>
      <c r="L1675" s="39"/>
      <c r="M1675" s="39"/>
      <c r="N1675" s="23"/>
      <c r="O1675" s="39"/>
      <c r="P1675" s="39"/>
      <c r="Q1675" s="39"/>
      <c r="R1675" s="39"/>
    </row>
    <row r="1676" spans="1:18" s="2" customFormat="1" ht="14.4">
      <c r="A1676" s="20">
        <f t="shared" si="97"/>
        <v>1575</v>
      </c>
      <c r="B1676" s="17" t="s">
        <v>2441</v>
      </c>
      <c r="C1676" s="17" t="s">
        <v>2442</v>
      </c>
      <c r="D1676" s="20" t="s">
        <v>5</v>
      </c>
      <c r="E1676" s="20" t="s">
        <v>6</v>
      </c>
      <c r="F1676" s="18">
        <v>1</v>
      </c>
      <c r="G1676" s="19">
        <v>1.57</v>
      </c>
      <c r="H1676" s="32">
        <v>40</v>
      </c>
      <c r="I1676" s="25">
        <f t="shared" si="98"/>
        <v>62.800000000000004</v>
      </c>
      <c r="J1676" s="40"/>
      <c r="K1676" s="39"/>
      <c r="L1676" s="39"/>
      <c r="M1676" s="39"/>
      <c r="N1676" s="23"/>
      <c r="O1676" s="39"/>
      <c r="P1676" s="39"/>
      <c r="Q1676" s="39"/>
      <c r="R1676" s="39"/>
    </row>
    <row r="1677" spans="1:18" s="2" customFormat="1" ht="14.4">
      <c r="A1677" s="20">
        <f t="shared" si="97"/>
        <v>1576</v>
      </c>
      <c r="B1677" s="17" t="s">
        <v>1077</v>
      </c>
      <c r="C1677" s="17" t="s">
        <v>219</v>
      </c>
      <c r="D1677" s="20" t="s">
        <v>48</v>
      </c>
      <c r="E1677" s="20" t="s">
        <v>49</v>
      </c>
      <c r="F1677" s="18">
        <v>1</v>
      </c>
      <c r="G1677" s="19"/>
      <c r="H1677" s="32">
        <v>1</v>
      </c>
      <c r="I1677" s="25">
        <f>SUM(I1635:I1676)*0.05</f>
        <v>21730.447176402926</v>
      </c>
      <c r="J1677" s="40"/>
      <c r="K1677" s="39"/>
      <c r="L1677" s="39"/>
      <c r="M1677" s="39"/>
      <c r="N1677" s="23"/>
      <c r="O1677" s="39"/>
      <c r="P1677" s="39"/>
      <c r="Q1677" s="39"/>
      <c r="R1677" s="39"/>
    </row>
    <row r="1678" spans="1:18" ht="39.6">
      <c r="A1678" s="9" t="s">
        <v>61</v>
      </c>
      <c r="B1678" s="13" t="s">
        <v>2443</v>
      </c>
      <c r="C1678" s="13" t="s">
        <v>2444</v>
      </c>
      <c r="D1678" s="14"/>
      <c r="E1678" s="14"/>
      <c r="F1678" s="18"/>
      <c r="G1678" s="19"/>
      <c r="H1678" s="15"/>
      <c r="I1678" s="25"/>
      <c r="J1678" s="24"/>
      <c r="K1678" s="22"/>
      <c r="L1678" s="22"/>
      <c r="M1678" s="22"/>
      <c r="N1678" s="23"/>
      <c r="O1678" s="22"/>
      <c r="P1678" s="22"/>
      <c r="Q1678" s="22"/>
      <c r="R1678" s="22"/>
    </row>
    <row r="1679" spans="1:18" s="2" customFormat="1" ht="26.4">
      <c r="A1679" s="20">
        <f>A1677+1</f>
        <v>1577</v>
      </c>
      <c r="B1679" s="17" t="s">
        <v>2445</v>
      </c>
      <c r="C1679" s="17" t="s">
        <v>2446</v>
      </c>
      <c r="D1679" s="20" t="s">
        <v>5</v>
      </c>
      <c r="E1679" s="20" t="s">
        <v>6</v>
      </c>
      <c r="F1679" s="18">
        <v>1</v>
      </c>
      <c r="G1679" s="19">
        <f>62654.17</f>
        <v>62654.17</v>
      </c>
      <c r="H1679" s="32">
        <v>1</v>
      </c>
      <c r="I1679" s="25">
        <f t="shared" si="98"/>
        <v>62654.17</v>
      </c>
      <c r="J1679" s="40"/>
      <c r="K1679" s="39"/>
      <c r="L1679" s="39"/>
      <c r="M1679" s="39"/>
      <c r="N1679" s="23"/>
      <c r="O1679" s="39"/>
      <c r="P1679" s="39"/>
      <c r="Q1679" s="39"/>
      <c r="R1679" s="39"/>
    </row>
    <row r="1680" spans="1:18" ht="39.6">
      <c r="A1680" s="9" t="s">
        <v>61</v>
      </c>
      <c r="B1680" s="13" t="s">
        <v>2447</v>
      </c>
      <c r="C1680" s="13" t="s">
        <v>2448</v>
      </c>
      <c r="D1680" s="14"/>
      <c r="E1680" s="14"/>
      <c r="F1680" s="18"/>
      <c r="G1680" s="19"/>
      <c r="H1680" s="15"/>
      <c r="I1680" s="25"/>
      <c r="J1680" s="24"/>
      <c r="K1680" s="22"/>
      <c r="L1680" s="22"/>
      <c r="M1680" s="22"/>
      <c r="N1680" s="23"/>
      <c r="O1680" s="22"/>
      <c r="P1680" s="22"/>
      <c r="Q1680" s="22"/>
      <c r="R1680" s="22"/>
    </row>
    <row r="1681" spans="1:18" ht="14.4">
      <c r="A1681" s="9" t="s">
        <v>61</v>
      </c>
      <c r="B1681" s="13" t="s">
        <v>2449</v>
      </c>
      <c r="C1681" s="13" t="s">
        <v>2450</v>
      </c>
      <c r="D1681" s="14"/>
      <c r="E1681" s="14"/>
      <c r="F1681" s="18"/>
      <c r="G1681" s="19"/>
      <c r="H1681" s="15"/>
      <c r="I1681" s="25"/>
      <c r="J1681" s="24"/>
      <c r="K1681" s="22"/>
      <c r="L1681" s="22"/>
      <c r="M1681" s="22"/>
      <c r="N1681" s="23"/>
      <c r="O1681" s="22"/>
      <c r="P1681" s="22"/>
      <c r="Q1681" s="22"/>
      <c r="R1681" s="22"/>
    </row>
    <row r="1682" spans="1:18" s="2" customFormat="1" ht="66">
      <c r="A1682" s="20">
        <f>A1679+1</f>
        <v>1578</v>
      </c>
      <c r="B1682" s="17" t="s">
        <v>2451</v>
      </c>
      <c r="C1682" s="17" t="s">
        <v>2452</v>
      </c>
      <c r="D1682" s="20" t="s">
        <v>1617</v>
      </c>
      <c r="E1682" s="20" t="s">
        <v>1618</v>
      </c>
      <c r="F1682" s="18">
        <v>1</v>
      </c>
      <c r="G1682" s="19">
        <f>1.633198857*8134.36</f>
        <v>13285.027454426519</v>
      </c>
      <c r="H1682" s="32">
        <v>1</v>
      </c>
      <c r="I1682" s="25">
        <f t="shared" si="98"/>
        <v>13285.027454426519</v>
      </c>
      <c r="J1682" s="40"/>
      <c r="K1682" s="39"/>
      <c r="L1682" s="39"/>
      <c r="M1682" s="39"/>
      <c r="N1682" s="23"/>
      <c r="O1682" s="39"/>
      <c r="P1682" s="39"/>
      <c r="Q1682" s="39"/>
      <c r="R1682" s="39"/>
    </row>
    <row r="1683" spans="1:18" ht="39.6">
      <c r="A1683" s="9" t="s">
        <v>61</v>
      </c>
      <c r="B1683" s="13" t="s">
        <v>2453</v>
      </c>
      <c r="C1683" s="13" t="s">
        <v>2454</v>
      </c>
      <c r="D1683" s="14"/>
      <c r="E1683" s="14"/>
      <c r="F1683" s="18"/>
      <c r="G1683" s="19"/>
      <c r="H1683" s="15"/>
      <c r="I1683" s="25"/>
      <c r="J1683" s="24"/>
      <c r="K1683" s="22"/>
      <c r="L1683" s="22"/>
      <c r="M1683" s="22"/>
      <c r="N1683" s="23"/>
      <c r="O1683" s="22"/>
      <c r="P1683" s="22"/>
      <c r="Q1683" s="22"/>
      <c r="R1683" s="22"/>
    </row>
    <row r="1684" spans="1:18" ht="14.4">
      <c r="A1684" s="9" t="s">
        <v>61</v>
      </c>
      <c r="B1684" s="13" t="s">
        <v>2455</v>
      </c>
      <c r="C1684" s="13" t="s">
        <v>2456</v>
      </c>
      <c r="D1684" s="14"/>
      <c r="E1684" s="14"/>
      <c r="F1684" s="18"/>
      <c r="G1684" s="19"/>
      <c r="H1684" s="15"/>
      <c r="I1684" s="25"/>
      <c r="J1684" s="24"/>
      <c r="K1684" s="22"/>
      <c r="L1684" s="22"/>
      <c r="M1684" s="22"/>
      <c r="N1684" s="23"/>
      <c r="O1684" s="22"/>
      <c r="P1684" s="22"/>
      <c r="Q1684" s="22"/>
      <c r="R1684" s="22"/>
    </row>
    <row r="1685" spans="1:18" s="2" customFormat="1" ht="26.4">
      <c r="A1685" s="20">
        <f>A1682+1</f>
        <v>1579</v>
      </c>
      <c r="B1685" s="17" t="s">
        <v>2457</v>
      </c>
      <c r="C1685" s="17" t="s">
        <v>2458</v>
      </c>
      <c r="D1685" s="20" t="s">
        <v>5</v>
      </c>
      <c r="E1685" s="20" t="s">
        <v>6</v>
      </c>
      <c r="F1685" s="18">
        <v>1</v>
      </c>
      <c r="G1685" s="19">
        <f>1.633198857*7660.15</f>
        <v>12510.54822444855</v>
      </c>
      <c r="H1685" s="32">
        <v>1</v>
      </c>
      <c r="I1685" s="25">
        <f t="shared" si="98"/>
        <v>12510.54822444855</v>
      </c>
      <c r="J1685" s="40"/>
      <c r="K1685" s="39"/>
      <c r="L1685" s="39"/>
      <c r="M1685" s="39"/>
      <c r="N1685" s="23"/>
      <c r="O1685" s="39"/>
      <c r="P1685" s="39"/>
      <c r="Q1685" s="39"/>
      <c r="R1685" s="39"/>
    </row>
    <row r="1686" spans="1:18" s="2" customFormat="1" ht="14.4">
      <c r="A1686" s="20">
        <f>A1685+1</f>
        <v>1580</v>
      </c>
      <c r="B1686" s="17" t="s">
        <v>2459</v>
      </c>
      <c r="C1686" s="17" t="s">
        <v>2460</v>
      </c>
      <c r="D1686" s="20" t="s">
        <v>5</v>
      </c>
      <c r="E1686" s="20" t="s">
        <v>6</v>
      </c>
      <c r="F1686" s="18">
        <v>1</v>
      </c>
      <c r="G1686" s="19">
        <f>1.633198857*2635.32</f>
        <v>4304.0016118292406</v>
      </c>
      <c r="H1686" s="32">
        <v>3</v>
      </c>
      <c r="I1686" s="25">
        <f t="shared" si="98"/>
        <v>12912.004835487722</v>
      </c>
      <c r="J1686" s="40"/>
      <c r="K1686" s="39"/>
      <c r="L1686" s="39"/>
      <c r="M1686" s="39"/>
      <c r="N1686" s="23"/>
      <c r="O1686" s="39"/>
      <c r="P1686" s="39"/>
      <c r="Q1686" s="39"/>
      <c r="R1686" s="39"/>
    </row>
    <row r="1687" spans="1:18" s="2" customFormat="1" ht="39.6">
      <c r="A1687" s="20">
        <f>A1686+1</f>
        <v>1581</v>
      </c>
      <c r="B1687" s="17" t="s">
        <v>2461</v>
      </c>
      <c r="C1687" s="17" t="s">
        <v>2462</v>
      </c>
      <c r="D1687" s="20" t="s">
        <v>5</v>
      </c>
      <c r="E1687" s="20" t="s">
        <v>6</v>
      </c>
      <c r="F1687" s="18">
        <v>1</v>
      </c>
      <c r="G1687" s="19">
        <f>1.633198857*192.91</f>
        <v>315.06039150386999</v>
      </c>
      <c r="H1687" s="32">
        <v>29</v>
      </c>
      <c r="I1687" s="25">
        <f t="shared" si="98"/>
        <v>9136.7513536122297</v>
      </c>
      <c r="J1687" s="40"/>
      <c r="K1687" s="39"/>
      <c r="L1687" s="39"/>
      <c r="M1687" s="39"/>
      <c r="N1687" s="23"/>
      <c r="O1687" s="39"/>
      <c r="P1687" s="39"/>
      <c r="Q1687" s="39"/>
      <c r="R1687" s="39"/>
    </row>
    <row r="1688" spans="1:18" s="2" customFormat="1" ht="39.6">
      <c r="A1688" s="20">
        <f t="shared" ref="A1688:A1704" si="99">A1687+1</f>
        <v>1582</v>
      </c>
      <c r="B1688" s="17" t="s">
        <v>2463</v>
      </c>
      <c r="C1688" s="17" t="s">
        <v>2464</v>
      </c>
      <c r="D1688" s="20" t="s">
        <v>5</v>
      </c>
      <c r="E1688" s="20" t="s">
        <v>6</v>
      </c>
      <c r="F1688" s="18">
        <v>1</v>
      </c>
      <c r="G1688" s="19">
        <f>1.633198857*404.94</f>
        <v>661.34754515357997</v>
      </c>
      <c r="H1688" s="32">
        <v>70</v>
      </c>
      <c r="I1688" s="25">
        <f t="shared" si="98"/>
        <v>46294.3281607506</v>
      </c>
      <c r="J1688" s="40"/>
      <c r="K1688" s="39"/>
      <c r="L1688" s="39"/>
      <c r="M1688" s="39"/>
      <c r="N1688" s="23"/>
      <c r="O1688" s="39"/>
      <c r="P1688" s="39"/>
      <c r="Q1688" s="39"/>
      <c r="R1688" s="39"/>
    </row>
    <row r="1689" spans="1:18" s="2" customFormat="1" ht="26.4">
      <c r="A1689" s="20">
        <f t="shared" si="99"/>
        <v>1583</v>
      </c>
      <c r="B1689" s="17" t="s">
        <v>2465</v>
      </c>
      <c r="C1689" s="17" t="s">
        <v>2466</v>
      </c>
      <c r="D1689" s="20" t="s">
        <v>5</v>
      </c>
      <c r="E1689" s="20" t="s">
        <v>6</v>
      </c>
      <c r="F1689" s="18">
        <v>1</v>
      </c>
      <c r="G1689" s="19">
        <f>1.633198857*81.05</f>
        <v>132.37076735984999</v>
      </c>
      <c r="H1689" s="32">
        <v>1</v>
      </c>
      <c r="I1689" s="25">
        <f t="shared" si="98"/>
        <v>132.37076735984999</v>
      </c>
      <c r="J1689" s="40"/>
      <c r="K1689" s="39"/>
      <c r="L1689" s="39"/>
      <c r="M1689" s="39"/>
      <c r="N1689" s="23"/>
      <c r="O1689" s="39"/>
      <c r="P1689" s="39"/>
      <c r="Q1689" s="39"/>
      <c r="R1689" s="39"/>
    </row>
    <row r="1690" spans="1:18" s="2" customFormat="1" ht="14.4">
      <c r="A1690" s="20">
        <f t="shared" si="99"/>
        <v>1584</v>
      </c>
      <c r="B1690" s="17" t="s">
        <v>2467</v>
      </c>
      <c r="C1690" s="17" t="s">
        <v>2468</v>
      </c>
      <c r="D1690" s="20" t="s">
        <v>5</v>
      </c>
      <c r="E1690" s="20" t="s">
        <v>6</v>
      </c>
      <c r="F1690" s="18">
        <v>1</v>
      </c>
      <c r="G1690" s="19">
        <v>1425.35</v>
      </c>
      <c r="H1690" s="32">
        <v>2</v>
      </c>
      <c r="I1690" s="25">
        <f t="shared" si="98"/>
        <v>2850.7</v>
      </c>
      <c r="J1690" s="40"/>
      <c r="K1690" s="39"/>
      <c r="L1690" s="39"/>
      <c r="M1690" s="39"/>
      <c r="N1690" s="23"/>
      <c r="O1690" s="39"/>
      <c r="P1690" s="39"/>
      <c r="Q1690" s="39"/>
      <c r="R1690" s="39"/>
    </row>
    <row r="1691" spans="1:18" s="2" customFormat="1" ht="26.4">
      <c r="A1691" s="20">
        <f t="shared" si="99"/>
        <v>1585</v>
      </c>
      <c r="B1691" s="17" t="s">
        <v>2236</v>
      </c>
      <c r="C1691" s="17" t="s">
        <v>2237</v>
      </c>
      <c r="D1691" s="20" t="s">
        <v>5</v>
      </c>
      <c r="E1691" s="20" t="s">
        <v>6</v>
      </c>
      <c r="F1691" s="18">
        <v>1</v>
      </c>
      <c r="G1691" s="19">
        <f>1.633198857*1236.36</f>
        <v>2019.2217388405199</v>
      </c>
      <c r="H1691" s="32">
        <v>2</v>
      </c>
      <c r="I1691" s="25">
        <f t="shared" si="98"/>
        <v>4038.4434776810399</v>
      </c>
      <c r="J1691" s="40"/>
      <c r="K1691" s="39"/>
      <c r="L1691" s="39"/>
      <c r="M1691" s="39"/>
      <c r="N1691" s="23"/>
      <c r="O1691" s="39"/>
      <c r="P1691" s="39"/>
      <c r="Q1691" s="39"/>
      <c r="R1691" s="39"/>
    </row>
    <row r="1692" spans="1:18" s="2" customFormat="1" ht="14.4">
      <c r="A1692" s="20">
        <f t="shared" si="99"/>
        <v>1586</v>
      </c>
      <c r="B1692" s="17" t="s">
        <v>2469</v>
      </c>
      <c r="C1692" s="17" t="s">
        <v>2470</v>
      </c>
      <c r="D1692" s="20" t="s">
        <v>5</v>
      </c>
      <c r="E1692" s="20" t="s">
        <v>6</v>
      </c>
      <c r="F1692" s="18">
        <v>1</v>
      </c>
      <c r="G1692" s="19">
        <v>3872.27</v>
      </c>
      <c r="H1692" s="32">
        <v>1</v>
      </c>
      <c r="I1692" s="25">
        <f t="shared" si="98"/>
        <v>3872.27</v>
      </c>
      <c r="J1692" s="40"/>
      <c r="K1692" s="39"/>
      <c r="L1692" s="39"/>
      <c r="M1692" s="39"/>
      <c r="N1692" s="23"/>
      <c r="O1692" s="39"/>
      <c r="P1692" s="39"/>
      <c r="Q1692" s="39"/>
      <c r="R1692" s="39"/>
    </row>
    <row r="1693" spans="1:18" s="2" customFormat="1" ht="14.4">
      <c r="A1693" s="20">
        <f t="shared" si="99"/>
        <v>1587</v>
      </c>
      <c r="B1693" s="17" t="s">
        <v>2471</v>
      </c>
      <c r="C1693" s="17" t="s">
        <v>2472</v>
      </c>
      <c r="D1693" s="20" t="s">
        <v>5</v>
      </c>
      <c r="E1693" s="20" t="s">
        <v>6</v>
      </c>
      <c r="F1693" s="18">
        <v>1</v>
      </c>
      <c r="G1693" s="19">
        <v>509.07</v>
      </c>
      <c r="H1693" s="32">
        <v>5</v>
      </c>
      <c r="I1693" s="25">
        <f t="shared" si="98"/>
        <v>2545.35</v>
      </c>
      <c r="J1693" s="40"/>
      <c r="K1693" s="39"/>
      <c r="L1693" s="39"/>
      <c r="M1693" s="39"/>
      <c r="N1693" s="23"/>
      <c r="O1693" s="39"/>
      <c r="P1693" s="39"/>
      <c r="Q1693" s="39"/>
      <c r="R1693" s="39"/>
    </row>
    <row r="1694" spans="1:18" s="2" customFormat="1" ht="14.4">
      <c r="A1694" s="20">
        <f t="shared" si="99"/>
        <v>1588</v>
      </c>
      <c r="B1694" s="17" t="s">
        <v>2473</v>
      </c>
      <c r="C1694" s="17" t="s">
        <v>2474</v>
      </c>
      <c r="D1694" s="20" t="s">
        <v>5</v>
      </c>
      <c r="E1694" s="20" t="s">
        <v>6</v>
      </c>
      <c r="F1694" s="18">
        <v>1</v>
      </c>
      <c r="G1694" s="19">
        <v>161.51</v>
      </c>
      <c r="H1694" s="32">
        <v>5</v>
      </c>
      <c r="I1694" s="25">
        <f t="shared" si="98"/>
        <v>807.55</v>
      </c>
      <c r="J1694" s="40"/>
      <c r="K1694" s="39"/>
      <c r="L1694" s="39"/>
      <c r="M1694" s="39"/>
      <c r="N1694" s="23"/>
      <c r="O1694" s="39"/>
      <c r="P1694" s="39"/>
      <c r="Q1694" s="39"/>
      <c r="R1694" s="39"/>
    </row>
    <row r="1695" spans="1:18" s="2" customFormat="1" ht="26.4">
      <c r="A1695" s="20">
        <f t="shared" si="99"/>
        <v>1589</v>
      </c>
      <c r="B1695" s="17" t="s">
        <v>1418</v>
      </c>
      <c r="C1695" s="17" t="s">
        <v>1419</v>
      </c>
      <c r="D1695" s="9" t="s">
        <v>25</v>
      </c>
      <c r="E1695" s="20" t="s">
        <v>26</v>
      </c>
      <c r="F1695" s="18">
        <v>1</v>
      </c>
      <c r="G1695" s="19">
        <f>1.633198857*25.49</f>
        <v>41.63023886493</v>
      </c>
      <c r="H1695" s="32">
        <f>H1696+H1697+H1698</f>
        <v>1670</v>
      </c>
      <c r="I1695" s="25">
        <f t="shared" si="98"/>
        <v>69522.498904433101</v>
      </c>
      <c r="J1695" s="40"/>
      <c r="K1695" s="39"/>
      <c r="L1695" s="39"/>
      <c r="M1695" s="39"/>
      <c r="N1695" s="23"/>
      <c r="O1695" s="39"/>
      <c r="P1695" s="39"/>
      <c r="Q1695" s="39"/>
      <c r="R1695" s="39"/>
    </row>
    <row r="1696" spans="1:18" s="2" customFormat="1" ht="14.4">
      <c r="A1696" s="20">
        <f t="shared" si="99"/>
        <v>1590</v>
      </c>
      <c r="B1696" s="17" t="s">
        <v>2475</v>
      </c>
      <c r="C1696" s="17" t="s">
        <v>2476</v>
      </c>
      <c r="D1696" s="9" t="s">
        <v>25</v>
      </c>
      <c r="E1696" s="20" t="s">
        <v>26</v>
      </c>
      <c r="F1696" s="18">
        <v>1</v>
      </c>
      <c r="G1696" s="19">
        <f>12.28</f>
        <v>12.28</v>
      </c>
      <c r="H1696" s="32">
        <v>1500</v>
      </c>
      <c r="I1696" s="25">
        <f t="shared" si="98"/>
        <v>18420</v>
      </c>
      <c r="J1696" s="40"/>
      <c r="K1696" s="39"/>
      <c r="L1696" s="39"/>
      <c r="M1696" s="39"/>
      <c r="N1696" s="23"/>
      <c r="O1696" s="39"/>
      <c r="P1696" s="39"/>
      <c r="Q1696" s="39"/>
      <c r="R1696" s="39"/>
    </row>
    <row r="1697" spans="1:18" s="2" customFormat="1" ht="26.4">
      <c r="A1697" s="20">
        <f t="shared" si="99"/>
        <v>1591</v>
      </c>
      <c r="B1697" s="17" t="s">
        <v>2477</v>
      </c>
      <c r="C1697" s="17" t="s">
        <v>2478</v>
      </c>
      <c r="D1697" s="9" t="s">
        <v>25</v>
      </c>
      <c r="E1697" s="20" t="s">
        <v>26</v>
      </c>
      <c r="F1697" s="18">
        <v>1</v>
      </c>
      <c r="G1697" s="19">
        <v>16.16</v>
      </c>
      <c r="H1697" s="32">
        <v>150</v>
      </c>
      <c r="I1697" s="25">
        <f t="shared" si="98"/>
        <v>2424</v>
      </c>
      <c r="J1697" s="40"/>
      <c r="K1697" s="39"/>
      <c r="L1697" s="39"/>
      <c r="M1697" s="39"/>
      <c r="N1697" s="23"/>
      <c r="O1697" s="39"/>
      <c r="P1697" s="39"/>
      <c r="Q1697" s="39"/>
      <c r="R1697" s="39"/>
    </row>
    <row r="1698" spans="1:18" s="2" customFormat="1" ht="14.4">
      <c r="A1698" s="20">
        <f t="shared" si="99"/>
        <v>1592</v>
      </c>
      <c r="B1698" s="17" t="s">
        <v>2479</v>
      </c>
      <c r="C1698" s="17" t="s">
        <v>2480</v>
      </c>
      <c r="D1698" s="9" t="s">
        <v>25</v>
      </c>
      <c r="E1698" s="20" t="s">
        <v>26</v>
      </c>
      <c r="F1698" s="18">
        <v>1</v>
      </c>
      <c r="G1698" s="19">
        <v>19.55</v>
      </c>
      <c r="H1698" s="32">
        <v>20</v>
      </c>
      <c r="I1698" s="25">
        <f t="shared" si="98"/>
        <v>391</v>
      </c>
      <c r="J1698" s="40"/>
      <c r="K1698" s="39"/>
      <c r="L1698" s="39"/>
      <c r="M1698" s="39"/>
      <c r="N1698" s="23"/>
      <c r="O1698" s="39"/>
      <c r="P1698" s="39"/>
      <c r="Q1698" s="39"/>
      <c r="R1698" s="39"/>
    </row>
    <row r="1699" spans="1:18" s="2" customFormat="1" ht="26.4">
      <c r="A1699" s="20">
        <f t="shared" si="99"/>
        <v>1593</v>
      </c>
      <c r="B1699" s="17" t="s">
        <v>2481</v>
      </c>
      <c r="C1699" s="17" t="s">
        <v>2482</v>
      </c>
      <c r="D1699" s="9" t="s">
        <v>25</v>
      </c>
      <c r="E1699" s="20" t="s">
        <v>26</v>
      </c>
      <c r="F1699" s="18">
        <v>1</v>
      </c>
      <c r="G1699" s="19">
        <v>40.31</v>
      </c>
      <c r="H1699" s="32">
        <v>400</v>
      </c>
      <c r="I1699" s="25">
        <f t="shared" si="98"/>
        <v>16124</v>
      </c>
      <c r="J1699" s="40"/>
      <c r="K1699" s="39"/>
      <c r="L1699" s="39"/>
      <c r="M1699" s="39"/>
      <c r="N1699" s="23"/>
      <c r="O1699" s="39"/>
      <c r="P1699" s="39"/>
      <c r="Q1699" s="39"/>
      <c r="R1699" s="39"/>
    </row>
    <row r="1700" spans="1:18" s="2" customFormat="1" ht="14.4">
      <c r="A1700" s="20">
        <f t="shared" si="99"/>
        <v>1594</v>
      </c>
      <c r="B1700" s="17" t="s">
        <v>2248</v>
      </c>
      <c r="C1700" s="17" t="s">
        <v>2483</v>
      </c>
      <c r="D1700" s="20" t="s">
        <v>25</v>
      </c>
      <c r="E1700" s="20" t="s">
        <v>26</v>
      </c>
      <c r="F1700" s="18">
        <v>1</v>
      </c>
      <c r="G1700" s="19">
        <v>8.5</v>
      </c>
      <c r="H1700" s="32">
        <v>400</v>
      </c>
      <c r="I1700" s="25">
        <f t="shared" si="98"/>
        <v>3400</v>
      </c>
      <c r="J1700" s="40"/>
      <c r="K1700" s="39"/>
      <c r="L1700" s="39"/>
      <c r="M1700" s="39"/>
      <c r="N1700" s="23"/>
      <c r="O1700" s="39"/>
      <c r="P1700" s="39"/>
      <c r="Q1700" s="39"/>
      <c r="R1700" s="39"/>
    </row>
    <row r="1701" spans="1:18" s="2" customFormat="1" ht="14.4">
      <c r="A1701" s="20">
        <f t="shared" si="99"/>
        <v>1595</v>
      </c>
      <c r="B1701" s="17" t="s">
        <v>2484</v>
      </c>
      <c r="C1701" s="17" t="s">
        <v>2485</v>
      </c>
      <c r="D1701" s="20" t="s">
        <v>2486</v>
      </c>
      <c r="E1701" s="20" t="s">
        <v>2487</v>
      </c>
      <c r="F1701" s="18">
        <v>1</v>
      </c>
      <c r="G1701" s="19">
        <f>1.633198857*538.46</f>
        <v>879.41225654022003</v>
      </c>
      <c r="H1701" s="32">
        <v>10</v>
      </c>
      <c r="I1701" s="25">
        <f t="shared" si="98"/>
        <v>8794.1225654022001</v>
      </c>
      <c r="J1701" s="40"/>
      <c r="K1701" s="39"/>
      <c r="L1701" s="39"/>
      <c r="M1701" s="39"/>
      <c r="N1701" s="23"/>
      <c r="O1701" s="39"/>
      <c r="P1701" s="39"/>
      <c r="Q1701" s="39"/>
      <c r="R1701" s="39"/>
    </row>
    <row r="1702" spans="1:18" s="2" customFormat="1" ht="26.4">
      <c r="A1702" s="20">
        <f t="shared" si="99"/>
        <v>1596</v>
      </c>
      <c r="B1702" s="17" t="s">
        <v>2488</v>
      </c>
      <c r="C1702" s="17" t="s">
        <v>2489</v>
      </c>
      <c r="D1702" s="20" t="s">
        <v>2490</v>
      </c>
      <c r="E1702" s="20" t="s">
        <v>2491</v>
      </c>
      <c r="F1702" s="18">
        <v>1</v>
      </c>
      <c r="G1702" s="19">
        <f>1.633198857*95.14</f>
        <v>155.38253925498</v>
      </c>
      <c r="H1702" s="32">
        <v>10</v>
      </c>
      <c r="I1702" s="25">
        <f t="shared" si="98"/>
        <v>1553.8253925498</v>
      </c>
      <c r="J1702" s="40"/>
      <c r="K1702" s="39"/>
      <c r="L1702" s="39"/>
      <c r="M1702" s="39"/>
      <c r="N1702" s="23"/>
      <c r="O1702" s="39"/>
      <c r="P1702" s="39"/>
      <c r="Q1702" s="39"/>
      <c r="R1702" s="39"/>
    </row>
    <row r="1703" spans="1:18" s="2" customFormat="1" ht="26.4">
      <c r="A1703" s="20">
        <f t="shared" si="99"/>
        <v>1597</v>
      </c>
      <c r="B1703" s="17" t="s">
        <v>2492</v>
      </c>
      <c r="C1703" s="17" t="s">
        <v>2493</v>
      </c>
      <c r="D1703" s="20" t="s">
        <v>2490</v>
      </c>
      <c r="E1703" s="20" t="s">
        <v>2491</v>
      </c>
      <c r="F1703" s="18">
        <v>1</v>
      </c>
      <c r="G1703" s="19">
        <f>1.633198857*6.34</f>
        <v>10.354480753379999</v>
      </c>
      <c r="H1703" s="32">
        <v>10</v>
      </c>
      <c r="I1703" s="25">
        <f t="shared" si="98"/>
        <v>103.5448075338</v>
      </c>
      <c r="J1703" s="40"/>
      <c r="K1703" s="39"/>
      <c r="L1703" s="39"/>
      <c r="M1703" s="39"/>
      <c r="N1703" s="23"/>
      <c r="O1703" s="39"/>
      <c r="P1703" s="39"/>
      <c r="Q1703" s="39"/>
      <c r="R1703" s="39"/>
    </row>
    <row r="1704" spans="1:18" s="2" customFormat="1" ht="14.4">
      <c r="A1704" s="20">
        <f t="shared" si="99"/>
        <v>1598</v>
      </c>
      <c r="B1704" s="17" t="s">
        <v>1077</v>
      </c>
      <c r="C1704" s="17" t="s">
        <v>219</v>
      </c>
      <c r="D1704" s="20" t="s">
        <v>48</v>
      </c>
      <c r="E1704" s="20" t="s">
        <v>49</v>
      </c>
      <c r="F1704" s="18">
        <v>1</v>
      </c>
      <c r="G1704" s="19"/>
      <c r="H1704" s="32">
        <v>1</v>
      </c>
      <c r="I1704" s="25">
        <f>SUM(I1679:I1703)*0.05</f>
        <v>14588.625297184271</v>
      </c>
      <c r="J1704" s="40"/>
      <c r="K1704" s="39"/>
      <c r="L1704" s="39"/>
      <c r="M1704" s="39"/>
      <c r="N1704" s="23"/>
      <c r="O1704" s="39"/>
      <c r="P1704" s="39"/>
      <c r="Q1704" s="39"/>
      <c r="R1704" s="39"/>
    </row>
    <row r="1705" spans="1:18" ht="14.4">
      <c r="A1705" s="9" t="s">
        <v>61</v>
      </c>
      <c r="B1705" s="13" t="s">
        <v>2494</v>
      </c>
      <c r="C1705" s="13" t="s">
        <v>2495</v>
      </c>
      <c r="D1705" s="14"/>
      <c r="E1705" s="14"/>
      <c r="F1705" s="18"/>
      <c r="G1705" s="19"/>
      <c r="H1705" s="15"/>
      <c r="I1705" s="25"/>
      <c r="J1705" s="24"/>
      <c r="K1705" s="22"/>
      <c r="L1705" s="22"/>
      <c r="M1705" s="22"/>
      <c r="N1705" s="23"/>
      <c r="O1705" s="22"/>
      <c r="P1705" s="22"/>
      <c r="Q1705" s="22"/>
      <c r="R1705" s="22"/>
    </row>
    <row r="1706" spans="1:18" s="2" customFormat="1" ht="26.4">
      <c r="A1706" s="20">
        <f>A1704+1</f>
        <v>1599</v>
      </c>
      <c r="B1706" s="17" t="s">
        <v>2496</v>
      </c>
      <c r="C1706" s="17" t="s">
        <v>2497</v>
      </c>
      <c r="D1706" s="20" t="s">
        <v>5</v>
      </c>
      <c r="E1706" s="20" t="s">
        <v>6</v>
      </c>
      <c r="F1706" s="18">
        <v>1</v>
      </c>
      <c r="G1706" s="19">
        <f>1.633198857*9308.56</f>
        <v>15202.729552315919</v>
      </c>
      <c r="H1706" s="32">
        <v>1</v>
      </c>
      <c r="I1706" s="25">
        <f t="shared" si="98"/>
        <v>15202.729552315919</v>
      </c>
      <c r="J1706" s="40"/>
      <c r="K1706" s="39"/>
      <c r="L1706" s="39"/>
      <c r="M1706" s="39"/>
      <c r="N1706" s="23"/>
      <c r="O1706" s="39"/>
      <c r="P1706" s="39"/>
      <c r="Q1706" s="39"/>
      <c r="R1706" s="39"/>
    </row>
    <row r="1707" spans="1:18" s="2" customFormat="1" ht="14.4">
      <c r="A1707" s="20">
        <f>A1706+1</f>
        <v>1600</v>
      </c>
      <c r="B1707" s="17" t="s">
        <v>2498</v>
      </c>
      <c r="C1707" s="17" t="s">
        <v>2499</v>
      </c>
      <c r="D1707" s="20" t="s">
        <v>5</v>
      </c>
      <c r="E1707" s="20" t="s">
        <v>6</v>
      </c>
      <c r="F1707" s="18">
        <v>1</v>
      </c>
      <c r="G1707" s="19">
        <f>1.633198857*2415.92</f>
        <v>3945.6777826034399</v>
      </c>
      <c r="H1707" s="32">
        <v>30</v>
      </c>
      <c r="I1707" s="25">
        <f t="shared" si="98"/>
        <v>118370.3334781032</v>
      </c>
      <c r="J1707" s="40"/>
      <c r="K1707" s="39"/>
      <c r="L1707" s="39"/>
      <c r="M1707" s="39"/>
      <c r="N1707" s="23"/>
      <c r="O1707" s="39"/>
      <c r="P1707" s="39"/>
      <c r="Q1707" s="39"/>
      <c r="R1707" s="39"/>
    </row>
    <row r="1708" spans="1:18" s="2" customFormat="1" ht="14.4">
      <c r="A1708" s="20">
        <f t="shared" ref="A1708:A1716" si="100">A1707+1</f>
        <v>1601</v>
      </c>
      <c r="B1708" s="17" t="s">
        <v>2500</v>
      </c>
      <c r="C1708" s="17" t="s">
        <v>2501</v>
      </c>
      <c r="D1708" s="20" t="s">
        <v>5</v>
      </c>
      <c r="E1708" s="20" t="s">
        <v>6</v>
      </c>
      <c r="F1708" s="18">
        <v>1</v>
      </c>
      <c r="G1708" s="19">
        <f>1.633198857*2415.92</f>
        <v>3945.6777826034399</v>
      </c>
      <c r="H1708" s="32">
        <v>2</v>
      </c>
      <c r="I1708" s="25">
        <f t="shared" si="98"/>
        <v>7891.3555652068799</v>
      </c>
      <c r="J1708" s="40"/>
      <c r="K1708" s="39"/>
      <c r="L1708" s="39"/>
      <c r="M1708" s="39"/>
      <c r="N1708" s="23"/>
      <c r="O1708" s="39"/>
      <c r="P1708" s="39"/>
      <c r="Q1708" s="39"/>
      <c r="R1708" s="39"/>
    </row>
    <row r="1709" spans="1:18" s="2" customFormat="1" ht="26.4">
      <c r="A1709" s="20">
        <f t="shared" si="100"/>
        <v>1602</v>
      </c>
      <c r="B1709" s="17" t="s">
        <v>2502</v>
      </c>
      <c r="C1709" s="17" t="s">
        <v>2503</v>
      </c>
      <c r="D1709" s="20" t="s">
        <v>5</v>
      </c>
      <c r="E1709" s="20" t="s">
        <v>6</v>
      </c>
      <c r="F1709" s="18">
        <v>1</v>
      </c>
      <c r="G1709" s="19">
        <f>1.633198857*9308.56</f>
        <v>15202.729552315919</v>
      </c>
      <c r="H1709" s="32">
        <v>5</v>
      </c>
      <c r="I1709" s="25">
        <f t="shared" si="98"/>
        <v>76013.647761579603</v>
      </c>
      <c r="J1709" s="40"/>
      <c r="K1709" s="39"/>
      <c r="L1709" s="39"/>
      <c r="M1709" s="39"/>
      <c r="N1709" s="23"/>
      <c r="O1709" s="39"/>
      <c r="P1709" s="39"/>
      <c r="Q1709" s="39"/>
      <c r="R1709" s="39"/>
    </row>
    <row r="1710" spans="1:18" s="2" customFormat="1" ht="26.4">
      <c r="A1710" s="20">
        <f t="shared" si="100"/>
        <v>1603</v>
      </c>
      <c r="B1710" s="17" t="s">
        <v>2236</v>
      </c>
      <c r="C1710" s="17" t="s">
        <v>2237</v>
      </c>
      <c r="D1710" s="20" t="s">
        <v>5</v>
      </c>
      <c r="E1710" s="20" t="s">
        <v>6</v>
      </c>
      <c r="F1710" s="18">
        <v>1</v>
      </c>
      <c r="G1710" s="19">
        <f>1236.36</f>
        <v>1236.3599999999999</v>
      </c>
      <c r="H1710" s="32">
        <v>1</v>
      </c>
      <c r="I1710" s="25">
        <f t="shared" si="98"/>
        <v>1236.3599999999999</v>
      </c>
      <c r="J1710" s="40"/>
      <c r="K1710" s="39"/>
      <c r="L1710" s="39"/>
      <c r="M1710" s="39"/>
      <c r="N1710" s="23"/>
      <c r="O1710" s="39"/>
      <c r="P1710" s="39"/>
      <c r="Q1710" s="39"/>
      <c r="R1710" s="39"/>
    </row>
    <row r="1711" spans="1:18" s="2" customFormat="1" ht="14.4">
      <c r="A1711" s="20">
        <f t="shared" si="100"/>
        <v>1604</v>
      </c>
      <c r="B1711" s="17" t="s">
        <v>2504</v>
      </c>
      <c r="C1711" s="17" t="s">
        <v>2505</v>
      </c>
      <c r="D1711" s="20" t="s">
        <v>5</v>
      </c>
      <c r="E1711" s="20" t="s">
        <v>6</v>
      </c>
      <c r="F1711" s="18">
        <v>1</v>
      </c>
      <c r="G1711" s="19">
        <f>5912.27</f>
        <v>5912.27</v>
      </c>
      <c r="H1711" s="32">
        <v>1</v>
      </c>
      <c r="I1711" s="25">
        <f t="shared" si="98"/>
        <v>5912.27</v>
      </c>
      <c r="J1711" s="40"/>
      <c r="K1711" s="39"/>
      <c r="L1711" s="39"/>
      <c r="M1711" s="39"/>
      <c r="N1711" s="23"/>
      <c r="O1711" s="39"/>
      <c r="P1711" s="39"/>
      <c r="Q1711" s="39"/>
      <c r="R1711" s="39"/>
    </row>
    <row r="1712" spans="1:18" s="2" customFormat="1" ht="26.4">
      <c r="A1712" s="20">
        <f t="shared" si="100"/>
        <v>1605</v>
      </c>
      <c r="B1712" s="17" t="s">
        <v>1418</v>
      </c>
      <c r="C1712" s="17" t="s">
        <v>1419</v>
      </c>
      <c r="D1712" s="9" t="s">
        <v>25</v>
      </c>
      <c r="E1712" s="20" t="s">
        <v>26</v>
      </c>
      <c r="F1712" s="18">
        <v>1</v>
      </c>
      <c r="G1712" s="19">
        <f>29.47</f>
        <v>29.47</v>
      </c>
      <c r="H1712" s="32">
        <f>H1713</f>
        <v>1400</v>
      </c>
      <c r="I1712" s="25">
        <f t="shared" si="98"/>
        <v>41258</v>
      </c>
      <c r="J1712" s="40"/>
      <c r="K1712" s="39"/>
      <c r="L1712" s="39"/>
      <c r="M1712" s="39"/>
      <c r="N1712" s="23"/>
      <c r="O1712" s="39"/>
      <c r="P1712" s="39"/>
      <c r="Q1712" s="39"/>
      <c r="R1712" s="39"/>
    </row>
    <row r="1713" spans="1:18" s="2" customFormat="1" ht="14.4">
      <c r="A1713" s="20">
        <f t="shared" si="100"/>
        <v>1606</v>
      </c>
      <c r="B1713" s="17" t="s">
        <v>2506</v>
      </c>
      <c r="C1713" s="17" t="s">
        <v>2507</v>
      </c>
      <c r="D1713" s="9" t="s">
        <v>25</v>
      </c>
      <c r="E1713" s="20" t="s">
        <v>26</v>
      </c>
      <c r="F1713" s="18">
        <v>1</v>
      </c>
      <c r="G1713" s="19">
        <f>22.28</f>
        <v>22.28</v>
      </c>
      <c r="H1713" s="32">
        <v>1400</v>
      </c>
      <c r="I1713" s="25">
        <f t="shared" si="98"/>
        <v>31192</v>
      </c>
      <c r="J1713" s="40"/>
      <c r="K1713" s="39"/>
      <c r="L1713" s="39"/>
      <c r="M1713" s="39"/>
      <c r="N1713" s="23"/>
      <c r="O1713" s="39"/>
      <c r="P1713" s="39"/>
      <c r="Q1713" s="39"/>
      <c r="R1713" s="39"/>
    </row>
    <row r="1714" spans="1:18" s="2" customFormat="1" ht="14.4">
      <c r="A1714" s="20">
        <f t="shared" si="100"/>
        <v>1607</v>
      </c>
      <c r="B1714" s="17" t="s">
        <v>2473</v>
      </c>
      <c r="C1714" s="17" t="s">
        <v>2508</v>
      </c>
      <c r="D1714" s="20" t="s">
        <v>5</v>
      </c>
      <c r="E1714" s="20" t="s">
        <v>6</v>
      </c>
      <c r="F1714" s="18">
        <v>1</v>
      </c>
      <c r="G1714" s="19">
        <v>48.1</v>
      </c>
      <c r="H1714" s="32">
        <v>32</v>
      </c>
      <c r="I1714" s="25">
        <f t="shared" si="98"/>
        <v>1539.2</v>
      </c>
      <c r="J1714" s="40"/>
      <c r="K1714" s="39"/>
      <c r="L1714" s="39"/>
      <c r="M1714" s="39"/>
      <c r="N1714" s="23"/>
      <c r="O1714" s="39"/>
      <c r="P1714" s="39"/>
      <c r="Q1714" s="39"/>
      <c r="R1714" s="39"/>
    </row>
    <row r="1715" spans="1:18" s="2" customFormat="1" ht="14.4">
      <c r="A1715" s="20">
        <f t="shared" si="100"/>
        <v>1608</v>
      </c>
      <c r="B1715" s="17" t="s">
        <v>2509</v>
      </c>
      <c r="C1715" s="17" t="s">
        <v>2510</v>
      </c>
      <c r="D1715" s="20" t="s">
        <v>5</v>
      </c>
      <c r="E1715" s="20" t="s">
        <v>6</v>
      </c>
      <c r="F1715" s="18">
        <v>1</v>
      </c>
      <c r="G1715" s="19">
        <v>60.25</v>
      </c>
      <c r="H1715" s="32">
        <v>1</v>
      </c>
      <c r="I1715" s="25">
        <f t="shared" si="98"/>
        <v>60.25</v>
      </c>
      <c r="J1715" s="40"/>
      <c r="K1715" s="39"/>
      <c r="L1715" s="39"/>
      <c r="M1715" s="39"/>
      <c r="N1715" s="23"/>
      <c r="O1715" s="39"/>
      <c r="P1715" s="39"/>
      <c r="Q1715" s="39"/>
      <c r="R1715" s="39"/>
    </row>
    <row r="1716" spans="1:18" s="2" customFormat="1" ht="14.4">
      <c r="A1716" s="20">
        <f t="shared" si="100"/>
        <v>1609</v>
      </c>
      <c r="B1716" s="17" t="s">
        <v>1077</v>
      </c>
      <c r="C1716" s="17" t="s">
        <v>219</v>
      </c>
      <c r="D1716" s="20" t="s">
        <v>48</v>
      </c>
      <c r="E1716" s="20" t="s">
        <v>49</v>
      </c>
      <c r="F1716" s="18">
        <v>1</v>
      </c>
      <c r="G1716" s="19"/>
      <c r="H1716" s="32">
        <v>1</v>
      </c>
      <c r="I1716" s="25">
        <f>SUM(I1706:I1715)*0.05</f>
        <v>14933.807317860279</v>
      </c>
      <c r="J1716" s="40"/>
      <c r="K1716" s="39"/>
      <c r="L1716" s="39"/>
      <c r="M1716" s="39"/>
      <c r="N1716" s="23"/>
      <c r="O1716" s="39"/>
      <c r="P1716" s="39"/>
      <c r="Q1716" s="39"/>
      <c r="R1716" s="39"/>
    </row>
    <row r="1717" spans="1:18" ht="39.6">
      <c r="A1717" s="9" t="s">
        <v>61</v>
      </c>
      <c r="B1717" s="13" t="s">
        <v>2511</v>
      </c>
      <c r="C1717" s="13" t="s">
        <v>2512</v>
      </c>
      <c r="D1717" s="14"/>
      <c r="E1717" s="14"/>
      <c r="F1717" s="18"/>
      <c r="G1717" s="19"/>
      <c r="H1717" s="15"/>
      <c r="I1717" s="25"/>
      <c r="J1717" s="24"/>
      <c r="K1717" s="22"/>
      <c r="L1717" s="22"/>
      <c r="M1717" s="22"/>
      <c r="N1717" s="23"/>
      <c r="O1717" s="22"/>
      <c r="P1717" s="22"/>
      <c r="Q1717" s="22"/>
      <c r="R1717" s="22"/>
    </row>
    <row r="1718" spans="1:18" s="2" customFormat="1" ht="14.4">
      <c r="A1718" s="20">
        <f>A1716+1</f>
        <v>1610</v>
      </c>
      <c r="B1718" s="17" t="s">
        <v>2513</v>
      </c>
      <c r="C1718" s="17" t="s">
        <v>2514</v>
      </c>
      <c r="D1718" s="20" t="s">
        <v>5</v>
      </c>
      <c r="E1718" s="20" t="s">
        <v>6</v>
      </c>
      <c r="F1718" s="18">
        <v>1</v>
      </c>
      <c r="G1718" s="19">
        <v>10130.49</v>
      </c>
      <c r="H1718" s="32">
        <v>1</v>
      </c>
      <c r="I1718" s="25">
        <f t="shared" si="98"/>
        <v>10130.49</v>
      </c>
      <c r="J1718" s="40"/>
      <c r="K1718" s="39"/>
      <c r="L1718" s="39"/>
      <c r="M1718" s="39"/>
      <c r="N1718" s="23"/>
      <c r="O1718" s="39"/>
      <c r="P1718" s="39"/>
      <c r="Q1718" s="39"/>
      <c r="R1718" s="39"/>
    </row>
    <row r="1719" spans="1:18" s="2" customFormat="1" ht="26.4">
      <c r="A1719" s="20">
        <f>A1718+1</f>
        <v>1611</v>
      </c>
      <c r="B1719" s="17" t="s">
        <v>2515</v>
      </c>
      <c r="C1719" s="17" t="s">
        <v>2516</v>
      </c>
      <c r="D1719" s="20" t="s">
        <v>5</v>
      </c>
      <c r="E1719" s="20" t="s">
        <v>6</v>
      </c>
      <c r="F1719" s="18">
        <v>1</v>
      </c>
      <c r="G1719" s="19">
        <v>2920</v>
      </c>
      <c r="H1719" s="32">
        <v>1</v>
      </c>
      <c r="I1719" s="25">
        <f t="shared" si="98"/>
        <v>2920</v>
      </c>
      <c r="J1719" s="40"/>
      <c r="K1719" s="39"/>
      <c r="L1719" s="39"/>
      <c r="M1719" s="39"/>
      <c r="N1719" s="23"/>
      <c r="O1719" s="39"/>
      <c r="P1719" s="39"/>
      <c r="Q1719" s="39"/>
      <c r="R1719" s="39"/>
    </row>
    <row r="1720" spans="1:18" s="2" customFormat="1" ht="14.4">
      <c r="A1720" s="20">
        <f t="shared" ref="A1720:A1729" si="101">A1719+1</f>
        <v>1612</v>
      </c>
      <c r="B1720" s="17" t="s">
        <v>2517</v>
      </c>
      <c r="C1720" s="17" t="s">
        <v>2518</v>
      </c>
      <c r="D1720" s="20" t="s">
        <v>5</v>
      </c>
      <c r="E1720" s="20" t="s">
        <v>6</v>
      </c>
      <c r="F1720" s="18">
        <v>1</v>
      </c>
      <c r="G1720" s="19">
        <v>440</v>
      </c>
      <c r="H1720" s="32">
        <v>10</v>
      </c>
      <c r="I1720" s="25">
        <f t="shared" si="98"/>
        <v>4400</v>
      </c>
      <c r="J1720" s="40"/>
      <c r="K1720" s="39"/>
      <c r="L1720" s="39"/>
      <c r="M1720" s="39"/>
      <c r="N1720" s="23"/>
      <c r="O1720" s="39"/>
      <c r="P1720" s="39"/>
      <c r="Q1720" s="39"/>
      <c r="R1720" s="39"/>
    </row>
    <row r="1721" spans="1:18" s="2" customFormat="1" ht="26.4">
      <c r="A1721" s="20">
        <f t="shared" si="101"/>
        <v>1613</v>
      </c>
      <c r="B1721" s="17" t="s">
        <v>2519</v>
      </c>
      <c r="C1721" s="17" t="s">
        <v>2520</v>
      </c>
      <c r="D1721" s="20" t="s">
        <v>5</v>
      </c>
      <c r="E1721" s="20" t="s">
        <v>6</v>
      </c>
      <c r="F1721" s="18">
        <v>1</v>
      </c>
      <c r="G1721" s="19">
        <v>890</v>
      </c>
      <c r="H1721" s="32">
        <v>29</v>
      </c>
      <c r="I1721" s="25">
        <f t="shared" si="98"/>
        <v>25810</v>
      </c>
      <c r="J1721" s="40"/>
      <c r="K1721" s="39"/>
      <c r="L1721" s="39"/>
      <c r="M1721" s="39"/>
      <c r="N1721" s="23"/>
      <c r="O1721" s="39"/>
      <c r="P1721" s="39"/>
      <c r="Q1721" s="39"/>
      <c r="R1721" s="39"/>
    </row>
    <row r="1722" spans="1:18" s="2" customFormat="1" ht="26.4">
      <c r="A1722" s="20">
        <f t="shared" si="101"/>
        <v>1614</v>
      </c>
      <c r="B1722" s="17" t="s">
        <v>2521</v>
      </c>
      <c r="C1722" s="17" t="s">
        <v>2522</v>
      </c>
      <c r="D1722" s="20" t="s">
        <v>5</v>
      </c>
      <c r="E1722" s="20" t="s">
        <v>6</v>
      </c>
      <c r="F1722" s="18">
        <v>1</v>
      </c>
      <c r="G1722" s="19">
        <v>1407</v>
      </c>
      <c r="H1722" s="32">
        <v>2</v>
      </c>
      <c r="I1722" s="25">
        <f t="shared" si="98"/>
        <v>2814</v>
      </c>
      <c r="J1722" s="40"/>
      <c r="K1722" s="39"/>
      <c r="L1722" s="39"/>
      <c r="M1722" s="39"/>
      <c r="N1722" s="23"/>
      <c r="O1722" s="39"/>
      <c r="P1722" s="39"/>
      <c r="Q1722" s="39"/>
      <c r="R1722" s="39"/>
    </row>
    <row r="1723" spans="1:18" s="2" customFormat="1" ht="14.4">
      <c r="A1723" s="20">
        <f t="shared" si="101"/>
        <v>1615</v>
      </c>
      <c r="B1723" s="17" t="s">
        <v>2523</v>
      </c>
      <c r="C1723" s="17" t="s">
        <v>2524</v>
      </c>
      <c r="D1723" s="20" t="s">
        <v>5</v>
      </c>
      <c r="E1723" s="20" t="s">
        <v>6</v>
      </c>
      <c r="F1723" s="18">
        <v>1</v>
      </c>
      <c r="G1723" s="19">
        <v>3120</v>
      </c>
      <c r="H1723" s="32">
        <v>1</v>
      </c>
      <c r="I1723" s="25">
        <f t="shared" si="98"/>
        <v>3120</v>
      </c>
      <c r="J1723" s="40"/>
      <c r="K1723" s="39"/>
      <c r="L1723" s="39"/>
      <c r="M1723" s="39"/>
      <c r="N1723" s="23"/>
      <c r="O1723" s="39"/>
      <c r="P1723" s="39"/>
      <c r="Q1723" s="39"/>
      <c r="R1723" s="39"/>
    </row>
    <row r="1724" spans="1:18" s="2" customFormat="1" ht="14.4">
      <c r="A1724" s="20">
        <f t="shared" si="101"/>
        <v>1616</v>
      </c>
      <c r="B1724" s="17" t="s">
        <v>2525</v>
      </c>
      <c r="C1724" s="17" t="s">
        <v>2526</v>
      </c>
      <c r="D1724" s="20" t="s">
        <v>5</v>
      </c>
      <c r="E1724" s="20" t="s">
        <v>1858</v>
      </c>
      <c r="F1724" s="18">
        <v>1</v>
      </c>
      <c r="G1724" s="19">
        <v>19078</v>
      </c>
      <c r="H1724" s="32">
        <v>1</v>
      </c>
      <c r="I1724" s="25">
        <f t="shared" si="98"/>
        <v>19078</v>
      </c>
      <c r="J1724" s="40"/>
      <c r="K1724" s="39"/>
      <c r="L1724" s="39"/>
      <c r="M1724" s="39"/>
      <c r="N1724" s="23"/>
      <c r="O1724" s="39"/>
      <c r="P1724" s="39"/>
      <c r="Q1724" s="39"/>
      <c r="R1724" s="39"/>
    </row>
    <row r="1725" spans="1:18" s="2" customFormat="1" ht="26.4">
      <c r="A1725" s="20">
        <f t="shared" si="101"/>
        <v>1617</v>
      </c>
      <c r="B1725" s="17" t="s">
        <v>2527</v>
      </c>
      <c r="C1725" s="17" t="s">
        <v>2528</v>
      </c>
      <c r="D1725" s="20" t="s">
        <v>5</v>
      </c>
      <c r="E1725" s="20" t="s">
        <v>6</v>
      </c>
      <c r="F1725" s="18">
        <v>1</v>
      </c>
      <c r="G1725" s="19">
        <v>3395.3</v>
      </c>
      <c r="H1725" s="32">
        <v>15</v>
      </c>
      <c r="I1725" s="25">
        <f t="shared" si="98"/>
        <v>50929.5</v>
      </c>
      <c r="J1725" s="40"/>
      <c r="K1725" s="39"/>
      <c r="L1725" s="39"/>
      <c r="M1725" s="39"/>
      <c r="N1725" s="23"/>
      <c r="O1725" s="39"/>
      <c r="P1725" s="39"/>
      <c r="Q1725" s="39"/>
      <c r="R1725" s="39"/>
    </row>
    <row r="1726" spans="1:18" s="2" customFormat="1" ht="26.4">
      <c r="A1726" s="20">
        <f t="shared" si="101"/>
        <v>1618</v>
      </c>
      <c r="B1726" s="17" t="s">
        <v>2529</v>
      </c>
      <c r="C1726" s="17" t="s">
        <v>2530</v>
      </c>
      <c r="D1726" s="20" t="s">
        <v>5</v>
      </c>
      <c r="E1726" s="20" t="s">
        <v>6</v>
      </c>
      <c r="F1726" s="18">
        <v>1</v>
      </c>
      <c r="G1726" s="19">
        <v>3395.3</v>
      </c>
      <c r="H1726" s="32">
        <v>17</v>
      </c>
      <c r="I1726" s="25">
        <f t="shared" si="98"/>
        <v>57720.100000000006</v>
      </c>
      <c r="J1726" s="40"/>
      <c r="K1726" s="39"/>
      <c r="L1726" s="39"/>
      <c r="M1726" s="39"/>
      <c r="N1726" s="23"/>
      <c r="O1726" s="39"/>
      <c r="P1726" s="39"/>
      <c r="Q1726" s="39"/>
      <c r="R1726" s="39"/>
    </row>
    <row r="1727" spans="1:18" s="2" customFormat="1" ht="39.6">
      <c r="A1727" s="20">
        <f t="shared" si="101"/>
        <v>1619</v>
      </c>
      <c r="B1727" s="17" t="s">
        <v>2531</v>
      </c>
      <c r="C1727" s="17" t="s">
        <v>2532</v>
      </c>
      <c r="D1727" s="20" t="s">
        <v>5</v>
      </c>
      <c r="E1727" s="20" t="s">
        <v>6</v>
      </c>
      <c r="F1727" s="18">
        <v>1</v>
      </c>
      <c r="G1727" s="19">
        <v>8964</v>
      </c>
      <c r="H1727" s="32">
        <v>4</v>
      </c>
      <c r="I1727" s="25">
        <f t="shared" si="98"/>
        <v>35856</v>
      </c>
      <c r="J1727" s="40"/>
      <c r="K1727" s="39"/>
      <c r="L1727" s="39"/>
      <c r="M1727" s="39"/>
      <c r="N1727" s="23"/>
      <c r="O1727" s="39"/>
      <c r="P1727" s="39"/>
      <c r="Q1727" s="39"/>
      <c r="R1727" s="39"/>
    </row>
    <row r="1728" spans="1:18" s="2" customFormat="1" ht="14.4">
      <c r="A1728" s="20">
        <f t="shared" si="101"/>
        <v>1620</v>
      </c>
      <c r="B1728" s="17" t="s">
        <v>2533</v>
      </c>
      <c r="C1728" s="17" t="s">
        <v>2534</v>
      </c>
      <c r="D1728" s="20" t="s">
        <v>5</v>
      </c>
      <c r="E1728" s="20" t="s">
        <v>6</v>
      </c>
      <c r="F1728" s="18">
        <v>1</v>
      </c>
      <c r="G1728" s="19">
        <v>8395.33</v>
      </c>
      <c r="H1728" s="32">
        <v>2</v>
      </c>
      <c r="I1728" s="25">
        <f t="shared" si="98"/>
        <v>16790.66</v>
      </c>
      <c r="J1728" s="40"/>
      <c r="K1728" s="39"/>
      <c r="L1728" s="39"/>
      <c r="M1728" s="39"/>
      <c r="N1728" s="23"/>
      <c r="O1728" s="39"/>
      <c r="P1728" s="39"/>
      <c r="Q1728" s="39"/>
      <c r="R1728" s="39"/>
    </row>
    <row r="1729" spans="1:18" s="2" customFormat="1" ht="14.4">
      <c r="A1729" s="20">
        <f t="shared" si="101"/>
        <v>1621</v>
      </c>
      <c r="B1729" s="17" t="s">
        <v>2535</v>
      </c>
      <c r="C1729" s="17" t="s">
        <v>2536</v>
      </c>
      <c r="D1729" s="20" t="s">
        <v>5</v>
      </c>
      <c r="E1729" s="20" t="s">
        <v>6</v>
      </c>
      <c r="F1729" s="18">
        <v>1</v>
      </c>
      <c r="G1729" s="19">
        <v>38395.300000000003</v>
      </c>
      <c r="H1729" s="32">
        <v>5</v>
      </c>
      <c r="I1729" s="25">
        <f t="shared" si="98"/>
        <v>191976.5</v>
      </c>
      <c r="J1729" s="40"/>
      <c r="K1729" s="39"/>
      <c r="L1729" s="39"/>
      <c r="M1729" s="39"/>
      <c r="N1729" s="23"/>
      <c r="O1729" s="39"/>
      <c r="P1729" s="39"/>
      <c r="Q1729" s="39"/>
      <c r="R1729" s="39"/>
    </row>
    <row r="1730" spans="1:18" ht="39.6">
      <c r="A1730" s="9" t="s">
        <v>61</v>
      </c>
      <c r="B1730" s="13" t="s">
        <v>2537</v>
      </c>
      <c r="C1730" s="13" t="s">
        <v>2538</v>
      </c>
      <c r="D1730" s="14"/>
      <c r="E1730" s="14"/>
      <c r="F1730" s="18"/>
      <c r="G1730" s="19"/>
      <c r="H1730" s="15"/>
      <c r="I1730" s="25"/>
      <c r="J1730" s="24"/>
      <c r="K1730" s="22"/>
      <c r="L1730" s="22"/>
      <c r="M1730" s="22"/>
      <c r="N1730" s="23"/>
      <c r="O1730" s="22"/>
      <c r="P1730" s="22"/>
      <c r="Q1730" s="22"/>
      <c r="R1730" s="22"/>
    </row>
    <row r="1731" spans="1:18" ht="26.4">
      <c r="A1731" s="9" t="s">
        <v>61</v>
      </c>
      <c r="B1731" s="13" t="s">
        <v>2539</v>
      </c>
      <c r="C1731" s="13" t="s">
        <v>2540</v>
      </c>
      <c r="D1731" s="14"/>
      <c r="E1731" s="14"/>
      <c r="F1731" s="18"/>
      <c r="G1731" s="19"/>
      <c r="H1731" s="15"/>
      <c r="I1731" s="25"/>
      <c r="J1731" s="24"/>
      <c r="K1731" s="22"/>
      <c r="L1731" s="22"/>
      <c r="M1731" s="22"/>
      <c r="N1731" s="23"/>
      <c r="O1731" s="22"/>
      <c r="P1731" s="22"/>
      <c r="Q1731" s="22"/>
      <c r="R1731" s="22"/>
    </row>
    <row r="1732" spans="1:18" s="2" customFormat="1" ht="16.95" customHeight="1">
      <c r="A1732" s="20">
        <f>A1729+1</f>
        <v>1622</v>
      </c>
      <c r="B1732" s="79" t="s">
        <v>2541</v>
      </c>
      <c r="C1732" s="17" t="s">
        <v>2542</v>
      </c>
      <c r="D1732" s="20" t="s">
        <v>5</v>
      </c>
      <c r="E1732" s="20" t="s">
        <v>6</v>
      </c>
      <c r="F1732" s="18">
        <v>1</v>
      </c>
      <c r="G1732" s="19">
        <f>1.633198857*2714.71</f>
        <v>4433.6612690864704</v>
      </c>
      <c r="H1732" s="32">
        <v>3</v>
      </c>
      <c r="I1732" s="25">
        <f t="shared" si="98"/>
        <v>13300.98380725941</v>
      </c>
      <c r="J1732" s="40"/>
      <c r="K1732" s="39"/>
      <c r="L1732" s="39"/>
      <c r="M1732" s="39"/>
      <c r="N1732" s="23"/>
      <c r="O1732" s="39"/>
      <c r="P1732" s="39"/>
      <c r="Q1732" s="39"/>
      <c r="R1732" s="39"/>
    </row>
    <row r="1733" spans="1:18" s="2" customFormat="1" ht="14.4">
      <c r="A1733" s="20">
        <f>A1732+1</f>
        <v>1623</v>
      </c>
      <c r="B1733" s="17" t="s">
        <v>2543</v>
      </c>
      <c r="C1733" s="17" t="s">
        <v>2544</v>
      </c>
      <c r="D1733" s="20" t="s">
        <v>5</v>
      </c>
      <c r="E1733" s="20" t="s">
        <v>6</v>
      </c>
      <c r="F1733" s="18">
        <v>1</v>
      </c>
      <c r="G1733" s="19">
        <f>1.633198857*1930.28</f>
        <v>3152.53108968996</v>
      </c>
      <c r="H1733" s="32">
        <v>1</v>
      </c>
      <c r="I1733" s="25">
        <f t="shared" si="98"/>
        <v>3152.53108968996</v>
      </c>
      <c r="J1733" s="40"/>
      <c r="K1733" s="39"/>
      <c r="L1733" s="39"/>
      <c r="M1733" s="39"/>
      <c r="N1733" s="23"/>
      <c r="O1733" s="39"/>
      <c r="P1733" s="39"/>
      <c r="Q1733" s="39"/>
      <c r="R1733" s="39"/>
    </row>
    <row r="1734" spans="1:18" s="2" customFormat="1" ht="14.4">
      <c r="A1734" s="20">
        <f>A1733+1</f>
        <v>1624</v>
      </c>
      <c r="B1734" s="17" t="s">
        <v>2545</v>
      </c>
      <c r="C1734" s="17" t="s">
        <v>2546</v>
      </c>
      <c r="D1734" s="20" t="s">
        <v>5</v>
      </c>
      <c r="E1734" s="20" t="s">
        <v>6</v>
      </c>
      <c r="F1734" s="18">
        <v>1</v>
      </c>
      <c r="G1734" s="19">
        <v>2576.87</v>
      </c>
      <c r="H1734" s="32">
        <v>1</v>
      </c>
      <c r="I1734" s="25">
        <f t="shared" si="98"/>
        <v>2576.87</v>
      </c>
      <c r="J1734" s="40"/>
      <c r="K1734" s="39"/>
      <c r="L1734" s="39"/>
      <c r="M1734" s="39"/>
      <c r="N1734" s="23"/>
      <c r="O1734" s="39"/>
      <c r="P1734" s="39"/>
      <c r="Q1734" s="39"/>
      <c r="R1734" s="39"/>
    </row>
    <row r="1735" spans="1:18" s="2" customFormat="1" ht="14.4">
      <c r="A1735" s="20">
        <f t="shared" ref="A1735:A1743" si="102">A1732+1</f>
        <v>1623</v>
      </c>
      <c r="B1735" s="17" t="s">
        <v>2547</v>
      </c>
      <c r="C1735" s="17" t="s">
        <v>2548</v>
      </c>
      <c r="D1735" s="20" t="s">
        <v>5</v>
      </c>
      <c r="E1735" s="20" t="s">
        <v>6</v>
      </c>
      <c r="F1735" s="18">
        <v>1</v>
      </c>
      <c r="G1735" s="19">
        <v>353.27</v>
      </c>
      <c r="H1735" s="32">
        <v>25</v>
      </c>
      <c r="I1735" s="25">
        <f t="shared" si="98"/>
        <v>8831.75</v>
      </c>
      <c r="J1735" s="40"/>
      <c r="K1735" s="39"/>
      <c r="L1735" s="39"/>
      <c r="M1735" s="39"/>
      <c r="N1735" s="23"/>
      <c r="O1735" s="39"/>
      <c r="P1735" s="39"/>
      <c r="Q1735" s="39"/>
      <c r="R1735" s="39"/>
    </row>
    <row r="1736" spans="1:18" s="2" customFormat="1" ht="39.6">
      <c r="A1736" s="20">
        <f t="shared" si="102"/>
        <v>1624</v>
      </c>
      <c r="B1736" s="17" t="s">
        <v>2461</v>
      </c>
      <c r="C1736" s="17" t="s">
        <v>2462</v>
      </c>
      <c r="D1736" s="20" t="s">
        <v>5</v>
      </c>
      <c r="E1736" s="20" t="s">
        <v>6</v>
      </c>
      <c r="F1736" s="18">
        <v>1</v>
      </c>
      <c r="G1736" s="19">
        <f>1.633198857*192.91</f>
        <v>315.06039150386999</v>
      </c>
      <c r="H1736" s="32">
        <v>25</v>
      </c>
      <c r="I1736" s="25">
        <f t="shared" si="98"/>
        <v>7876.5097875967494</v>
      </c>
      <c r="J1736" s="40"/>
      <c r="K1736" s="39"/>
      <c r="L1736" s="39"/>
      <c r="M1736" s="39"/>
      <c r="N1736" s="23"/>
      <c r="O1736" s="39"/>
      <c r="P1736" s="39"/>
      <c r="Q1736" s="39"/>
      <c r="R1736" s="39"/>
    </row>
    <row r="1737" spans="1:18" s="2" customFormat="1" ht="26.4">
      <c r="A1737" s="20">
        <f t="shared" si="102"/>
        <v>1625</v>
      </c>
      <c r="B1737" s="17" t="s">
        <v>2549</v>
      </c>
      <c r="C1737" s="17" t="s">
        <v>2550</v>
      </c>
      <c r="D1737" s="20" t="s">
        <v>5</v>
      </c>
      <c r="E1737" s="20" t="s">
        <v>6</v>
      </c>
      <c r="F1737" s="18">
        <v>1</v>
      </c>
      <c r="G1737" s="19">
        <f>169.67</f>
        <v>169.67</v>
      </c>
      <c r="H1737" s="32">
        <v>25</v>
      </c>
      <c r="I1737" s="25">
        <f t="shared" si="98"/>
        <v>4241.75</v>
      </c>
      <c r="J1737" s="40"/>
      <c r="K1737" s="39"/>
      <c r="L1737" s="39"/>
      <c r="M1737" s="39"/>
      <c r="N1737" s="23"/>
      <c r="O1737" s="39"/>
      <c r="P1737" s="39"/>
      <c r="Q1737" s="39"/>
      <c r="R1737" s="39"/>
    </row>
    <row r="1738" spans="1:18" s="2" customFormat="1" ht="39.6">
      <c r="A1738" s="20">
        <f t="shared" si="102"/>
        <v>1624</v>
      </c>
      <c r="B1738" s="17" t="s">
        <v>2551</v>
      </c>
      <c r="C1738" s="17" t="s">
        <v>2552</v>
      </c>
      <c r="D1738" s="9" t="s">
        <v>25</v>
      </c>
      <c r="E1738" s="20" t="s">
        <v>26</v>
      </c>
      <c r="F1738" s="18">
        <v>1</v>
      </c>
      <c r="G1738" s="19">
        <f>1.633198857*65.6</f>
        <v>107.13784501919999</v>
      </c>
      <c r="H1738" s="32">
        <v>200</v>
      </c>
      <c r="I1738" s="25">
        <f t="shared" si="98"/>
        <v>21427.569003839999</v>
      </c>
      <c r="J1738" s="40"/>
      <c r="K1738" s="39"/>
      <c r="L1738" s="39"/>
      <c r="M1738" s="39"/>
      <c r="N1738" s="23"/>
      <c r="O1738" s="39"/>
      <c r="P1738" s="39"/>
      <c r="Q1738" s="39"/>
      <c r="R1738" s="39"/>
    </row>
    <row r="1739" spans="1:18" s="2" customFormat="1" ht="14.4">
      <c r="A1739" s="20">
        <f t="shared" si="102"/>
        <v>1625</v>
      </c>
      <c r="B1739" s="17" t="s">
        <v>2553</v>
      </c>
      <c r="C1739" s="17" t="s">
        <v>2554</v>
      </c>
      <c r="D1739" s="9" t="s">
        <v>25</v>
      </c>
      <c r="E1739" s="20" t="s">
        <v>26</v>
      </c>
      <c r="F1739" s="18">
        <v>1</v>
      </c>
      <c r="G1739" s="19">
        <f>28.29</f>
        <v>28.29</v>
      </c>
      <c r="H1739" s="32">
        <v>200</v>
      </c>
      <c r="I1739" s="25">
        <f t="shared" ref="I1739:I1802" si="103">G1739*H1739</f>
        <v>5658</v>
      </c>
      <c r="J1739" s="40"/>
      <c r="K1739" s="39"/>
      <c r="L1739" s="39"/>
      <c r="M1739" s="39"/>
      <c r="N1739" s="23"/>
      <c r="O1739" s="39"/>
      <c r="P1739" s="39"/>
      <c r="Q1739" s="39"/>
      <c r="R1739" s="39"/>
    </row>
    <row r="1740" spans="1:18" s="2" customFormat="1" ht="26.4">
      <c r="A1740" s="20">
        <f t="shared" si="102"/>
        <v>1626</v>
      </c>
      <c r="B1740" s="17" t="s">
        <v>1418</v>
      </c>
      <c r="C1740" s="17" t="s">
        <v>1419</v>
      </c>
      <c r="D1740" s="9" t="s">
        <v>25</v>
      </c>
      <c r="E1740" s="20" t="s">
        <v>26</v>
      </c>
      <c r="F1740" s="18">
        <v>1</v>
      </c>
      <c r="G1740" s="19">
        <f>1.633198857*25.83</f>
        <v>42.185526476309995</v>
      </c>
      <c r="H1740" s="32">
        <f>H1741+H1742</f>
        <v>350</v>
      </c>
      <c r="I1740" s="25">
        <f t="shared" si="103"/>
        <v>14764.934266708498</v>
      </c>
      <c r="J1740" s="40"/>
      <c r="K1740" s="39"/>
      <c r="L1740" s="39"/>
      <c r="M1740" s="39"/>
      <c r="N1740" s="23"/>
      <c r="O1740" s="39"/>
      <c r="P1740" s="39"/>
      <c r="Q1740" s="39"/>
      <c r="R1740" s="39"/>
    </row>
    <row r="1741" spans="1:18" s="2" customFormat="1" ht="14.4">
      <c r="A1741" s="20">
        <f t="shared" si="102"/>
        <v>1625</v>
      </c>
      <c r="B1741" s="17" t="s">
        <v>2555</v>
      </c>
      <c r="C1741" s="17" t="s">
        <v>2556</v>
      </c>
      <c r="D1741" s="9" t="s">
        <v>25</v>
      </c>
      <c r="E1741" s="20" t="s">
        <v>26</v>
      </c>
      <c r="F1741" s="18">
        <v>1</v>
      </c>
      <c r="G1741" s="19">
        <f>12.32</f>
        <v>12.32</v>
      </c>
      <c r="H1741" s="32">
        <v>100</v>
      </c>
      <c r="I1741" s="25">
        <f t="shared" si="103"/>
        <v>1232</v>
      </c>
      <c r="J1741" s="40"/>
      <c r="K1741" s="39"/>
      <c r="L1741" s="39"/>
      <c r="M1741" s="39"/>
      <c r="N1741" s="23"/>
      <c r="O1741" s="39"/>
      <c r="P1741" s="39"/>
      <c r="Q1741" s="39"/>
      <c r="R1741" s="39"/>
    </row>
    <row r="1742" spans="1:18" s="2" customFormat="1" ht="14.4">
      <c r="A1742" s="20">
        <f t="shared" si="102"/>
        <v>1626</v>
      </c>
      <c r="B1742" s="17" t="s">
        <v>2557</v>
      </c>
      <c r="C1742" s="17" t="s">
        <v>2558</v>
      </c>
      <c r="D1742" s="9" t="s">
        <v>25</v>
      </c>
      <c r="E1742" s="20" t="s">
        <v>26</v>
      </c>
      <c r="F1742" s="18">
        <v>1</v>
      </c>
      <c r="G1742" s="19">
        <v>25.58</v>
      </c>
      <c r="H1742" s="32">
        <v>250</v>
      </c>
      <c r="I1742" s="25">
        <f t="shared" si="103"/>
        <v>6395</v>
      </c>
      <c r="J1742" s="40"/>
      <c r="K1742" s="39"/>
      <c r="L1742" s="39"/>
      <c r="M1742" s="39"/>
      <c r="N1742" s="23"/>
      <c r="O1742" s="39"/>
      <c r="P1742" s="39"/>
      <c r="Q1742" s="39"/>
      <c r="R1742" s="39"/>
    </row>
    <row r="1743" spans="1:18" s="2" customFormat="1" ht="26.4">
      <c r="A1743" s="20">
        <f t="shared" si="102"/>
        <v>1627</v>
      </c>
      <c r="B1743" s="17" t="s">
        <v>2488</v>
      </c>
      <c r="C1743" s="17" t="s">
        <v>2489</v>
      </c>
      <c r="D1743" s="20" t="s">
        <v>2490</v>
      </c>
      <c r="E1743" s="20" t="s">
        <v>2491</v>
      </c>
      <c r="F1743" s="18">
        <v>1</v>
      </c>
      <c r="G1743" s="19">
        <f>1.633198857*95.14</f>
        <v>155.38253925498</v>
      </c>
      <c r="H1743" s="32">
        <v>50</v>
      </c>
      <c r="I1743" s="25">
        <f t="shared" si="103"/>
        <v>7769.1269627490001</v>
      </c>
      <c r="J1743" s="40"/>
      <c r="K1743" s="39"/>
      <c r="L1743" s="39"/>
      <c r="M1743" s="39"/>
      <c r="N1743" s="23"/>
      <c r="O1743" s="39"/>
      <c r="P1743" s="39"/>
      <c r="Q1743" s="39"/>
      <c r="R1743" s="39"/>
    </row>
    <row r="1744" spans="1:18" s="2" customFormat="1" ht="14.4">
      <c r="A1744" s="20">
        <f>A1743+1</f>
        <v>1628</v>
      </c>
      <c r="B1744" s="17" t="s">
        <v>2559</v>
      </c>
      <c r="C1744" s="17" t="s">
        <v>2560</v>
      </c>
      <c r="D1744" s="20" t="s">
        <v>25</v>
      </c>
      <c r="E1744" s="20" t="s">
        <v>26</v>
      </c>
      <c r="F1744" s="18">
        <v>1</v>
      </c>
      <c r="G1744" s="19">
        <v>485</v>
      </c>
      <c r="H1744" s="32">
        <v>7</v>
      </c>
      <c r="I1744" s="25">
        <f t="shared" si="103"/>
        <v>3395</v>
      </c>
      <c r="J1744" s="40"/>
      <c r="K1744" s="39"/>
      <c r="L1744" s="39"/>
      <c r="M1744" s="39"/>
      <c r="N1744" s="23"/>
      <c r="O1744" s="39"/>
      <c r="P1744" s="39"/>
      <c r="Q1744" s="39"/>
      <c r="R1744" s="39"/>
    </row>
    <row r="1745" spans="1:18" s="2" customFormat="1" ht="14.4">
      <c r="A1745" s="20">
        <f>A1744+1</f>
        <v>1629</v>
      </c>
      <c r="B1745" s="17" t="s">
        <v>1077</v>
      </c>
      <c r="C1745" s="17" t="s">
        <v>219</v>
      </c>
      <c r="D1745" s="20" t="s">
        <v>48</v>
      </c>
      <c r="E1745" s="20" t="s">
        <v>49</v>
      </c>
      <c r="F1745" s="18">
        <v>1</v>
      </c>
      <c r="G1745" s="19"/>
      <c r="H1745" s="32">
        <v>1</v>
      </c>
      <c r="I1745" s="25">
        <f>SUM(I1718:I1744)*0.05</f>
        <v>26108.36374589218</v>
      </c>
      <c r="J1745" s="40"/>
      <c r="K1745" s="39"/>
      <c r="L1745" s="39"/>
      <c r="M1745" s="39"/>
      <c r="N1745" s="23"/>
      <c r="O1745" s="39"/>
      <c r="P1745" s="39"/>
      <c r="Q1745" s="39"/>
      <c r="R1745" s="39"/>
    </row>
    <row r="1746" spans="1:18" ht="39.6">
      <c r="A1746" s="9" t="s">
        <v>61</v>
      </c>
      <c r="B1746" s="13" t="s">
        <v>2561</v>
      </c>
      <c r="C1746" s="13" t="s">
        <v>2562</v>
      </c>
      <c r="D1746" s="14"/>
      <c r="E1746" s="14"/>
      <c r="F1746" s="18"/>
      <c r="G1746" s="19"/>
      <c r="H1746" s="15"/>
      <c r="I1746" s="25"/>
      <c r="J1746" s="24"/>
      <c r="K1746" s="22"/>
      <c r="L1746" s="22"/>
      <c r="M1746" s="22"/>
      <c r="N1746" s="23"/>
      <c r="O1746" s="22"/>
      <c r="P1746" s="22"/>
      <c r="Q1746" s="22"/>
      <c r="R1746" s="22"/>
    </row>
    <row r="1747" spans="1:18" s="2" customFormat="1" ht="14.4">
      <c r="A1747" s="20">
        <f>A1745+1</f>
        <v>1630</v>
      </c>
      <c r="B1747" s="17" t="s">
        <v>2563</v>
      </c>
      <c r="C1747" s="17" t="s">
        <v>2564</v>
      </c>
      <c r="D1747" s="20" t="s">
        <v>5</v>
      </c>
      <c r="E1747" s="20" t="s">
        <v>6</v>
      </c>
      <c r="F1747" s="18">
        <v>1</v>
      </c>
      <c r="G1747" s="19">
        <v>61373</v>
      </c>
      <c r="H1747" s="32">
        <v>2</v>
      </c>
      <c r="I1747" s="25">
        <f t="shared" si="103"/>
        <v>122746</v>
      </c>
      <c r="J1747" s="40"/>
      <c r="K1747" s="39"/>
      <c r="L1747" s="39"/>
      <c r="M1747" s="39"/>
      <c r="N1747" s="23"/>
      <c r="O1747" s="39"/>
      <c r="P1747" s="39"/>
      <c r="Q1747" s="39"/>
      <c r="R1747" s="39"/>
    </row>
    <row r="1748" spans="1:18" s="2" customFormat="1" ht="26.4">
      <c r="A1748" s="20">
        <f>A1747+1</f>
        <v>1631</v>
      </c>
      <c r="B1748" s="17" t="s">
        <v>2565</v>
      </c>
      <c r="C1748" s="17" t="s">
        <v>2566</v>
      </c>
      <c r="D1748" s="20" t="s">
        <v>5</v>
      </c>
      <c r="E1748" s="20" t="s">
        <v>6</v>
      </c>
      <c r="F1748" s="18">
        <v>1</v>
      </c>
      <c r="G1748" s="19">
        <v>1400</v>
      </c>
      <c r="H1748" s="32">
        <v>4</v>
      </c>
      <c r="I1748" s="25">
        <f t="shared" si="103"/>
        <v>5600</v>
      </c>
      <c r="J1748" s="40"/>
      <c r="K1748" s="39"/>
      <c r="L1748" s="39"/>
      <c r="M1748" s="39"/>
      <c r="N1748" s="23"/>
      <c r="O1748" s="39"/>
      <c r="P1748" s="39"/>
      <c r="Q1748" s="39"/>
      <c r="R1748" s="39"/>
    </row>
    <row r="1749" spans="1:18" s="2" customFormat="1" ht="14.4">
      <c r="A1749" s="20">
        <f t="shared" ref="A1749:A1754" si="104">A1748+1</f>
        <v>1632</v>
      </c>
      <c r="B1749" s="17" t="s">
        <v>2567</v>
      </c>
      <c r="C1749" s="17" t="s">
        <v>2568</v>
      </c>
      <c r="D1749" s="20" t="s">
        <v>5</v>
      </c>
      <c r="E1749" s="20" t="s">
        <v>6</v>
      </c>
      <c r="F1749" s="18">
        <v>1</v>
      </c>
      <c r="G1749" s="19">
        <v>106822</v>
      </c>
      <c r="H1749" s="32">
        <v>1</v>
      </c>
      <c r="I1749" s="25">
        <f t="shared" si="103"/>
        <v>106822</v>
      </c>
      <c r="J1749" s="40"/>
      <c r="K1749" s="39"/>
      <c r="L1749" s="39"/>
      <c r="M1749" s="39"/>
      <c r="N1749" s="23"/>
      <c r="O1749" s="39"/>
      <c r="P1749" s="39"/>
      <c r="Q1749" s="39"/>
      <c r="R1749" s="39"/>
    </row>
    <row r="1750" spans="1:18" s="2" customFormat="1" ht="14.4">
      <c r="A1750" s="20">
        <f t="shared" si="104"/>
        <v>1633</v>
      </c>
      <c r="B1750" s="17" t="s">
        <v>2569</v>
      </c>
      <c r="C1750" s="17" t="s">
        <v>2570</v>
      </c>
      <c r="D1750" s="20" t="s">
        <v>5</v>
      </c>
      <c r="E1750" s="20" t="s">
        <v>6</v>
      </c>
      <c r="F1750" s="18">
        <v>1</v>
      </c>
      <c r="G1750" s="19">
        <v>2700</v>
      </c>
      <c r="H1750" s="32">
        <v>3</v>
      </c>
      <c r="I1750" s="25">
        <f t="shared" si="103"/>
        <v>8100</v>
      </c>
      <c r="J1750" s="40"/>
      <c r="K1750" s="39"/>
      <c r="L1750" s="39"/>
      <c r="M1750" s="39"/>
      <c r="N1750" s="23"/>
      <c r="O1750" s="39"/>
      <c r="P1750" s="39"/>
      <c r="Q1750" s="39"/>
      <c r="R1750" s="39"/>
    </row>
    <row r="1751" spans="1:18" s="2" customFormat="1" ht="14.4">
      <c r="A1751" s="20">
        <f t="shared" si="104"/>
        <v>1634</v>
      </c>
      <c r="B1751" s="17" t="s">
        <v>2571</v>
      </c>
      <c r="C1751" s="17" t="s">
        <v>2572</v>
      </c>
      <c r="D1751" s="20" t="s">
        <v>5</v>
      </c>
      <c r="E1751" s="20" t="s">
        <v>6</v>
      </c>
      <c r="F1751" s="18">
        <v>1</v>
      </c>
      <c r="G1751" s="19">
        <v>5610</v>
      </c>
      <c r="H1751" s="32">
        <v>2</v>
      </c>
      <c r="I1751" s="25">
        <f t="shared" si="103"/>
        <v>11220</v>
      </c>
      <c r="J1751" s="40"/>
      <c r="K1751" s="39"/>
      <c r="L1751" s="39"/>
      <c r="M1751" s="39"/>
      <c r="N1751" s="23"/>
      <c r="O1751" s="39"/>
      <c r="P1751" s="39"/>
      <c r="Q1751" s="39"/>
      <c r="R1751" s="39"/>
    </row>
    <row r="1752" spans="1:18" s="2" customFormat="1" ht="27.6">
      <c r="A1752" s="20">
        <f t="shared" si="104"/>
        <v>1635</v>
      </c>
      <c r="B1752" s="17" t="s">
        <v>2573</v>
      </c>
      <c r="C1752" s="4" t="s">
        <v>2574</v>
      </c>
      <c r="D1752" s="20" t="s">
        <v>5</v>
      </c>
      <c r="E1752" s="20" t="s">
        <v>6</v>
      </c>
      <c r="F1752" s="18">
        <v>1</v>
      </c>
      <c r="G1752" s="19">
        <v>2025</v>
      </c>
      <c r="H1752" s="32">
        <v>1</v>
      </c>
      <c r="I1752" s="25">
        <f t="shared" si="103"/>
        <v>2025</v>
      </c>
      <c r="J1752" s="40"/>
      <c r="K1752" s="39"/>
      <c r="L1752" s="39"/>
      <c r="M1752" s="39"/>
      <c r="N1752" s="23"/>
      <c r="O1752" s="39"/>
      <c r="P1752" s="39"/>
      <c r="Q1752" s="39"/>
      <c r="R1752" s="39"/>
    </row>
    <row r="1753" spans="1:18" s="2" customFormat="1" ht="26.4">
      <c r="A1753" s="20">
        <f t="shared" si="104"/>
        <v>1636</v>
      </c>
      <c r="B1753" s="17" t="s">
        <v>2575</v>
      </c>
      <c r="C1753" s="17" t="s">
        <v>2576</v>
      </c>
      <c r="D1753" s="20" t="s">
        <v>5</v>
      </c>
      <c r="E1753" s="20" t="s">
        <v>6</v>
      </c>
      <c r="F1753" s="18">
        <v>1</v>
      </c>
      <c r="G1753" s="19">
        <v>9623</v>
      </c>
      <c r="H1753" s="32">
        <v>3</v>
      </c>
      <c r="I1753" s="25">
        <f t="shared" si="103"/>
        <v>28869</v>
      </c>
      <c r="J1753" s="40"/>
      <c r="K1753" s="39"/>
      <c r="L1753" s="39"/>
      <c r="M1753" s="39"/>
      <c r="N1753" s="23"/>
      <c r="O1753" s="39"/>
      <c r="P1753" s="39"/>
      <c r="Q1753" s="39"/>
      <c r="R1753" s="39"/>
    </row>
    <row r="1754" spans="1:18" s="2" customFormat="1" ht="14.4">
      <c r="A1754" s="20">
        <f t="shared" si="104"/>
        <v>1637</v>
      </c>
      <c r="B1754" s="79" t="s">
        <v>2577</v>
      </c>
      <c r="C1754" s="17" t="s">
        <v>2578</v>
      </c>
      <c r="D1754" s="20" t="s">
        <v>5</v>
      </c>
      <c r="E1754" s="20" t="s">
        <v>6</v>
      </c>
      <c r="F1754" s="18">
        <v>1</v>
      </c>
      <c r="G1754" s="19">
        <v>7605</v>
      </c>
      <c r="H1754" s="32">
        <v>4</v>
      </c>
      <c r="I1754" s="25">
        <f t="shared" si="103"/>
        <v>30420</v>
      </c>
      <c r="J1754" s="40"/>
      <c r="K1754" s="39"/>
      <c r="L1754" s="39"/>
      <c r="M1754" s="39"/>
      <c r="N1754" s="23"/>
      <c r="O1754" s="39"/>
      <c r="P1754" s="39"/>
      <c r="Q1754" s="39"/>
      <c r="R1754" s="39"/>
    </row>
    <row r="1755" spans="1:18" ht="26.4">
      <c r="A1755" s="9" t="s">
        <v>61</v>
      </c>
      <c r="B1755" s="13" t="s">
        <v>2579</v>
      </c>
      <c r="C1755" s="13" t="s">
        <v>2580</v>
      </c>
      <c r="D1755" s="14"/>
      <c r="E1755" s="14"/>
      <c r="F1755" s="18"/>
      <c r="G1755" s="19"/>
      <c r="H1755" s="15"/>
      <c r="I1755" s="25"/>
      <c r="J1755" s="24"/>
      <c r="K1755" s="22"/>
      <c r="L1755" s="22"/>
      <c r="M1755" s="22"/>
      <c r="N1755" s="23"/>
      <c r="O1755" s="22"/>
      <c r="P1755" s="22"/>
      <c r="Q1755" s="22"/>
      <c r="R1755" s="22"/>
    </row>
    <row r="1756" spans="1:18" s="2" customFormat="1" ht="26.4">
      <c r="A1756" s="20">
        <f>A1754+1</f>
        <v>1638</v>
      </c>
      <c r="B1756" s="17" t="s">
        <v>2581</v>
      </c>
      <c r="C1756" s="17" t="s">
        <v>2582</v>
      </c>
      <c r="D1756" s="9" t="s">
        <v>2583</v>
      </c>
      <c r="E1756" s="20" t="s">
        <v>2584</v>
      </c>
      <c r="F1756" s="18">
        <v>1</v>
      </c>
      <c r="G1756" s="19">
        <f>1.633198857*94.94</f>
        <v>155.05589948357999</v>
      </c>
      <c r="H1756" s="32">
        <v>1.25</v>
      </c>
      <c r="I1756" s="25">
        <f t="shared" si="103"/>
        <v>193.81987435447499</v>
      </c>
      <c r="J1756" s="40"/>
      <c r="K1756" s="39"/>
      <c r="L1756" s="39"/>
      <c r="M1756" s="39"/>
      <c r="N1756" s="23"/>
      <c r="O1756" s="39"/>
      <c r="P1756" s="39"/>
      <c r="Q1756" s="39"/>
      <c r="R1756" s="39"/>
    </row>
    <row r="1757" spans="1:18" s="2" customFormat="1" ht="39.6">
      <c r="A1757" s="20">
        <f>A1756+1</f>
        <v>1639</v>
      </c>
      <c r="B1757" s="17" t="s">
        <v>2240</v>
      </c>
      <c r="C1757" s="17" t="s">
        <v>2241</v>
      </c>
      <c r="D1757" s="20" t="s">
        <v>5</v>
      </c>
      <c r="E1757" s="20" t="s">
        <v>6</v>
      </c>
      <c r="F1757" s="18">
        <v>1</v>
      </c>
      <c r="G1757" s="19">
        <f>1.633198857*208.1</f>
        <v>339.86868214169999</v>
      </c>
      <c r="H1757" s="32">
        <v>150</v>
      </c>
      <c r="I1757" s="25">
        <f t="shared" si="103"/>
        <v>50980.302321254996</v>
      </c>
      <c r="J1757" s="40"/>
      <c r="K1757" s="39"/>
      <c r="L1757" s="39"/>
      <c r="M1757" s="39"/>
      <c r="N1757" s="23"/>
      <c r="O1757" s="39"/>
      <c r="P1757" s="39"/>
      <c r="Q1757" s="39"/>
      <c r="R1757" s="39"/>
    </row>
    <row r="1758" spans="1:18" s="2" customFormat="1" ht="26.4">
      <c r="A1758" s="20">
        <f t="shared" ref="A1758:A1778" si="105">A1757+1</f>
        <v>1640</v>
      </c>
      <c r="B1758" s="17" t="s">
        <v>2585</v>
      </c>
      <c r="C1758" s="17" t="s">
        <v>2586</v>
      </c>
      <c r="D1758" s="20" t="s">
        <v>5</v>
      </c>
      <c r="E1758" s="20" t="s">
        <v>6</v>
      </c>
      <c r="F1758" s="18">
        <v>1</v>
      </c>
      <c r="G1758" s="19">
        <v>127.92</v>
      </c>
      <c r="H1758" s="32">
        <v>10</v>
      </c>
      <c r="I1758" s="25">
        <f t="shared" si="103"/>
        <v>1279.2</v>
      </c>
      <c r="J1758" s="40"/>
      <c r="K1758" s="39"/>
      <c r="L1758" s="39"/>
      <c r="M1758" s="39"/>
      <c r="N1758" s="23"/>
      <c r="O1758" s="39"/>
      <c r="P1758" s="39"/>
      <c r="Q1758" s="39"/>
      <c r="R1758" s="39"/>
    </row>
    <row r="1759" spans="1:18" s="2" customFormat="1" ht="39.6">
      <c r="A1759" s="20">
        <f t="shared" si="105"/>
        <v>1641</v>
      </c>
      <c r="B1759" s="17" t="s">
        <v>2240</v>
      </c>
      <c r="C1759" s="17" t="s">
        <v>2241</v>
      </c>
      <c r="D1759" s="20" t="s">
        <v>5</v>
      </c>
      <c r="E1759" s="20" t="s">
        <v>6</v>
      </c>
      <c r="F1759" s="18">
        <v>1</v>
      </c>
      <c r="G1759" s="19">
        <v>208.1</v>
      </c>
      <c r="H1759" s="32">
        <v>23</v>
      </c>
      <c r="I1759" s="25">
        <f t="shared" si="103"/>
        <v>4786.3</v>
      </c>
      <c r="J1759" s="40"/>
      <c r="K1759" s="39"/>
      <c r="L1759" s="39"/>
      <c r="M1759" s="39"/>
      <c r="N1759" s="23"/>
      <c r="O1759" s="39"/>
      <c r="P1759" s="39"/>
      <c r="Q1759" s="39"/>
      <c r="R1759" s="39"/>
    </row>
    <row r="1760" spans="1:18" s="2" customFormat="1" ht="39.6">
      <c r="A1760" s="20">
        <f t="shared" si="105"/>
        <v>1642</v>
      </c>
      <c r="B1760" s="17" t="s">
        <v>2587</v>
      </c>
      <c r="C1760" s="17" t="s">
        <v>2588</v>
      </c>
      <c r="D1760" s="20" t="s">
        <v>5</v>
      </c>
      <c r="E1760" s="20" t="s">
        <v>6</v>
      </c>
      <c r="F1760" s="18">
        <v>1</v>
      </c>
      <c r="G1760" s="19">
        <f>1.633198857*1259.5</f>
        <v>2057.0139603914999</v>
      </c>
      <c r="H1760" s="32">
        <v>5</v>
      </c>
      <c r="I1760" s="25">
        <f t="shared" si="103"/>
        <v>10285.069801957499</v>
      </c>
      <c r="J1760" s="40"/>
      <c r="K1760" s="39"/>
      <c r="L1760" s="39"/>
      <c r="M1760" s="39"/>
      <c r="N1760" s="23"/>
      <c r="O1760" s="39"/>
      <c r="P1760" s="39"/>
      <c r="Q1760" s="39"/>
      <c r="R1760" s="39"/>
    </row>
    <row r="1761" spans="1:18" s="2" customFormat="1" ht="14.4">
      <c r="A1761" s="20">
        <f t="shared" si="105"/>
        <v>1643</v>
      </c>
      <c r="B1761" s="17" t="s">
        <v>2589</v>
      </c>
      <c r="C1761" s="17" t="s">
        <v>2590</v>
      </c>
      <c r="D1761" s="20" t="s">
        <v>5</v>
      </c>
      <c r="E1761" s="20" t="s">
        <v>6</v>
      </c>
      <c r="F1761" s="18">
        <v>1</v>
      </c>
      <c r="G1761" s="19">
        <f>1.633198857*1579.49</f>
        <v>2579.6212626429301</v>
      </c>
      <c r="H1761" s="32">
        <v>11</v>
      </c>
      <c r="I1761" s="25">
        <f t="shared" si="103"/>
        <v>28375.83388907223</v>
      </c>
      <c r="J1761" s="40"/>
      <c r="K1761" s="39"/>
      <c r="L1761" s="39"/>
      <c r="M1761" s="39"/>
      <c r="N1761" s="23"/>
      <c r="O1761" s="39"/>
      <c r="P1761" s="39"/>
      <c r="Q1761" s="39"/>
      <c r="R1761" s="39"/>
    </row>
    <row r="1762" spans="1:18" s="2" customFormat="1" ht="14.4">
      <c r="A1762" s="20">
        <f t="shared" si="105"/>
        <v>1644</v>
      </c>
      <c r="B1762" s="17" t="s">
        <v>2591</v>
      </c>
      <c r="C1762" s="17" t="s">
        <v>2592</v>
      </c>
      <c r="D1762" s="20" t="s">
        <v>2593</v>
      </c>
      <c r="E1762" s="20" t="s">
        <v>63</v>
      </c>
      <c r="F1762" s="18">
        <v>1</v>
      </c>
      <c r="G1762" s="19">
        <f>605.98</f>
        <v>605.98</v>
      </c>
      <c r="H1762" s="32">
        <v>5</v>
      </c>
      <c r="I1762" s="25">
        <f t="shared" si="103"/>
        <v>3029.9</v>
      </c>
      <c r="J1762" s="40"/>
      <c r="K1762" s="39"/>
      <c r="L1762" s="39"/>
      <c r="M1762" s="39"/>
      <c r="N1762" s="23"/>
      <c r="O1762" s="39"/>
      <c r="P1762" s="39"/>
      <c r="Q1762" s="39"/>
      <c r="R1762" s="39"/>
    </row>
    <row r="1763" spans="1:18" s="2" customFormat="1" ht="39.6">
      <c r="A1763" s="20">
        <f t="shared" si="105"/>
        <v>1645</v>
      </c>
      <c r="B1763" s="17" t="s">
        <v>2594</v>
      </c>
      <c r="C1763" s="17" t="s">
        <v>2595</v>
      </c>
      <c r="D1763" s="9" t="s">
        <v>25</v>
      </c>
      <c r="E1763" s="20" t="s">
        <v>26</v>
      </c>
      <c r="F1763" s="18">
        <v>1</v>
      </c>
      <c r="G1763" s="19">
        <f>1.633198857*100.06</f>
        <v>163.41787763142</v>
      </c>
      <c r="H1763" s="32">
        <v>2.4</v>
      </c>
      <c r="I1763" s="25">
        <f t="shared" si="103"/>
        <v>392.20290631540797</v>
      </c>
      <c r="J1763" s="40"/>
      <c r="K1763" s="39"/>
      <c r="L1763" s="39"/>
      <c r="M1763" s="39"/>
      <c r="N1763" s="23"/>
      <c r="O1763" s="39"/>
      <c r="P1763" s="39"/>
      <c r="Q1763" s="39"/>
      <c r="R1763" s="39"/>
    </row>
    <row r="1764" spans="1:18" s="2" customFormat="1" ht="26.4">
      <c r="A1764" s="20">
        <f t="shared" si="105"/>
        <v>1646</v>
      </c>
      <c r="B1764" s="17" t="s">
        <v>2596</v>
      </c>
      <c r="C1764" s="17" t="s">
        <v>2597</v>
      </c>
      <c r="D1764" s="9" t="s">
        <v>25</v>
      </c>
      <c r="E1764" s="20" t="s">
        <v>26</v>
      </c>
      <c r="F1764" s="18">
        <v>1</v>
      </c>
      <c r="G1764" s="19">
        <v>296.08</v>
      </c>
      <c r="H1764" s="32">
        <v>240</v>
      </c>
      <c r="I1764" s="25">
        <f t="shared" si="103"/>
        <v>71059.199999999997</v>
      </c>
      <c r="J1764" s="40"/>
      <c r="K1764" s="39"/>
      <c r="L1764" s="39"/>
      <c r="M1764" s="39"/>
      <c r="N1764" s="23"/>
      <c r="O1764" s="39"/>
      <c r="P1764" s="39"/>
      <c r="Q1764" s="39"/>
      <c r="R1764" s="39"/>
    </row>
    <row r="1765" spans="1:18" s="2" customFormat="1" ht="26.4">
      <c r="A1765" s="20">
        <f t="shared" si="105"/>
        <v>1647</v>
      </c>
      <c r="B1765" s="17" t="s">
        <v>2598</v>
      </c>
      <c r="C1765" s="17" t="s">
        <v>2599</v>
      </c>
      <c r="D1765" s="9" t="s">
        <v>25</v>
      </c>
      <c r="E1765" s="20" t="s">
        <v>26</v>
      </c>
      <c r="F1765" s="18">
        <v>1</v>
      </c>
      <c r="G1765" s="19">
        <v>396.08</v>
      </c>
      <c r="H1765" s="32">
        <v>9</v>
      </c>
      <c r="I1765" s="25">
        <f t="shared" si="103"/>
        <v>3564.72</v>
      </c>
      <c r="J1765" s="40"/>
      <c r="K1765" s="39"/>
      <c r="L1765" s="39"/>
      <c r="M1765" s="39"/>
      <c r="N1765" s="23"/>
      <c r="O1765" s="39"/>
      <c r="P1765" s="39"/>
      <c r="Q1765" s="39"/>
      <c r="R1765" s="39"/>
    </row>
    <row r="1766" spans="1:18" s="2" customFormat="1" ht="14.4">
      <c r="A1766" s="20">
        <f t="shared" si="105"/>
        <v>1648</v>
      </c>
      <c r="B1766" s="17" t="s">
        <v>2600</v>
      </c>
      <c r="C1766" s="17" t="s">
        <v>2601</v>
      </c>
      <c r="D1766" s="20" t="s">
        <v>5</v>
      </c>
      <c r="E1766" s="20" t="s">
        <v>6</v>
      </c>
      <c r="F1766" s="18">
        <v>1</v>
      </c>
      <c r="G1766" s="19">
        <v>76.849999999999994</v>
      </c>
      <c r="H1766" s="32">
        <v>20</v>
      </c>
      <c r="I1766" s="25">
        <f t="shared" si="103"/>
        <v>1537</v>
      </c>
      <c r="J1766" s="40"/>
      <c r="K1766" s="39"/>
      <c r="L1766" s="39"/>
      <c r="M1766" s="39"/>
      <c r="N1766" s="23"/>
      <c r="O1766" s="39"/>
      <c r="P1766" s="39"/>
      <c r="Q1766" s="39"/>
      <c r="R1766" s="39"/>
    </row>
    <row r="1767" spans="1:18" s="2" customFormat="1" ht="14.4">
      <c r="A1767" s="20">
        <f t="shared" si="105"/>
        <v>1649</v>
      </c>
      <c r="B1767" s="17" t="s">
        <v>2602</v>
      </c>
      <c r="C1767" s="17" t="s">
        <v>2603</v>
      </c>
      <c r="D1767" s="20" t="s">
        <v>5</v>
      </c>
      <c r="E1767" s="20" t="s">
        <v>6</v>
      </c>
      <c r="F1767" s="18">
        <v>1</v>
      </c>
      <c r="G1767" s="19">
        <v>18.579999999999998</v>
      </c>
      <c r="H1767" s="32">
        <v>240</v>
      </c>
      <c r="I1767" s="25">
        <f t="shared" si="103"/>
        <v>4459.2</v>
      </c>
      <c r="J1767" s="40"/>
      <c r="K1767" s="39"/>
      <c r="L1767" s="39"/>
      <c r="M1767" s="39"/>
      <c r="N1767" s="23"/>
      <c r="O1767" s="39"/>
      <c r="P1767" s="39"/>
      <c r="Q1767" s="39"/>
      <c r="R1767" s="39"/>
    </row>
    <row r="1768" spans="1:18" s="2" customFormat="1" ht="14.4">
      <c r="A1768" s="20">
        <f t="shared" si="105"/>
        <v>1650</v>
      </c>
      <c r="B1768" s="17" t="s">
        <v>2604</v>
      </c>
      <c r="C1768" s="17" t="s">
        <v>2605</v>
      </c>
      <c r="D1768" s="20" t="s">
        <v>25</v>
      </c>
      <c r="E1768" s="20" t="s">
        <v>26</v>
      </c>
      <c r="F1768" s="18">
        <v>1</v>
      </c>
      <c r="G1768" s="19">
        <v>176.63</v>
      </c>
      <c r="H1768" s="32">
        <v>42</v>
      </c>
      <c r="I1768" s="25">
        <f t="shared" si="103"/>
        <v>7418.46</v>
      </c>
      <c r="J1768" s="40"/>
      <c r="K1768" s="39"/>
      <c r="L1768" s="39"/>
      <c r="M1768" s="39"/>
      <c r="N1768" s="23"/>
      <c r="O1768" s="39"/>
      <c r="P1768" s="39"/>
      <c r="Q1768" s="39"/>
      <c r="R1768" s="39"/>
    </row>
    <row r="1769" spans="1:18" s="2" customFormat="1" ht="14.4">
      <c r="A1769" s="20">
        <f t="shared" si="105"/>
        <v>1651</v>
      </c>
      <c r="B1769" s="80" t="s">
        <v>2606</v>
      </c>
      <c r="C1769" s="17" t="s">
        <v>2607</v>
      </c>
      <c r="D1769" s="20" t="s">
        <v>5</v>
      </c>
      <c r="E1769" s="20" t="s">
        <v>6</v>
      </c>
      <c r="F1769" s="18">
        <v>1</v>
      </c>
      <c r="G1769" s="19">
        <v>188.03</v>
      </c>
      <c r="H1769" s="32">
        <v>240</v>
      </c>
      <c r="I1769" s="25">
        <f t="shared" si="103"/>
        <v>45127.199999999997</v>
      </c>
      <c r="J1769" s="40"/>
      <c r="K1769" s="39"/>
      <c r="L1769" s="39"/>
      <c r="M1769" s="39"/>
      <c r="N1769" s="23"/>
      <c r="O1769" s="39"/>
      <c r="P1769" s="39"/>
      <c r="Q1769" s="39"/>
      <c r="R1769" s="39"/>
    </row>
    <row r="1770" spans="1:18" s="2" customFormat="1" ht="79.2">
      <c r="A1770" s="20">
        <f t="shared" si="105"/>
        <v>1652</v>
      </c>
      <c r="B1770" s="17" t="s">
        <v>2608</v>
      </c>
      <c r="C1770" s="17" t="s">
        <v>2609</v>
      </c>
      <c r="D1770" s="9" t="s">
        <v>25</v>
      </c>
      <c r="E1770" s="20" t="s">
        <v>26</v>
      </c>
      <c r="F1770" s="18">
        <v>1</v>
      </c>
      <c r="G1770" s="19">
        <f>1.633198857*59.9</f>
        <v>97.828611534299995</v>
      </c>
      <c r="H1770" s="32">
        <v>1.7</v>
      </c>
      <c r="I1770" s="25">
        <f t="shared" si="103"/>
        <v>166.30863960830999</v>
      </c>
      <c r="J1770" s="40"/>
      <c r="K1770" s="39"/>
      <c r="L1770" s="39"/>
      <c r="M1770" s="39"/>
      <c r="N1770" s="23"/>
      <c r="O1770" s="39"/>
      <c r="P1770" s="39"/>
      <c r="Q1770" s="39"/>
      <c r="R1770" s="39"/>
    </row>
    <row r="1771" spans="1:18" s="2" customFormat="1" ht="14.4">
      <c r="A1771" s="20">
        <f t="shared" si="105"/>
        <v>1653</v>
      </c>
      <c r="B1771" s="17" t="s">
        <v>2610</v>
      </c>
      <c r="C1771" s="17" t="s">
        <v>2554</v>
      </c>
      <c r="D1771" s="9" t="s">
        <v>25</v>
      </c>
      <c r="E1771" s="20" t="s">
        <v>26</v>
      </c>
      <c r="F1771" s="18">
        <v>1</v>
      </c>
      <c r="G1771" s="19">
        <f>10.37</f>
        <v>10.37</v>
      </c>
      <c r="H1771" s="32">
        <v>1840</v>
      </c>
      <c r="I1771" s="25">
        <f t="shared" si="103"/>
        <v>19080.8</v>
      </c>
      <c r="J1771" s="40"/>
      <c r="K1771" s="39"/>
      <c r="L1771" s="39"/>
      <c r="M1771" s="39"/>
      <c r="N1771" s="23"/>
      <c r="O1771" s="39"/>
      <c r="P1771" s="39"/>
      <c r="Q1771" s="39"/>
      <c r="R1771" s="39"/>
    </row>
    <row r="1772" spans="1:18" s="2" customFormat="1" ht="66">
      <c r="A1772" s="20">
        <f t="shared" si="105"/>
        <v>1654</v>
      </c>
      <c r="B1772" s="17" t="s">
        <v>2611</v>
      </c>
      <c r="C1772" s="17" t="s">
        <v>2612</v>
      </c>
      <c r="D1772" s="9" t="s">
        <v>25</v>
      </c>
      <c r="E1772" s="20" t="s">
        <v>26</v>
      </c>
      <c r="F1772" s="18">
        <v>1</v>
      </c>
      <c r="G1772" s="19">
        <f>1.633198857*12.01</f>
        <v>19.614718272569998</v>
      </c>
      <c r="H1772" s="32">
        <v>1.3</v>
      </c>
      <c r="I1772" s="25">
        <f t="shared" si="103"/>
        <v>25.499133754340999</v>
      </c>
      <c r="J1772" s="40"/>
      <c r="K1772" s="39"/>
      <c r="L1772" s="39"/>
      <c r="M1772" s="39"/>
      <c r="N1772" s="23"/>
      <c r="O1772" s="39"/>
      <c r="P1772" s="39"/>
      <c r="Q1772" s="39"/>
      <c r="R1772" s="39"/>
    </row>
    <row r="1773" spans="1:18" s="2" customFormat="1" ht="26.4">
      <c r="A1773" s="20">
        <f t="shared" si="105"/>
        <v>1655</v>
      </c>
      <c r="B1773" s="17" t="s">
        <v>2613</v>
      </c>
      <c r="C1773" s="17" t="s">
        <v>2614</v>
      </c>
      <c r="D1773" s="9" t="s">
        <v>25</v>
      </c>
      <c r="E1773" s="20" t="s">
        <v>26</v>
      </c>
      <c r="F1773" s="18">
        <v>1</v>
      </c>
      <c r="G1773" s="19">
        <f>1.633198857*3.45</f>
        <v>5.63453605665</v>
      </c>
      <c r="H1773" s="32">
        <v>1.3</v>
      </c>
      <c r="I1773" s="25">
        <f t="shared" si="103"/>
        <v>7.3248968736450006</v>
      </c>
      <c r="J1773" s="40"/>
      <c r="K1773" s="39"/>
      <c r="L1773" s="39"/>
      <c r="M1773" s="39"/>
      <c r="N1773" s="23"/>
      <c r="O1773" s="39"/>
      <c r="P1773" s="39"/>
      <c r="Q1773" s="39"/>
      <c r="R1773" s="39"/>
    </row>
    <row r="1774" spans="1:18" s="2" customFormat="1" ht="52.8">
      <c r="A1774" s="20">
        <f t="shared" si="105"/>
        <v>1656</v>
      </c>
      <c r="B1774" s="17" t="s">
        <v>2615</v>
      </c>
      <c r="C1774" s="17" t="s">
        <v>2616</v>
      </c>
      <c r="D1774" s="9" t="s">
        <v>25</v>
      </c>
      <c r="E1774" s="20" t="s">
        <v>26</v>
      </c>
      <c r="F1774" s="18">
        <v>1</v>
      </c>
      <c r="G1774" s="19">
        <f>1.633198857*16.46</f>
        <v>26.882453186220001</v>
      </c>
      <c r="H1774" s="32">
        <v>94</v>
      </c>
      <c r="I1774" s="25">
        <f t="shared" si="103"/>
        <v>2526.9505995046802</v>
      </c>
      <c r="J1774" s="40"/>
      <c r="K1774" s="39"/>
      <c r="L1774" s="39"/>
      <c r="M1774" s="39"/>
      <c r="N1774" s="23"/>
      <c r="O1774" s="39"/>
      <c r="P1774" s="39"/>
      <c r="Q1774" s="39"/>
      <c r="R1774" s="39"/>
    </row>
    <row r="1775" spans="1:18" s="2" customFormat="1" ht="14.4">
      <c r="A1775" s="20">
        <f t="shared" si="105"/>
        <v>1657</v>
      </c>
      <c r="B1775" s="17" t="s">
        <v>2557</v>
      </c>
      <c r="C1775" s="17" t="s">
        <v>2558</v>
      </c>
      <c r="D1775" s="9" t="s">
        <v>25</v>
      </c>
      <c r="E1775" s="20" t="s">
        <v>26</v>
      </c>
      <c r="F1775" s="18">
        <v>1</v>
      </c>
      <c r="G1775" s="19">
        <f>25.58</f>
        <v>25.58</v>
      </c>
      <c r="H1775" s="32">
        <v>9000</v>
      </c>
      <c r="I1775" s="25">
        <f t="shared" si="103"/>
        <v>230219.99999999997</v>
      </c>
      <c r="J1775" s="40"/>
      <c r="K1775" s="39"/>
      <c r="L1775" s="39"/>
      <c r="M1775" s="39"/>
      <c r="N1775" s="23"/>
      <c r="O1775" s="39"/>
      <c r="P1775" s="39"/>
      <c r="Q1775" s="39"/>
      <c r="R1775" s="39"/>
    </row>
    <row r="1776" spans="1:18" s="2" customFormat="1" ht="39.6">
      <c r="A1776" s="20">
        <f t="shared" si="105"/>
        <v>1658</v>
      </c>
      <c r="B1776" s="17" t="s">
        <v>2617</v>
      </c>
      <c r="C1776" s="17" t="s">
        <v>2618</v>
      </c>
      <c r="D1776" s="9" t="s">
        <v>25</v>
      </c>
      <c r="E1776" s="20" t="s">
        <v>26</v>
      </c>
      <c r="F1776" s="18">
        <v>1</v>
      </c>
      <c r="G1776" s="19">
        <f>130.64</f>
        <v>130.63999999999999</v>
      </c>
      <c r="H1776" s="32">
        <v>0.4</v>
      </c>
      <c r="I1776" s="25">
        <f t="shared" si="103"/>
        <v>52.256</v>
      </c>
      <c r="J1776" s="40"/>
      <c r="K1776" s="39"/>
      <c r="L1776" s="39"/>
      <c r="M1776" s="39"/>
      <c r="N1776" s="23"/>
      <c r="O1776" s="39"/>
      <c r="P1776" s="39"/>
      <c r="Q1776" s="39"/>
      <c r="R1776" s="39"/>
    </row>
    <row r="1777" spans="1:18" s="2" customFormat="1" ht="26.4">
      <c r="A1777" s="20">
        <f t="shared" si="105"/>
        <v>1659</v>
      </c>
      <c r="B1777" s="17" t="s">
        <v>2488</v>
      </c>
      <c r="C1777" s="17" t="s">
        <v>2489</v>
      </c>
      <c r="D1777" s="20" t="s">
        <v>2619</v>
      </c>
      <c r="E1777" s="20" t="s">
        <v>2620</v>
      </c>
      <c r="F1777" s="18">
        <v>1</v>
      </c>
      <c r="G1777" s="19">
        <f>1.633198857*95.1</f>
        <v>155.3172113007</v>
      </c>
      <c r="H1777" s="32">
        <v>20</v>
      </c>
      <c r="I1777" s="25">
        <f t="shared" si="103"/>
        <v>3106.344226014</v>
      </c>
      <c r="J1777" s="40"/>
      <c r="K1777" s="39"/>
      <c r="L1777" s="39"/>
      <c r="M1777" s="39"/>
      <c r="N1777" s="23"/>
      <c r="O1777" s="39"/>
      <c r="P1777" s="39"/>
      <c r="Q1777" s="39"/>
      <c r="R1777" s="39"/>
    </row>
    <row r="1778" spans="1:18" s="2" customFormat="1" ht="14.4">
      <c r="A1778" s="20">
        <f t="shared" si="105"/>
        <v>1660</v>
      </c>
      <c r="B1778" s="17" t="s">
        <v>1077</v>
      </c>
      <c r="C1778" s="17" t="s">
        <v>219</v>
      </c>
      <c r="D1778" s="20" t="s">
        <v>48</v>
      </c>
      <c r="E1778" s="20" t="s">
        <v>49</v>
      </c>
      <c r="F1778" s="18">
        <v>1</v>
      </c>
      <c r="G1778" s="19"/>
      <c r="H1778" s="32">
        <v>1</v>
      </c>
      <c r="I1778" s="25">
        <f>SUM(I1747:I1777)*0.05</f>
        <v>40173.794614435486</v>
      </c>
      <c r="J1778" s="40"/>
      <c r="K1778" s="39"/>
      <c r="L1778" s="39"/>
      <c r="M1778" s="39"/>
      <c r="N1778" s="23"/>
      <c r="O1778" s="39"/>
      <c r="P1778" s="39"/>
      <c r="Q1778" s="39"/>
      <c r="R1778" s="39"/>
    </row>
    <row r="1779" spans="1:18" ht="26.4">
      <c r="A1779" s="9" t="s">
        <v>61</v>
      </c>
      <c r="B1779" s="13" t="s">
        <v>2621</v>
      </c>
      <c r="C1779" s="13" t="s">
        <v>2622</v>
      </c>
      <c r="D1779" s="14"/>
      <c r="E1779" s="14"/>
      <c r="F1779" s="18"/>
      <c r="G1779" s="19"/>
      <c r="H1779" s="15"/>
      <c r="I1779" s="25"/>
      <c r="J1779" s="24"/>
      <c r="K1779" s="22"/>
      <c r="L1779" s="22"/>
      <c r="M1779" s="22"/>
      <c r="N1779" s="23"/>
      <c r="O1779" s="22"/>
      <c r="P1779" s="22"/>
      <c r="Q1779" s="22"/>
      <c r="R1779" s="22"/>
    </row>
    <row r="1780" spans="1:18" ht="14.4">
      <c r="A1780" s="9" t="s">
        <v>61</v>
      </c>
      <c r="B1780" s="13" t="s">
        <v>2623</v>
      </c>
      <c r="C1780" s="13" t="s">
        <v>2624</v>
      </c>
      <c r="D1780" s="14"/>
      <c r="E1780" s="14"/>
      <c r="F1780" s="18"/>
      <c r="G1780" s="19"/>
      <c r="H1780" s="15"/>
      <c r="I1780" s="25"/>
      <c r="J1780" s="24"/>
      <c r="K1780" s="22"/>
      <c r="L1780" s="22"/>
      <c r="M1780" s="22"/>
      <c r="N1780" s="23"/>
      <c r="O1780" s="22"/>
      <c r="P1780" s="22"/>
      <c r="Q1780" s="22"/>
      <c r="R1780" s="22"/>
    </row>
    <row r="1781" spans="1:18" s="2" customFormat="1" ht="52.8">
      <c r="A1781" s="20">
        <f>A1778+1</f>
        <v>1661</v>
      </c>
      <c r="B1781" s="17" t="s">
        <v>2625</v>
      </c>
      <c r="C1781" s="81" t="s">
        <v>2626</v>
      </c>
      <c r="D1781" s="20" t="s">
        <v>5</v>
      </c>
      <c r="E1781" s="20" t="s">
        <v>6</v>
      </c>
      <c r="F1781" s="18">
        <v>1</v>
      </c>
      <c r="G1781" s="19">
        <v>21500</v>
      </c>
      <c r="H1781" s="32">
        <v>2</v>
      </c>
      <c r="I1781" s="25">
        <f t="shared" si="103"/>
        <v>43000</v>
      </c>
      <c r="J1781" s="40"/>
      <c r="K1781" s="39"/>
      <c r="L1781" s="39"/>
      <c r="M1781" s="39"/>
      <c r="N1781" s="23"/>
      <c r="O1781" s="39"/>
      <c r="P1781" s="39"/>
      <c r="Q1781" s="39"/>
      <c r="R1781" s="39"/>
    </row>
    <row r="1782" spans="1:18" s="2" customFormat="1" ht="26.4">
      <c r="A1782" s="20">
        <f t="shared" ref="A1782:A1787" si="106">A1781+1</f>
        <v>1662</v>
      </c>
      <c r="B1782" s="17" t="s">
        <v>2627</v>
      </c>
      <c r="C1782" s="17" t="s">
        <v>2628</v>
      </c>
      <c r="D1782" s="20" t="s">
        <v>5</v>
      </c>
      <c r="E1782" s="20" t="s">
        <v>6</v>
      </c>
      <c r="F1782" s="18">
        <v>1</v>
      </c>
      <c r="G1782" s="19">
        <v>6685</v>
      </c>
      <c r="H1782" s="32">
        <v>1</v>
      </c>
      <c r="I1782" s="25">
        <f t="shared" si="103"/>
        <v>6685</v>
      </c>
      <c r="J1782" s="40"/>
      <c r="K1782" s="39"/>
      <c r="L1782" s="39"/>
      <c r="M1782" s="39"/>
      <c r="N1782" s="23"/>
      <c r="O1782" s="39"/>
      <c r="P1782" s="39"/>
      <c r="Q1782" s="39"/>
      <c r="R1782" s="39"/>
    </row>
    <row r="1783" spans="1:18" s="2" customFormat="1" ht="26.4">
      <c r="A1783" s="20">
        <f t="shared" si="106"/>
        <v>1663</v>
      </c>
      <c r="B1783" s="17" t="s">
        <v>2629</v>
      </c>
      <c r="C1783" s="17" t="s">
        <v>2630</v>
      </c>
      <c r="D1783" s="20" t="s">
        <v>5</v>
      </c>
      <c r="E1783" s="20" t="s">
        <v>6</v>
      </c>
      <c r="F1783" s="18">
        <v>1</v>
      </c>
      <c r="G1783" s="19">
        <v>7966</v>
      </c>
      <c r="H1783" s="32">
        <v>1</v>
      </c>
      <c r="I1783" s="25">
        <f t="shared" si="103"/>
        <v>7966</v>
      </c>
      <c r="J1783" s="40"/>
      <c r="K1783" s="39"/>
      <c r="L1783" s="39"/>
      <c r="M1783" s="39"/>
      <c r="N1783" s="23"/>
      <c r="O1783" s="39"/>
      <c r="P1783" s="39"/>
      <c r="Q1783" s="39"/>
      <c r="R1783" s="39"/>
    </row>
    <row r="1784" spans="1:18" s="2" customFormat="1" ht="26.4">
      <c r="A1784" s="20">
        <f t="shared" si="106"/>
        <v>1664</v>
      </c>
      <c r="B1784" s="17" t="s">
        <v>2631</v>
      </c>
      <c r="C1784" s="17" t="s">
        <v>2632</v>
      </c>
      <c r="D1784" s="20" t="s">
        <v>5</v>
      </c>
      <c r="E1784" s="20" t="s">
        <v>6</v>
      </c>
      <c r="F1784" s="18">
        <v>1</v>
      </c>
      <c r="G1784" s="19">
        <v>4600</v>
      </c>
      <c r="H1784" s="32">
        <v>7</v>
      </c>
      <c r="I1784" s="25">
        <f t="shared" si="103"/>
        <v>32200</v>
      </c>
      <c r="J1784" s="40"/>
      <c r="K1784" s="39"/>
      <c r="L1784" s="39"/>
      <c r="M1784" s="39"/>
      <c r="N1784" s="23"/>
      <c r="O1784" s="39"/>
      <c r="P1784" s="39"/>
      <c r="Q1784" s="39"/>
      <c r="R1784" s="39"/>
    </row>
    <row r="1785" spans="1:18" s="2" customFormat="1" ht="26.4">
      <c r="A1785" s="20">
        <f t="shared" si="106"/>
        <v>1665</v>
      </c>
      <c r="B1785" s="17" t="s">
        <v>2633</v>
      </c>
      <c r="C1785" s="17" t="s">
        <v>2634</v>
      </c>
      <c r="D1785" s="20" t="s">
        <v>5</v>
      </c>
      <c r="E1785" s="20" t="s">
        <v>6</v>
      </c>
      <c r="F1785" s="18">
        <v>1</v>
      </c>
      <c r="G1785" s="19">
        <v>1010</v>
      </c>
      <c r="H1785" s="32">
        <v>14</v>
      </c>
      <c r="I1785" s="25">
        <f t="shared" si="103"/>
        <v>14140</v>
      </c>
      <c r="J1785" s="40"/>
      <c r="K1785" s="39"/>
      <c r="L1785" s="39"/>
      <c r="M1785" s="39"/>
      <c r="N1785" s="23"/>
      <c r="O1785" s="39"/>
      <c r="P1785" s="39"/>
      <c r="Q1785" s="39"/>
      <c r="R1785" s="39"/>
    </row>
    <row r="1786" spans="1:18" s="2" customFormat="1" ht="14.4">
      <c r="A1786" s="20">
        <f t="shared" si="106"/>
        <v>1666</v>
      </c>
      <c r="B1786" s="17" t="s">
        <v>2635</v>
      </c>
      <c r="C1786" s="17" t="s">
        <v>2636</v>
      </c>
      <c r="D1786" s="20" t="s">
        <v>5</v>
      </c>
      <c r="E1786" s="20" t="s">
        <v>6</v>
      </c>
      <c r="F1786" s="18">
        <v>1</v>
      </c>
      <c r="G1786" s="19">
        <v>9.3000000000000007</v>
      </c>
      <c r="H1786" s="32">
        <v>800</v>
      </c>
      <c r="I1786" s="25">
        <f t="shared" si="103"/>
        <v>7440.0000000000009</v>
      </c>
      <c r="J1786" s="40"/>
      <c r="K1786" s="39"/>
      <c r="L1786" s="39"/>
      <c r="M1786" s="39"/>
      <c r="N1786" s="23"/>
      <c r="O1786" s="39"/>
      <c r="P1786" s="39"/>
      <c r="Q1786" s="39"/>
      <c r="R1786" s="39"/>
    </row>
    <row r="1787" spans="1:18" s="2" customFormat="1" ht="26.4">
      <c r="A1787" s="20">
        <f t="shared" si="106"/>
        <v>1667</v>
      </c>
      <c r="B1787" s="17" t="s">
        <v>2637</v>
      </c>
      <c r="C1787" s="17" t="s">
        <v>2638</v>
      </c>
      <c r="D1787" s="20" t="s">
        <v>5</v>
      </c>
      <c r="E1787" s="20" t="s">
        <v>6</v>
      </c>
      <c r="F1787" s="18">
        <v>1</v>
      </c>
      <c r="G1787" s="19">
        <v>5680</v>
      </c>
      <c r="H1787" s="32">
        <v>14</v>
      </c>
      <c r="I1787" s="25">
        <f t="shared" si="103"/>
        <v>79520</v>
      </c>
      <c r="J1787" s="40"/>
      <c r="K1787" s="39"/>
      <c r="L1787" s="39"/>
      <c r="M1787" s="39"/>
      <c r="N1787" s="23"/>
      <c r="O1787" s="39"/>
      <c r="P1787" s="39"/>
      <c r="Q1787" s="39"/>
      <c r="R1787" s="39"/>
    </row>
    <row r="1788" spans="1:18" s="2" customFormat="1" ht="26.4">
      <c r="A1788" s="20"/>
      <c r="B1788" s="17" t="s">
        <v>2639</v>
      </c>
      <c r="C1788" s="17" t="s">
        <v>2640</v>
      </c>
      <c r="D1788" s="20" t="s">
        <v>5</v>
      </c>
      <c r="E1788" s="20" t="s">
        <v>6</v>
      </c>
      <c r="F1788" s="18">
        <v>1</v>
      </c>
      <c r="G1788" s="19">
        <v>2180</v>
      </c>
      <c r="H1788" s="32">
        <v>1</v>
      </c>
      <c r="I1788" s="25">
        <f t="shared" si="103"/>
        <v>2180</v>
      </c>
      <c r="J1788" s="40"/>
      <c r="K1788" s="39"/>
      <c r="L1788" s="39"/>
      <c r="M1788" s="39"/>
      <c r="N1788" s="23"/>
      <c r="O1788" s="39"/>
      <c r="P1788" s="39"/>
      <c r="Q1788" s="39"/>
      <c r="R1788" s="39"/>
    </row>
    <row r="1789" spans="1:18" s="2" customFormat="1" ht="30" customHeight="1">
      <c r="A1789" s="20">
        <f>A1787+1</f>
        <v>1668</v>
      </c>
      <c r="B1789" s="82" t="s">
        <v>2641</v>
      </c>
      <c r="C1789" s="17" t="s">
        <v>2642</v>
      </c>
      <c r="D1789" s="20" t="s">
        <v>5</v>
      </c>
      <c r="E1789" s="20" t="s">
        <v>6</v>
      </c>
      <c r="F1789" s="18">
        <v>1</v>
      </c>
      <c r="G1789" s="19">
        <v>1300</v>
      </c>
      <c r="H1789" s="32">
        <v>1</v>
      </c>
      <c r="I1789" s="25">
        <f t="shared" si="103"/>
        <v>1300</v>
      </c>
      <c r="J1789" s="40"/>
      <c r="K1789" s="39"/>
      <c r="L1789" s="39"/>
      <c r="M1789" s="39"/>
      <c r="N1789" s="23"/>
      <c r="O1789" s="39"/>
      <c r="P1789" s="39"/>
      <c r="Q1789" s="39"/>
      <c r="R1789" s="39"/>
    </row>
    <row r="1790" spans="1:18" s="2" customFormat="1" ht="39.6">
      <c r="A1790" s="20">
        <f>A1789+1</f>
        <v>1669</v>
      </c>
      <c r="B1790" s="17" t="s">
        <v>2643</v>
      </c>
      <c r="C1790" s="17" t="s">
        <v>2644</v>
      </c>
      <c r="D1790" s="20" t="s">
        <v>5</v>
      </c>
      <c r="E1790" s="20" t="s">
        <v>6</v>
      </c>
      <c r="F1790" s="18">
        <v>1</v>
      </c>
      <c r="G1790" s="19">
        <v>239</v>
      </c>
      <c r="H1790" s="32">
        <v>60</v>
      </c>
      <c r="I1790" s="25">
        <f t="shared" si="103"/>
        <v>14340</v>
      </c>
      <c r="J1790" s="40"/>
      <c r="K1790" s="39"/>
      <c r="L1790" s="39"/>
      <c r="M1790" s="39"/>
      <c r="N1790" s="23"/>
      <c r="O1790" s="39"/>
      <c r="P1790" s="39"/>
      <c r="Q1790" s="39"/>
      <c r="R1790" s="39"/>
    </row>
    <row r="1791" spans="1:18" s="2" customFormat="1" ht="26.4">
      <c r="A1791" s="20">
        <f t="shared" ref="A1791:A1804" si="107">A1790+1</f>
        <v>1670</v>
      </c>
      <c r="B1791" s="17" t="s">
        <v>2645</v>
      </c>
      <c r="C1791" s="17" t="s">
        <v>2646</v>
      </c>
      <c r="D1791" s="20" t="s">
        <v>5</v>
      </c>
      <c r="E1791" s="20" t="s">
        <v>6</v>
      </c>
      <c r="F1791" s="18">
        <v>1</v>
      </c>
      <c r="G1791" s="19">
        <v>60</v>
      </c>
      <c r="H1791" s="32">
        <v>60</v>
      </c>
      <c r="I1791" s="25">
        <f t="shared" si="103"/>
        <v>3600</v>
      </c>
      <c r="J1791" s="40"/>
      <c r="K1791" s="39"/>
      <c r="L1791" s="39"/>
      <c r="M1791" s="39"/>
      <c r="N1791" s="23"/>
      <c r="O1791" s="39"/>
      <c r="P1791" s="39"/>
      <c r="Q1791" s="39"/>
      <c r="R1791" s="39"/>
    </row>
    <row r="1792" spans="1:18" s="2" customFormat="1" ht="14.4">
      <c r="A1792" s="20">
        <f t="shared" si="107"/>
        <v>1671</v>
      </c>
      <c r="B1792" s="17" t="s">
        <v>2647</v>
      </c>
      <c r="C1792" s="17" t="s">
        <v>2648</v>
      </c>
      <c r="D1792" s="20" t="s">
        <v>5</v>
      </c>
      <c r="E1792" s="20" t="s">
        <v>6</v>
      </c>
      <c r="F1792" s="18">
        <v>1</v>
      </c>
      <c r="G1792" s="19">
        <v>33</v>
      </c>
      <c r="H1792" s="32">
        <v>60</v>
      </c>
      <c r="I1792" s="25">
        <f t="shared" si="103"/>
        <v>1980</v>
      </c>
      <c r="J1792" s="40"/>
      <c r="K1792" s="39"/>
      <c r="L1792" s="39"/>
      <c r="M1792" s="39"/>
      <c r="N1792" s="23"/>
      <c r="O1792" s="39"/>
      <c r="P1792" s="39"/>
      <c r="Q1792" s="39"/>
      <c r="R1792" s="39"/>
    </row>
    <row r="1793" spans="1:18" s="2" customFormat="1" ht="26.4">
      <c r="A1793" s="20">
        <f t="shared" si="107"/>
        <v>1672</v>
      </c>
      <c r="B1793" s="17" t="s">
        <v>2649</v>
      </c>
      <c r="C1793" s="17" t="s">
        <v>2650</v>
      </c>
      <c r="D1793" s="20" t="s">
        <v>5</v>
      </c>
      <c r="E1793" s="20" t="s">
        <v>6</v>
      </c>
      <c r="F1793" s="18">
        <v>1</v>
      </c>
      <c r="G1793" s="19">
        <v>86</v>
      </c>
      <c r="H1793" s="32">
        <v>216</v>
      </c>
      <c r="I1793" s="25">
        <f t="shared" si="103"/>
        <v>18576</v>
      </c>
      <c r="J1793" s="40"/>
      <c r="K1793" s="39"/>
      <c r="L1793" s="39"/>
      <c r="M1793" s="39"/>
      <c r="N1793" s="23"/>
      <c r="O1793" s="39"/>
      <c r="P1793" s="39"/>
      <c r="Q1793" s="39"/>
      <c r="R1793" s="39"/>
    </row>
    <row r="1794" spans="1:18" s="2" customFormat="1" ht="26.4">
      <c r="A1794" s="20">
        <f t="shared" si="107"/>
        <v>1673</v>
      </c>
      <c r="B1794" s="17" t="s">
        <v>2651</v>
      </c>
      <c r="C1794" s="17" t="s">
        <v>2652</v>
      </c>
      <c r="D1794" s="20" t="s">
        <v>5</v>
      </c>
      <c r="E1794" s="20" t="s">
        <v>6</v>
      </c>
      <c r="F1794" s="18">
        <v>1</v>
      </c>
      <c r="G1794" s="19">
        <v>87</v>
      </c>
      <c r="H1794" s="32">
        <v>432</v>
      </c>
      <c r="I1794" s="25">
        <f t="shared" si="103"/>
        <v>37584</v>
      </c>
      <c r="J1794" s="40"/>
      <c r="K1794" s="39"/>
      <c r="L1794" s="39"/>
      <c r="M1794" s="39"/>
      <c r="N1794" s="23"/>
      <c r="O1794" s="39"/>
      <c r="P1794" s="39"/>
      <c r="Q1794" s="39"/>
      <c r="R1794" s="39"/>
    </row>
    <row r="1795" spans="1:18" s="2" customFormat="1" ht="26.4">
      <c r="A1795" s="20">
        <f t="shared" si="107"/>
        <v>1674</v>
      </c>
      <c r="B1795" s="17" t="s">
        <v>2653</v>
      </c>
      <c r="C1795" s="17" t="s">
        <v>2654</v>
      </c>
      <c r="D1795" s="20" t="s">
        <v>5</v>
      </c>
      <c r="E1795" s="20" t="s">
        <v>6</v>
      </c>
      <c r="F1795" s="18">
        <v>1</v>
      </c>
      <c r="G1795" s="19">
        <v>390</v>
      </c>
      <c r="H1795" s="32">
        <v>216</v>
      </c>
      <c r="I1795" s="25">
        <f t="shared" si="103"/>
        <v>84240</v>
      </c>
      <c r="J1795" s="40"/>
      <c r="K1795" s="39"/>
      <c r="L1795" s="39"/>
      <c r="M1795" s="39"/>
      <c r="N1795" s="23"/>
      <c r="O1795" s="39"/>
      <c r="P1795" s="39"/>
      <c r="Q1795" s="39"/>
      <c r="R1795" s="39"/>
    </row>
    <row r="1796" spans="1:18" s="2" customFormat="1" ht="26.4">
      <c r="A1796" s="20">
        <f t="shared" si="107"/>
        <v>1675</v>
      </c>
      <c r="B1796" s="17" t="s">
        <v>2655</v>
      </c>
      <c r="C1796" s="17" t="s">
        <v>2656</v>
      </c>
      <c r="D1796" s="20" t="s">
        <v>5</v>
      </c>
      <c r="E1796" s="20" t="s">
        <v>6</v>
      </c>
      <c r="F1796" s="18">
        <v>1</v>
      </c>
      <c r="G1796" s="19">
        <v>1300</v>
      </c>
      <c r="H1796" s="32">
        <v>8</v>
      </c>
      <c r="I1796" s="25">
        <f t="shared" si="103"/>
        <v>10400</v>
      </c>
      <c r="J1796" s="40"/>
      <c r="K1796" s="39"/>
      <c r="L1796" s="39"/>
      <c r="M1796" s="39"/>
      <c r="N1796" s="23"/>
      <c r="O1796" s="39"/>
      <c r="P1796" s="39"/>
      <c r="Q1796" s="39"/>
      <c r="R1796" s="39"/>
    </row>
    <row r="1797" spans="1:18" s="2" customFormat="1" ht="26.4">
      <c r="A1797" s="20">
        <f t="shared" si="107"/>
        <v>1676</v>
      </c>
      <c r="B1797" s="17" t="s">
        <v>2657</v>
      </c>
      <c r="C1797" s="17" t="s">
        <v>2658</v>
      </c>
      <c r="D1797" s="20" t="s">
        <v>5</v>
      </c>
      <c r="E1797" s="20" t="s">
        <v>6</v>
      </c>
      <c r="F1797" s="18">
        <v>1</v>
      </c>
      <c r="G1797" s="19">
        <v>2660</v>
      </c>
      <c r="H1797" s="32">
        <v>19</v>
      </c>
      <c r="I1797" s="25">
        <f t="shared" si="103"/>
        <v>50540</v>
      </c>
      <c r="J1797" s="40"/>
      <c r="K1797" s="39"/>
      <c r="L1797" s="39"/>
      <c r="M1797" s="39"/>
      <c r="N1797" s="23"/>
      <c r="O1797" s="39"/>
      <c r="P1797" s="39"/>
      <c r="Q1797" s="39"/>
      <c r="R1797" s="39"/>
    </row>
    <row r="1798" spans="1:18" s="2" customFormat="1" ht="39.6">
      <c r="A1798" s="20">
        <f t="shared" si="107"/>
        <v>1677</v>
      </c>
      <c r="B1798" s="17" t="s">
        <v>2659</v>
      </c>
      <c r="C1798" s="17" t="s">
        <v>2660</v>
      </c>
      <c r="D1798" s="20" t="s">
        <v>5</v>
      </c>
      <c r="E1798" s="20" t="s">
        <v>6</v>
      </c>
      <c r="F1798" s="18">
        <v>1</v>
      </c>
      <c r="G1798" s="19">
        <v>145</v>
      </c>
      <c r="H1798" s="32">
        <v>18</v>
      </c>
      <c r="I1798" s="25">
        <f t="shared" si="103"/>
        <v>2610</v>
      </c>
      <c r="J1798" s="40"/>
      <c r="K1798" s="39"/>
      <c r="L1798" s="39"/>
      <c r="M1798" s="39"/>
      <c r="N1798" s="23"/>
      <c r="O1798" s="39"/>
      <c r="P1798" s="39"/>
      <c r="Q1798" s="39"/>
      <c r="R1798" s="39"/>
    </row>
    <row r="1799" spans="1:18" s="2" customFormat="1" ht="26.4">
      <c r="A1799" s="20">
        <f t="shared" si="107"/>
        <v>1678</v>
      </c>
      <c r="B1799" s="17" t="s">
        <v>2661</v>
      </c>
      <c r="C1799" s="17" t="s">
        <v>2662</v>
      </c>
      <c r="D1799" s="20" t="s">
        <v>5</v>
      </c>
      <c r="E1799" s="20" t="s">
        <v>6</v>
      </c>
      <c r="F1799" s="18">
        <v>1</v>
      </c>
      <c r="G1799" s="19">
        <v>59</v>
      </c>
      <c r="H1799" s="32">
        <v>170</v>
      </c>
      <c r="I1799" s="25">
        <f t="shared" si="103"/>
        <v>10030</v>
      </c>
      <c r="J1799" s="40"/>
      <c r="K1799" s="39"/>
      <c r="L1799" s="39"/>
      <c r="M1799" s="39"/>
      <c r="N1799" s="23"/>
      <c r="O1799" s="39"/>
      <c r="P1799" s="39"/>
      <c r="Q1799" s="39"/>
      <c r="R1799" s="39"/>
    </row>
    <row r="1800" spans="1:18" s="2" customFormat="1" ht="39.6">
      <c r="A1800" s="20">
        <f t="shared" si="107"/>
        <v>1679</v>
      </c>
      <c r="B1800" s="17" t="s">
        <v>2663</v>
      </c>
      <c r="C1800" s="17" t="s">
        <v>2664</v>
      </c>
      <c r="D1800" s="20" t="s">
        <v>5</v>
      </c>
      <c r="E1800" s="20" t="s">
        <v>6</v>
      </c>
      <c r="F1800" s="18">
        <v>1</v>
      </c>
      <c r="G1800" s="19">
        <v>79.8</v>
      </c>
      <c r="H1800" s="32">
        <v>220</v>
      </c>
      <c r="I1800" s="25">
        <f t="shared" si="103"/>
        <v>17556</v>
      </c>
      <c r="J1800" s="40"/>
      <c r="K1800" s="39"/>
      <c r="L1800" s="39"/>
      <c r="M1800" s="39"/>
      <c r="N1800" s="23"/>
      <c r="O1800" s="39"/>
      <c r="P1800" s="39"/>
      <c r="Q1800" s="39"/>
      <c r="R1800" s="39"/>
    </row>
    <row r="1801" spans="1:18" s="2" customFormat="1" ht="14.4">
      <c r="A1801" s="20">
        <f t="shared" si="107"/>
        <v>1680</v>
      </c>
      <c r="B1801" s="17" t="s">
        <v>2665</v>
      </c>
      <c r="C1801" s="17" t="s">
        <v>2666</v>
      </c>
      <c r="D1801" s="20" t="s">
        <v>5</v>
      </c>
      <c r="E1801" s="20" t="s">
        <v>6</v>
      </c>
      <c r="F1801" s="18">
        <v>1</v>
      </c>
      <c r="G1801" s="19">
        <v>21</v>
      </c>
      <c r="H1801" s="32">
        <v>220</v>
      </c>
      <c r="I1801" s="25">
        <f t="shared" si="103"/>
        <v>4620</v>
      </c>
      <c r="J1801" s="40"/>
      <c r="K1801" s="39"/>
      <c r="L1801" s="39"/>
      <c r="M1801" s="39"/>
      <c r="N1801" s="23"/>
      <c r="O1801" s="39"/>
      <c r="P1801" s="39"/>
      <c r="Q1801" s="39"/>
      <c r="R1801" s="39"/>
    </row>
    <row r="1802" spans="1:18" s="2" customFormat="1" ht="14.4">
      <c r="A1802" s="20">
        <f t="shared" si="107"/>
        <v>1681</v>
      </c>
      <c r="B1802" s="17" t="s">
        <v>2667</v>
      </c>
      <c r="C1802" s="17" t="s">
        <v>2668</v>
      </c>
      <c r="D1802" s="20" t="s">
        <v>5</v>
      </c>
      <c r="E1802" s="20" t="s">
        <v>6</v>
      </c>
      <c r="F1802" s="18">
        <v>1</v>
      </c>
      <c r="G1802" s="19">
        <v>9</v>
      </c>
      <c r="H1802" s="32">
        <v>220</v>
      </c>
      <c r="I1802" s="25">
        <f t="shared" si="103"/>
        <v>1980</v>
      </c>
      <c r="J1802" s="40"/>
      <c r="K1802" s="39"/>
      <c r="L1802" s="39"/>
      <c r="M1802" s="39"/>
      <c r="N1802" s="23"/>
      <c r="O1802" s="39"/>
      <c r="P1802" s="39"/>
      <c r="Q1802" s="39"/>
      <c r="R1802" s="39"/>
    </row>
    <row r="1803" spans="1:18" s="2" customFormat="1" ht="26.4">
      <c r="A1803" s="20">
        <f t="shared" si="107"/>
        <v>1682</v>
      </c>
      <c r="B1803" s="17" t="s">
        <v>2669</v>
      </c>
      <c r="C1803" s="17" t="s">
        <v>2670</v>
      </c>
      <c r="D1803" s="20" t="s">
        <v>5</v>
      </c>
      <c r="E1803" s="20" t="s">
        <v>6</v>
      </c>
      <c r="F1803" s="18">
        <v>1</v>
      </c>
      <c r="G1803" s="19">
        <v>21.5</v>
      </c>
      <c r="H1803" s="32">
        <v>141</v>
      </c>
      <c r="I1803" s="25">
        <f t="shared" ref="I1803:I1865" si="108">G1803*H1803</f>
        <v>3031.5</v>
      </c>
      <c r="J1803" s="40"/>
      <c r="K1803" s="39"/>
      <c r="L1803" s="39"/>
      <c r="M1803" s="39"/>
      <c r="N1803" s="23"/>
      <c r="O1803" s="39"/>
      <c r="P1803" s="39"/>
      <c r="Q1803" s="39"/>
      <c r="R1803" s="39"/>
    </row>
    <row r="1804" spans="1:18" s="2" customFormat="1" ht="26.4">
      <c r="A1804" s="20">
        <f t="shared" si="107"/>
        <v>1683</v>
      </c>
      <c r="B1804" s="17" t="s">
        <v>2671</v>
      </c>
      <c r="C1804" s="17" t="s">
        <v>2672</v>
      </c>
      <c r="D1804" s="20" t="s">
        <v>5</v>
      </c>
      <c r="E1804" s="20" t="s">
        <v>6</v>
      </c>
      <c r="F1804" s="18">
        <v>1</v>
      </c>
      <c r="G1804" s="19">
        <v>92</v>
      </c>
      <c r="H1804" s="32">
        <v>375</v>
      </c>
      <c r="I1804" s="25">
        <f t="shared" si="108"/>
        <v>34500</v>
      </c>
      <c r="J1804" s="40"/>
      <c r="K1804" s="39"/>
      <c r="L1804" s="39"/>
      <c r="M1804" s="39"/>
      <c r="N1804" s="23"/>
      <c r="O1804" s="39"/>
      <c r="P1804" s="39"/>
      <c r="Q1804" s="39"/>
      <c r="R1804" s="39"/>
    </row>
    <row r="1805" spans="1:18" ht="26.4">
      <c r="A1805" s="9" t="s">
        <v>61</v>
      </c>
      <c r="B1805" s="13" t="s">
        <v>2673</v>
      </c>
      <c r="C1805" s="13" t="s">
        <v>2674</v>
      </c>
      <c r="D1805" s="14"/>
      <c r="E1805" s="14"/>
      <c r="F1805" s="18"/>
      <c r="G1805" s="19"/>
      <c r="H1805" s="15"/>
      <c r="I1805" s="25"/>
      <c r="J1805" s="24"/>
      <c r="K1805" s="22"/>
      <c r="L1805" s="22"/>
      <c r="M1805" s="22"/>
      <c r="N1805" s="23"/>
      <c r="O1805" s="22"/>
      <c r="P1805" s="22"/>
      <c r="Q1805" s="22"/>
      <c r="R1805" s="22"/>
    </row>
    <row r="1806" spans="1:18" ht="14.4">
      <c r="A1806" s="9" t="s">
        <v>61</v>
      </c>
      <c r="B1806" s="13" t="s">
        <v>2675</v>
      </c>
      <c r="C1806" s="13" t="s">
        <v>2676</v>
      </c>
      <c r="D1806" s="14"/>
      <c r="E1806" s="14"/>
      <c r="F1806" s="18"/>
      <c r="G1806" s="19"/>
      <c r="H1806" s="15"/>
      <c r="I1806" s="25"/>
      <c r="J1806" s="24"/>
      <c r="K1806" s="22"/>
      <c r="L1806" s="22"/>
      <c r="M1806" s="22"/>
      <c r="N1806" s="23"/>
      <c r="O1806" s="22"/>
      <c r="P1806" s="22"/>
      <c r="Q1806" s="22"/>
      <c r="R1806" s="22"/>
    </row>
    <row r="1807" spans="1:18" s="2" customFormat="1" ht="26.4">
      <c r="A1807" s="20">
        <f>A1804+1</f>
        <v>1684</v>
      </c>
      <c r="B1807" s="17" t="s">
        <v>2677</v>
      </c>
      <c r="C1807" s="17" t="s">
        <v>2678</v>
      </c>
      <c r="D1807" s="20" t="s">
        <v>2679</v>
      </c>
      <c r="E1807" s="20" t="s">
        <v>2680</v>
      </c>
      <c r="F1807" s="18">
        <v>1</v>
      </c>
      <c r="G1807" s="19">
        <f>1.633198857*177.35</f>
        <v>289.64781728894997</v>
      </c>
      <c r="H1807" s="32">
        <v>60</v>
      </c>
      <c r="I1807" s="25">
        <f t="shared" si="108"/>
        <v>17378.869037336997</v>
      </c>
      <c r="J1807" s="40"/>
      <c r="K1807" s="39"/>
      <c r="L1807" s="39"/>
      <c r="M1807" s="39"/>
      <c r="N1807" s="23"/>
      <c r="O1807" s="39"/>
      <c r="P1807" s="39"/>
      <c r="Q1807" s="39"/>
      <c r="R1807" s="39"/>
    </row>
    <row r="1808" spans="1:18" s="2" customFormat="1" ht="26.4">
      <c r="A1808" s="20">
        <f>A1807+1</f>
        <v>1685</v>
      </c>
      <c r="B1808" s="17" t="s">
        <v>2681</v>
      </c>
      <c r="C1808" s="17" t="s">
        <v>2682</v>
      </c>
      <c r="D1808" s="20" t="s">
        <v>2679</v>
      </c>
      <c r="E1808" s="20" t="s">
        <v>2683</v>
      </c>
      <c r="F1808" s="18">
        <v>1</v>
      </c>
      <c r="G1808" s="19">
        <f>1.633198857*472.83</f>
        <v>772.22541555530995</v>
      </c>
      <c r="H1808" s="32">
        <v>15</v>
      </c>
      <c r="I1808" s="25">
        <f t="shared" si="108"/>
        <v>11583.38123332965</v>
      </c>
      <c r="J1808" s="40"/>
      <c r="K1808" s="39"/>
      <c r="L1808" s="39"/>
      <c r="M1808" s="39"/>
      <c r="N1808" s="23"/>
      <c r="O1808" s="39"/>
      <c r="P1808" s="39"/>
      <c r="Q1808" s="39"/>
      <c r="R1808" s="39"/>
    </row>
    <row r="1809" spans="1:18" s="2" customFormat="1" ht="39.6">
      <c r="A1809" s="20">
        <f>A1808+1</f>
        <v>1686</v>
      </c>
      <c r="B1809" s="17" t="s">
        <v>2684</v>
      </c>
      <c r="C1809" s="17" t="s">
        <v>2685</v>
      </c>
      <c r="D1809" s="20" t="s">
        <v>2686</v>
      </c>
      <c r="E1809" s="20" t="s">
        <v>2687</v>
      </c>
      <c r="F1809" s="18">
        <v>1</v>
      </c>
      <c r="G1809" s="19">
        <f>1.633198857*118.23</f>
        <v>193.09310086311001</v>
      </c>
      <c r="H1809" s="32">
        <v>50</v>
      </c>
      <c r="I1809" s="25">
        <f t="shared" si="108"/>
        <v>9654.6550431555006</v>
      </c>
      <c r="J1809" s="40"/>
      <c r="K1809" s="39"/>
      <c r="L1809" s="39"/>
      <c r="M1809" s="39"/>
      <c r="N1809" s="23"/>
      <c r="O1809" s="39"/>
      <c r="P1809" s="39"/>
      <c r="Q1809" s="39"/>
      <c r="R1809" s="39"/>
    </row>
    <row r="1810" spans="1:18" s="2" customFormat="1" ht="39.6">
      <c r="A1810" s="20">
        <f>A1809+1</f>
        <v>1687</v>
      </c>
      <c r="B1810" s="17" t="s">
        <v>2688</v>
      </c>
      <c r="C1810" s="17" t="s">
        <v>2689</v>
      </c>
      <c r="D1810" s="20" t="s">
        <v>2679</v>
      </c>
      <c r="E1810" s="20" t="s">
        <v>2683</v>
      </c>
      <c r="F1810" s="18">
        <v>1</v>
      </c>
      <c r="G1810" s="19">
        <f>1.633198857*236.46</f>
        <v>386.18620172622002</v>
      </c>
      <c r="H1810" s="32">
        <v>25</v>
      </c>
      <c r="I1810" s="25">
        <f t="shared" si="108"/>
        <v>9654.6550431555006</v>
      </c>
      <c r="J1810" s="40"/>
      <c r="K1810" s="39"/>
      <c r="L1810" s="39"/>
      <c r="M1810" s="39"/>
      <c r="N1810" s="23"/>
      <c r="O1810" s="39"/>
      <c r="P1810" s="39"/>
      <c r="Q1810" s="39"/>
      <c r="R1810" s="39"/>
    </row>
    <row r="1811" spans="1:18" s="2" customFormat="1" ht="26.4">
      <c r="A1811" s="20">
        <f>A1810+1</f>
        <v>1688</v>
      </c>
      <c r="B1811" s="17" t="s">
        <v>2690</v>
      </c>
      <c r="C1811" s="17" t="s">
        <v>2691</v>
      </c>
      <c r="D1811" s="20" t="s">
        <v>2679</v>
      </c>
      <c r="E1811" s="20" t="s">
        <v>2680</v>
      </c>
      <c r="F1811" s="18">
        <v>1</v>
      </c>
      <c r="G1811" s="19">
        <f>1.633198857*11.82</f>
        <v>19.30441048974</v>
      </c>
      <c r="H1811" s="32">
        <v>80</v>
      </c>
      <c r="I1811" s="25">
        <f t="shared" si="108"/>
        <v>1544.3528391792001</v>
      </c>
      <c r="J1811" s="40"/>
      <c r="K1811" s="39"/>
      <c r="L1811" s="39"/>
      <c r="M1811" s="39"/>
      <c r="N1811" s="23"/>
      <c r="O1811" s="39"/>
      <c r="P1811" s="39"/>
      <c r="Q1811" s="39"/>
      <c r="R1811" s="39"/>
    </row>
    <row r="1812" spans="1:18" ht="26.4">
      <c r="A1812" s="9" t="s">
        <v>61</v>
      </c>
      <c r="B1812" s="13" t="s">
        <v>2692</v>
      </c>
      <c r="C1812" s="13" t="s">
        <v>2693</v>
      </c>
      <c r="D1812" s="14"/>
      <c r="E1812" s="14"/>
      <c r="F1812" s="18"/>
      <c r="G1812" s="19"/>
      <c r="H1812" s="15"/>
      <c r="I1812" s="25"/>
      <c r="J1812" s="24"/>
      <c r="K1812" s="22"/>
      <c r="L1812" s="22"/>
      <c r="M1812" s="22"/>
      <c r="N1812" s="23"/>
      <c r="O1812" s="22"/>
      <c r="P1812" s="22"/>
      <c r="Q1812" s="22"/>
      <c r="R1812" s="22"/>
    </row>
    <row r="1813" spans="1:18" s="2" customFormat="1" ht="39.6">
      <c r="A1813" s="20">
        <f>A1811+1</f>
        <v>1689</v>
      </c>
      <c r="B1813" s="17" t="s">
        <v>2694</v>
      </c>
      <c r="C1813" s="17" t="s">
        <v>2695</v>
      </c>
      <c r="D1813" s="20" t="s">
        <v>5</v>
      </c>
      <c r="E1813" s="20" t="s">
        <v>6</v>
      </c>
      <c r="F1813" s="18">
        <v>1</v>
      </c>
      <c r="G1813" s="19">
        <f>1.633198857*997.15</f>
        <v>1628.54424025755</v>
      </c>
      <c r="H1813" s="32">
        <v>1</v>
      </c>
      <c r="I1813" s="25">
        <f t="shared" si="108"/>
        <v>1628.54424025755</v>
      </c>
      <c r="J1813" s="40"/>
      <c r="K1813" s="39"/>
      <c r="L1813" s="39"/>
      <c r="M1813" s="39"/>
      <c r="N1813" s="23"/>
      <c r="O1813" s="39"/>
      <c r="P1813" s="39"/>
      <c r="Q1813" s="39"/>
      <c r="R1813" s="39"/>
    </row>
    <row r="1814" spans="1:18" s="2" customFormat="1" ht="14.4">
      <c r="A1814" s="20">
        <f>A1813+1</f>
        <v>1690</v>
      </c>
      <c r="B1814" s="17" t="s">
        <v>2696</v>
      </c>
      <c r="C1814" s="17" t="s">
        <v>2697</v>
      </c>
      <c r="D1814" s="20" t="s">
        <v>5</v>
      </c>
      <c r="E1814" s="20" t="s">
        <v>6</v>
      </c>
      <c r="F1814" s="18">
        <v>1</v>
      </c>
      <c r="G1814" s="19">
        <f>1.633198857*2843.86</f>
        <v>4644.5889014680206</v>
      </c>
      <c r="H1814" s="32">
        <v>2</v>
      </c>
      <c r="I1814" s="25">
        <f t="shared" si="108"/>
        <v>9289.1778029360412</v>
      </c>
      <c r="J1814" s="40"/>
      <c r="K1814" s="39"/>
      <c r="L1814" s="39"/>
      <c r="M1814" s="39"/>
      <c r="N1814" s="23"/>
      <c r="O1814" s="39"/>
      <c r="P1814" s="39"/>
      <c r="Q1814" s="39"/>
      <c r="R1814" s="39"/>
    </row>
    <row r="1815" spans="1:18" s="2" customFormat="1" ht="14.4">
      <c r="A1815" s="20">
        <f t="shared" ref="A1815:A1828" si="109">A1814+1</f>
        <v>1691</v>
      </c>
      <c r="B1815" s="17" t="s">
        <v>2698</v>
      </c>
      <c r="C1815" s="17" t="s">
        <v>2699</v>
      </c>
      <c r="D1815" s="20" t="s">
        <v>5</v>
      </c>
      <c r="E1815" s="20" t="s">
        <v>6</v>
      </c>
      <c r="F1815" s="18">
        <v>1</v>
      </c>
      <c r="G1815" s="19">
        <f>1.633198857*78.42</f>
        <v>128.07545436594</v>
      </c>
      <c r="H1815" s="32">
        <v>35</v>
      </c>
      <c r="I1815" s="25">
        <f t="shared" si="108"/>
        <v>4482.6409028078997</v>
      </c>
      <c r="J1815" s="40"/>
      <c r="K1815" s="39"/>
      <c r="L1815" s="39"/>
      <c r="M1815" s="39"/>
      <c r="N1815" s="23"/>
      <c r="O1815" s="39"/>
      <c r="P1815" s="39"/>
      <c r="Q1815" s="39"/>
      <c r="R1815" s="39"/>
    </row>
    <row r="1816" spans="1:18" s="2" customFormat="1" ht="14.4">
      <c r="A1816" s="20">
        <f t="shared" si="109"/>
        <v>1692</v>
      </c>
      <c r="B1816" s="17" t="s">
        <v>2700</v>
      </c>
      <c r="C1816" s="17" t="s">
        <v>2701</v>
      </c>
      <c r="D1816" s="20" t="s">
        <v>5</v>
      </c>
      <c r="E1816" s="20" t="s">
        <v>6</v>
      </c>
      <c r="F1816" s="18">
        <v>1</v>
      </c>
      <c r="G1816" s="19">
        <f>93.57</f>
        <v>93.57</v>
      </c>
      <c r="H1816" s="32">
        <v>35</v>
      </c>
      <c r="I1816" s="25">
        <f t="shared" si="108"/>
        <v>3274.95</v>
      </c>
      <c r="J1816" s="40"/>
      <c r="K1816" s="39"/>
      <c r="L1816" s="39"/>
      <c r="M1816" s="39"/>
      <c r="N1816" s="23"/>
      <c r="O1816" s="39"/>
      <c r="P1816" s="39"/>
      <c r="Q1816" s="39"/>
      <c r="R1816" s="39"/>
    </row>
    <row r="1817" spans="1:18" s="2" customFormat="1" ht="39.6">
      <c r="A1817" s="20">
        <f t="shared" si="109"/>
        <v>1693</v>
      </c>
      <c r="B1817" s="17" t="s">
        <v>2702</v>
      </c>
      <c r="C1817" s="17" t="s">
        <v>2703</v>
      </c>
      <c r="D1817" s="20" t="s">
        <v>5</v>
      </c>
      <c r="E1817" s="20" t="s">
        <v>6</v>
      </c>
      <c r="F1817" s="18">
        <v>1</v>
      </c>
      <c r="G1817" s="19">
        <f>1.633198857*561.83</f>
        <v>917.58011382831012</v>
      </c>
      <c r="H1817" s="32">
        <v>10</v>
      </c>
      <c r="I1817" s="25">
        <f t="shared" si="108"/>
        <v>9175.801138283101</v>
      </c>
      <c r="J1817" s="40"/>
      <c r="K1817" s="39"/>
      <c r="L1817" s="39"/>
      <c r="M1817" s="39"/>
      <c r="N1817" s="23"/>
      <c r="O1817" s="39"/>
      <c r="P1817" s="39"/>
      <c r="Q1817" s="39"/>
      <c r="R1817" s="39"/>
    </row>
    <row r="1818" spans="1:18" s="2" customFormat="1" ht="14.4">
      <c r="A1818" s="20">
        <f t="shared" si="109"/>
        <v>1694</v>
      </c>
      <c r="B1818" s="17" t="s">
        <v>2591</v>
      </c>
      <c r="C1818" s="17" t="s">
        <v>2592</v>
      </c>
      <c r="D1818" s="20" t="s">
        <v>2593</v>
      </c>
      <c r="E1818" s="20" t="s">
        <v>63</v>
      </c>
      <c r="F1818" s="18">
        <v>1</v>
      </c>
      <c r="G1818" s="19">
        <f>1.633198857*605.98</f>
        <v>989.68584336486003</v>
      </c>
      <c r="H1818" s="32">
        <v>5</v>
      </c>
      <c r="I1818" s="25">
        <f t="shared" si="108"/>
        <v>4948.4292168243001</v>
      </c>
      <c r="J1818" s="40"/>
      <c r="K1818" s="39"/>
      <c r="L1818" s="39"/>
      <c r="M1818" s="39"/>
      <c r="N1818" s="23"/>
      <c r="O1818" s="39"/>
      <c r="P1818" s="39"/>
      <c r="Q1818" s="39"/>
      <c r="R1818" s="39"/>
    </row>
    <row r="1819" spans="1:18" s="2" customFormat="1" ht="14.4">
      <c r="A1819" s="20">
        <f t="shared" si="109"/>
        <v>1695</v>
      </c>
      <c r="B1819" s="17" t="s">
        <v>2704</v>
      </c>
      <c r="C1819" s="17" t="s">
        <v>2705</v>
      </c>
      <c r="D1819" s="9" t="s">
        <v>769</v>
      </c>
      <c r="E1819" s="20" t="s">
        <v>2706</v>
      </c>
      <c r="F1819" s="18">
        <v>1</v>
      </c>
      <c r="G1819" s="19">
        <v>8639.2800000000007</v>
      </c>
      <c r="H1819" s="32">
        <v>2</v>
      </c>
      <c r="I1819" s="25">
        <f t="shared" si="108"/>
        <v>17278.560000000001</v>
      </c>
      <c r="J1819" s="40"/>
      <c r="K1819" s="39"/>
      <c r="L1819" s="39"/>
      <c r="M1819" s="39"/>
      <c r="N1819" s="23"/>
      <c r="O1819" s="39"/>
      <c r="P1819" s="39"/>
      <c r="Q1819" s="39"/>
      <c r="R1819" s="39"/>
    </row>
    <row r="1820" spans="1:18" s="2" customFormat="1" ht="14.4">
      <c r="A1820" s="20">
        <f t="shared" si="109"/>
        <v>1696</v>
      </c>
      <c r="B1820" s="17" t="s">
        <v>2707</v>
      </c>
      <c r="C1820" s="17" t="s">
        <v>2708</v>
      </c>
      <c r="D1820" s="9" t="s">
        <v>25</v>
      </c>
      <c r="E1820" s="20" t="s">
        <v>26</v>
      </c>
      <c r="F1820" s="18">
        <v>1</v>
      </c>
      <c r="G1820" s="19">
        <v>29.3</v>
      </c>
      <c r="H1820" s="32">
        <v>200</v>
      </c>
      <c r="I1820" s="25">
        <f t="shared" si="108"/>
        <v>5860</v>
      </c>
      <c r="J1820" s="40"/>
      <c r="K1820" s="39"/>
      <c r="L1820" s="39"/>
      <c r="M1820" s="39"/>
      <c r="N1820" s="23"/>
      <c r="O1820" s="39"/>
      <c r="P1820" s="39"/>
      <c r="Q1820" s="39"/>
      <c r="R1820" s="39"/>
    </row>
    <row r="1821" spans="1:18" s="2" customFormat="1" ht="52.8">
      <c r="A1821" s="20">
        <f t="shared" si="109"/>
        <v>1697</v>
      </c>
      <c r="B1821" s="17" t="s">
        <v>2709</v>
      </c>
      <c r="C1821" s="17" t="s">
        <v>2710</v>
      </c>
      <c r="D1821" s="9" t="s">
        <v>769</v>
      </c>
      <c r="E1821" s="20" t="s">
        <v>2706</v>
      </c>
      <c r="F1821" s="18">
        <v>1</v>
      </c>
      <c r="G1821" s="19">
        <f>1.633198857*30.98</f>
        <v>50.59650058986</v>
      </c>
      <c r="H1821" s="32">
        <v>10</v>
      </c>
      <c r="I1821" s="25">
        <f t="shared" si="108"/>
        <v>505.9650058986</v>
      </c>
      <c r="J1821" s="40"/>
      <c r="K1821" s="39"/>
      <c r="L1821" s="39"/>
      <c r="M1821" s="39"/>
      <c r="N1821" s="23"/>
      <c r="O1821" s="39"/>
      <c r="P1821" s="39"/>
      <c r="Q1821" s="39"/>
      <c r="R1821" s="39"/>
    </row>
    <row r="1822" spans="1:18" s="2" customFormat="1" ht="39.6">
      <c r="A1822" s="20">
        <f t="shared" si="109"/>
        <v>1698</v>
      </c>
      <c r="B1822" s="17" t="s">
        <v>2711</v>
      </c>
      <c r="C1822" s="17" t="s">
        <v>2712</v>
      </c>
      <c r="D1822" s="9" t="s">
        <v>25</v>
      </c>
      <c r="E1822" s="20" t="s">
        <v>26</v>
      </c>
      <c r="F1822" s="18">
        <v>1</v>
      </c>
      <c r="G1822" s="19">
        <v>18.059999999999999</v>
      </c>
      <c r="H1822" s="32">
        <v>700</v>
      </c>
      <c r="I1822" s="25">
        <f t="shared" si="108"/>
        <v>12642</v>
      </c>
      <c r="J1822" s="40"/>
      <c r="K1822" s="39"/>
      <c r="L1822" s="39"/>
      <c r="M1822" s="39"/>
      <c r="N1822" s="23"/>
      <c r="O1822" s="39"/>
      <c r="P1822" s="39"/>
      <c r="Q1822" s="39"/>
      <c r="R1822" s="39"/>
    </row>
    <row r="1823" spans="1:18" s="2" customFormat="1" ht="26.4">
      <c r="A1823" s="20">
        <f t="shared" si="109"/>
        <v>1699</v>
      </c>
      <c r="B1823" s="17" t="s">
        <v>2713</v>
      </c>
      <c r="C1823" s="17" t="s">
        <v>2714</v>
      </c>
      <c r="D1823" s="9" t="s">
        <v>25</v>
      </c>
      <c r="E1823" s="20" t="s">
        <v>26</v>
      </c>
      <c r="F1823" s="18">
        <v>1</v>
      </c>
      <c r="G1823" s="19">
        <v>1.74</v>
      </c>
      <c r="H1823" s="32">
        <v>300</v>
      </c>
      <c r="I1823" s="25">
        <f t="shared" si="108"/>
        <v>522</v>
      </c>
      <c r="J1823" s="40"/>
      <c r="K1823" s="39"/>
      <c r="L1823" s="39"/>
      <c r="M1823" s="39"/>
      <c r="N1823" s="23"/>
      <c r="O1823" s="39"/>
      <c r="P1823" s="39"/>
      <c r="Q1823" s="39"/>
      <c r="R1823" s="39"/>
    </row>
    <row r="1824" spans="1:18" s="2" customFormat="1" ht="14.4">
      <c r="A1824" s="20">
        <f t="shared" si="109"/>
        <v>1700</v>
      </c>
      <c r="B1824" s="17" t="s">
        <v>2715</v>
      </c>
      <c r="C1824" s="17" t="s">
        <v>2716</v>
      </c>
      <c r="D1824" s="20" t="s">
        <v>2717</v>
      </c>
      <c r="E1824" s="20" t="s">
        <v>2718</v>
      </c>
      <c r="F1824" s="18">
        <v>1</v>
      </c>
      <c r="G1824" s="19">
        <v>36.590000000000003</v>
      </c>
      <c r="H1824" s="32">
        <v>0.12</v>
      </c>
      <c r="I1824" s="25">
        <f t="shared" si="108"/>
        <v>4.3908000000000005</v>
      </c>
      <c r="J1824" s="40"/>
      <c r="K1824" s="39"/>
      <c r="L1824" s="39"/>
      <c r="M1824" s="39"/>
      <c r="N1824" s="23"/>
      <c r="O1824" s="39"/>
      <c r="P1824" s="39"/>
      <c r="Q1824" s="39"/>
      <c r="R1824" s="39"/>
    </row>
    <row r="1825" spans="1:18" s="2" customFormat="1" ht="14.4">
      <c r="A1825" s="20">
        <f t="shared" si="109"/>
        <v>1701</v>
      </c>
      <c r="B1825" s="17" t="s">
        <v>2719</v>
      </c>
      <c r="C1825" s="17" t="s">
        <v>2720</v>
      </c>
      <c r="D1825" s="9" t="s">
        <v>2717</v>
      </c>
      <c r="E1825" s="20" t="s">
        <v>2718</v>
      </c>
      <c r="F1825" s="18">
        <v>1</v>
      </c>
      <c r="G1825" s="19">
        <v>194.43</v>
      </c>
      <c r="H1825" s="32">
        <v>0.2</v>
      </c>
      <c r="I1825" s="25">
        <f t="shared" si="108"/>
        <v>38.886000000000003</v>
      </c>
      <c r="J1825" s="40"/>
      <c r="K1825" s="39"/>
      <c r="L1825" s="39"/>
      <c r="M1825" s="39"/>
      <c r="N1825" s="23"/>
      <c r="O1825" s="39"/>
      <c r="P1825" s="39"/>
      <c r="Q1825" s="39"/>
      <c r="R1825" s="39"/>
    </row>
    <row r="1826" spans="1:18" s="2" customFormat="1" ht="14.4">
      <c r="A1826" s="20">
        <f t="shared" si="109"/>
        <v>1702</v>
      </c>
      <c r="B1826" s="17" t="s">
        <v>2721</v>
      </c>
      <c r="C1826" s="17" t="s">
        <v>2722</v>
      </c>
      <c r="D1826" s="9" t="s">
        <v>5</v>
      </c>
      <c r="E1826" s="20" t="s">
        <v>6</v>
      </c>
      <c r="F1826" s="18">
        <v>1</v>
      </c>
      <c r="G1826" s="19">
        <v>113.7</v>
      </c>
      <c r="H1826" s="32">
        <v>10</v>
      </c>
      <c r="I1826" s="25">
        <f t="shared" si="108"/>
        <v>1137</v>
      </c>
      <c r="J1826" s="40"/>
      <c r="K1826" s="39"/>
      <c r="L1826" s="39"/>
      <c r="M1826" s="39"/>
      <c r="N1826" s="23"/>
      <c r="O1826" s="39"/>
      <c r="P1826" s="39"/>
      <c r="Q1826" s="39"/>
      <c r="R1826" s="39"/>
    </row>
    <row r="1827" spans="1:18" s="2" customFormat="1" ht="14.4">
      <c r="A1827" s="20">
        <f t="shared" si="109"/>
        <v>1703</v>
      </c>
      <c r="B1827" s="17" t="s">
        <v>2723</v>
      </c>
      <c r="C1827" s="17" t="s">
        <v>2724</v>
      </c>
      <c r="D1827" s="20" t="s">
        <v>5</v>
      </c>
      <c r="E1827" s="20" t="s">
        <v>6</v>
      </c>
      <c r="F1827" s="18">
        <v>1</v>
      </c>
      <c r="G1827" s="19">
        <v>87.64</v>
      </c>
      <c r="H1827" s="32">
        <v>10</v>
      </c>
      <c r="I1827" s="25">
        <f t="shared" si="108"/>
        <v>876.4</v>
      </c>
      <c r="J1827" s="40"/>
      <c r="K1827" s="39"/>
      <c r="L1827" s="39"/>
      <c r="M1827" s="39"/>
      <c r="N1827" s="23"/>
      <c r="O1827" s="39"/>
      <c r="P1827" s="39"/>
      <c r="Q1827" s="39"/>
      <c r="R1827" s="39"/>
    </row>
    <row r="1828" spans="1:18" s="2" customFormat="1" ht="14.4">
      <c r="A1828" s="20">
        <f t="shared" si="109"/>
        <v>1704</v>
      </c>
      <c r="B1828" s="17" t="s">
        <v>1077</v>
      </c>
      <c r="C1828" s="17" t="s">
        <v>219</v>
      </c>
      <c r="D1828" s="20" t="s">
        <v>48</v>
      </c>
      <c r="E1828" s="20" t="s">
        <v>49</v>
      </c>
      <c r="F1828" s="18">
        <v>1</v>
      </c>
      <c r="G1828" s="19"/>
      <c r="H1828" s="32">
        <v>1</v>
      </c>
      <c r="I1828" s="25">
        <f>SUM(I1781:I1827)*0.05</f>
        <v>30574.95791515824</v>
      </c>
      <c r="J1828" s="40"/>
      <c r="K1828" s="39"/>
      <c r="L1828" s="39"/>
      <c r="M1828" s="39"/>
      <c r="N1828" s="23"/>
      <c r="O1828" s="39"/>
      <c r="P1828" s="39"/>
      <c r="Q1828" s="39"/>
      <c r="R1828" s="39"/>
    </row>
    <row r="1829" spans="1:18" ht="39.6">
      <c r="A1829" s="9" t="s">
        <v>61</v>
      </c>
      <c r="B1829" s="13" t="s">
        <v>2725</v>
      </c>
      <c r="C1829" s="13" t="s">
        <v>2726</v>
      </c>
      <c r="D1829" s="14"/>
      <c r="E1829" s="14"/>
      <c r="F1829" s="18"/>
      <c r="G1829" s="19"/>
      <c r="H1829" s="15"/>
      <c r="I1829" s="25"/>
      <c r="J1829" s="24"/>
      <c r="K1829" s="22"/>
      <c r="L1829" s="22"/>
      <c r="M1829" s="22"/>
      <c r="N1829" s="23"/>
      <c r="O1829" s="22"/>
      <c r="P1829" s="22"/>
      <c r="Q1829" s="22"/>
      <c r="R1829" s="22"/>
    </row>
    <row r="1830" spans="1:18" s="2" customFormat="1" ht="14.4">
      <c r="A1830" s="20">
        <f>A1827+1</f>
        <v>1704</v>
      </c>
      <c r="B1830" s="17" t="s">
        <v>2727</v>
      </c>
      <c r="C1830" s="17" t="s">
        <v>2728</v>
      </c>
      <c r="D1830" s="20" t="s">
        <v>5</v>
      </c>
      <c r="E1830" s="20" t="s">
        <v>6</v>
      </c>
      <c r="F1830" s="18">
        <v>1</v>
      </c>
      <c r="G1830" s="19">
        <v>7270</v>
      </c>
      <c r="H1830" s="32">
        <v>1</v>
      </c>
      <c r="I1830" s="25">
        <f t="shared" si="108"/>
        <v>7270</v>
      </c>
      <c r="J1830" s="40"/>
      <c r="K1830" s="39"/>
      <c r="L1830" s="39"/>
      <c r="M1830" s="39"/>
      <c r="N1830" s="23"/>
      <c r="O1830" s="39"/>
      <c r="P1830" s="39"/>
      <c r="Q1830" s="39"/>
      <c r="R1830" s="39"/>
    </row>
    <row r="1831" spans="1:18" s="2" customFormat="1" ht="14.4">
      <c r="A1831" s="20">
        <f>A1830+1</f>
        <v>1705</v>
      </c>
      <c r="B1831" s="17" t="s">
        <v>2729</v>
      </c>
      <c r="C1831" s="17" t="s">
        <v>2730</v>
      </c>
      <c r="D1831" s="20" t="s">
        <v>5</v>
      </c>
      <c r="E1831" s="20" t="s">
        <v>6</v>
      </c>
      <c r="F1831" s="18">
        <v>1</v>
      </c>
      <c r="G1831" s="19">
        <v>3270</v>
      </c>
      <c r="H1831" s="32">
        <v>1</v>
      </c>
      <c r="I1831" s="25">
        <f t="shared" si="108"/>
        <v>3270</v>
      </c>
      <c r="J1831" s="40"/>
      <c r="K1831" s="39"/>
      <c r="L1831" s="39"/>
      <c r="M1831" s="39"/>
      <c r="N1831" s="23"/>
      <c r="O1831" s="39"/>
      <c r="P1831" s="39"/>
      <c r="Q1831" s="39"/>
      <c r="R1831" s="39"/>
    </row>
    <row r="1832" spans="1:18" s="2" customFormat="1" ht="14.4">
      <c r="A1832" s="20">
        <f>A1831+1</f>
        <v>1706</v>
      </c>
      <c r="B1832" s="17" t="s">
        <v>2731</v>
      </c>
      <c r="C1832" s="17" t="s">
        <v>2732</v>
      </c>
      <c r="D1832" s="20" t="s">
        <v>5</v>
      </c>
      <c r="E1832" s="20" t="s">
        <v>6</v>
      </c>
      <c r="F1832" s="18">
        <v>1</v>
      </c>
      <c r="G1832" s="19">
        <v>45</v>
      </c>
      <c r="H1832" s="32">
        <v>1</v>
      </c>
      <c r="I1832" s="25">
        <f t="shared" si="108"/>
        <v>45</v>
      </c>
      <c r="J1832" s="40"/>
      <c r="K1832" s="39"/>
      <c r="L1832" s="39"/>
      <c r="M1832" s="39"/>
      <c r="N1832" s="23"/>
      <c r="O1832" s="39"/>
      <c r="P1832" s="39"/>
      <c r="Q1832" s="39"/>
      <c r="R1832" s="39"/>
    </row>
    <row r="1833" spans="1:18" s="2" customFormat="1" ht="14.4">
      <c r="A1833" s="20">
        <f>A1832+1</f>
        <v>1707</v>
      </c>
      <c r="B1833" s="17" t="s">
        <v>2733</v>
      </c>
      <c r="C1833" s="17" t="s">
        <v>2734</v>
      </c>
      <c r="D1833" s="20" t="s">
        <v>5</v>
      </c>
      <c r="E1833" s="20" t="s">
        <v>6</v>
      </c>
      <c r="F1833" s="18">
        <v>1</v>
      </c>
      <c r="G1833" s="19">
        <v>250</v>
      </c>
      <c r="H1833" s="32">
        <v>10</v>
      </c>
      <c r="I1833" s="25">
        <f t="shared" si="108"/>
        <v>2500</v>
      </c>
      <c r="J1833" s="40"/>
      <c r="K1833" s="39"/>
      <c r="L1833" s="39"/>
      <c r="M1833" s="39"/>
      <c r="N1833" s="23"/>
      <c r="O1833" s="39"/>
      <c r="P1833" s="39"/>
      <c r="Q1833" s="39"/>
      <c r="R1833" s="39"/>
    </row>
    <row r="1834" spans="1:18" s="2" customFormat="1" ht="14.4">
      <c r="A1834" s="20">
        <f>A1833+1</f>
        <v>1708</v>
      </c>
      <c r="B1834" s="17" t="s">
        <v>2735</v>
      </c>
      <c r="C1834" s="17" t="s">
        <v>2736</v>
      </c>
      <c r="D1834" s="20" t="s">
        <v>5</v>
      </c>
      <c r="E1834" s="20" t="s">
        <v>6</v>
      </c>
      <c r="F1834" s="18">
        <v>1</v>
      </c>
      <c r="G1834" s="19">
        <v>2890</v>
      </c>
      <c r="H1834" s="32">
        <v>1</v>
      </c>
      <c r="I1834" s="25">
        <f t="shared" si="108"/>
        <v>2890</v>
      </c>
      <c r="J1834" s="40"/>
      <c r="K1834" s="39"/>
      <c r="L1834" s="39"/>
      <c r="M1834" s="39"/>
      <c r="N1834" s="23"/>
      <c r="O1834" s="39"/>
      <c r="P1834" s="39"/>
      <c r="Q1834" s="39"/>
      <c r="R1834" s="39"/>
    </row>
    <row r="1835" spans="1:18" ht="26.4">
      <c r="A1835" s="9" t="s">
        <v>61</v>
      </c>
      <c r="B1835" s="13" t="s">
        <v>2737</v>
      </c>
      <c r="C1835" s="13" t="s">
        <v>2738</v>
      </c>
      <c r="D1835" s="14"/>
      <c r="E1835" s="14"/>
      <c r="F1835" s="18"/>
      <c r="G1835" s="19"/>
      <c r="H1835" s="15"/>
      <c r="I1835" s="25"/>
      <c r="J1835" s="24"/>
      <c r="K1835" s="22"/>
      <c r="L1835" s="22"/>
      <c r="M1835" s="22"/>
      <c r="N1835" s="23"/>
      <c r="O1835" s="22"/>
      <c r="P1835" s="22"/>
      <c r="Q1835" s="22"/>
      <c r="R1835" s="22"/>
    </row>
    <row r="1836" spans="1:18" s="2" customFormat="1" ht="14.4">
      <c r="A1836" s="20">
        <f>A1834+1</f>
        <v>1709</v>
      </c>
      <c r="B1836" s="17" t="s">
        <v>2739</v>
      </c>
      <c r="C1836" s="17" t="s">
        <v>2740</v>
      </c>
      <c r="D1836" s="9" t="s">
        <v>25</v>
      </c>
      <c r="E1836" s="20" t="s">
        <v>26</v>
      </c>
      <c r="F1836" s="18">
        <v>1</v>
      </c>
      <c r="G1836" s="19">
        <f>1.633198857*93.14</f>
        <v>152.11614154098001</v>
      </c>
      <c r="H1836" s="32">
        <f>H1837</f>
        <v>400</v>
      </c>
      <c r="I1836" s="25">
        <f t="shared" si="108"/>
        <v>60846.456616392003</v>
      </c>
      <c r="J1836" s="40"/>
      <c r="K1836" s="39"/>
      <c r="L1836" s="39"/>
      <c r="M1836" s="39"/>
      <c r="N1836" s="23"/>
      <c r="O1836" s="39"/>
      <c r="P1836" s="39"/>
      <c r="Q1836" s="39"/>
      <c r="R1836" s="39"/>
    </row>
    <row r="1837" spans="1:18" s="2" customFormat="1" ht="14.4">
      <c r="A1837" s="20">
        <f t="shared" ref="A1837:A1843" si="110">A1836+1</f>
        <v>1710</v>
      </c>
      <c r="B1837" s="17" t="s">
        <v>2741</v>
      </c>
      <c r="C1837" s="17" t="s">
        <v>2742</v>
      </c>
      <c r="D1837" s="9" t="s">
        <v>25</v>
      </c>
      <c r="E1837" s="20" t="s">
        <v>26</v>
      </c>
      <c r="F1837" s="18">
        <v>1</v>
      </c>
      <c r="G1837" s="19">
        <v>31.04</v>
      </c>
      <c r="H1837" s="32">
        <v>400</v>
      </c>
      <c r="I1837" s="25">
        <f t="shared" si="108"/>
        <v>12416</v>
      </c>
      <c r="J1837" s="40"/>
      <c r="K1837" s="39"/>
      <c r="L1837" s="39"/>
      <c r="M1837" s="39"/>
      <c r="N1837" s="23"/>
      <c r="O1837" s="39"/>
      <c r="P1837" s="39"/>
      <c r="Q1837" s="39"/>
      <c r="R1837" s="39"/>
    </row>
    <row r="1838" spans="1:18" s="2" customFormat="1" ht="14.4">
      <c r="A1838" s="20">
        <f t="shared" si="110"/>
        <v>1711</v>
      </c>
      <c r="B1838" s="17" t="s">
        <v>2743</v>
      </c>
      <c r="C1838" s="17" t="s">
        <v>2744</v>
      </c>
      <c r="D1838" s="9" t="s">
        <v>25</v>
      </c>
      <c r="E1838" s="20" t="s">
        <v>26</v>
      </c>
      <c r="F1838" s="18">
        <v>1</v>
      </c>
      <c r="G1838" s="19">
        <v>17.899999999999999</v>
      </c>
      <c r="H1838" s="32">
        <v>5</v>
      </c>
      <c r="I1838" s="25">
        <f t="shared" si="108"/>
        <v>89.5</v>
      </c>
      <c r="J1838" s="40"/>
      <c r="K1838" s="39"/>
      <c r="L1838" s="39"/>
      <c r="M1838" s="39"/>
      <c r="N1838" s="23"/>
      <c r="O1838" s="39"/>
      <c r="P1838" s="39"/>
      <c r="Q1838" s="39"/>
      <c r="R1838" s="39"/>
    </row>
    <row r="1839" spans="1:18" s="2" customFormat="1" ht="14.4">
      <c r="A1839" s="20">
        <f t="shared" si="110"/>
        <v>1712</v>
      </c>
      <c r="B1839" s="17" t="s">
        <v>2745</v>
      </c>
      <c r="C1839" s="17" t="s">
        <v>2746</v>
      </c>
      <c r="D1839" s="20" t="s">
        <v>5</v>
      </c>
      <c r="E1839" s="20" t="s">
        <v>6</v>
      </c>
      <c r="F1839" s="18">
        <v>1</v>
      </c>
      <c r="G1839" s="19">
        <v>66.78</v>
      </c>
      <c r="H1839" s="32">
        <v>15</v>
      </c>
      <c r="I1839" s="25">
        <f t="shared" si="108"/>
        <v>1001.7</v>
      </c>
      <c r="J1839" s="40"/>
      <c r="K1839" s="39"/>
      <c r="L1839" s="39"/>
      <c r="M1839" s="39"/>
      <c r="N1839" s="23"/>
      <c r="O1839" s="39"/>
      <c r="P1839" s="39"/>
      <c r="Q1839" s="39"/>
      <c r="R1839" s="39"/>
    </row>
    <row r="1840" spans="1:18" s="2" customFormat="1" ht="14.4">
      <c r="A1840" s="20">
        <f t="shared" si="110"/>
        <v>1713</v>
      </c>
      <c r="B1840" s="17" t="s">
        <v>2747</v>
      </c>
      <c r="C1840" s="17" t="s">
        <v>2748</v>
      </c>
      <c r="D1840" s="20" t="s">
        <v>5</v>
      </c>
      <c r="E1840" s="20" t="s">
        <v>6</v>
      </c>
      <c r="F1840" s="18">
        <v>1</v>
      </c>
      <c r="G1840" s="19">
        <v>34.5</v>
      </c>
      <c r="H1840" s="32">
        <v>15</v>
      </c>
      <c r="I1840" s="25">
        <f t="shared" si="108"/>
        <v>517.5</v>
      </c>
      <c r="J1840" s="40"/>
      <c r="K1840" s="39"/>
      <c r="L1840" s="39"/>
      <c r="M1840" s="39"/>
      <c r="N1840" s="23"/>
      <c r="O1840" s="39"/>
      <c r="P1840" s="39"/>
      <c r="Q1840" s="39"/>
      <c r="R1840" s="39"/>
    </row>
    <row r="1841" spans="1:18" s="2" customFormat="1" ht="14.4">
      <c r="A1841" s="20">
        <f t="shared" si="110"/>
        <v>1714</v>
      </c>
      <c r="B1841" s="17" t="s">
        <v>2749</v>
      </c>
      <c r="C1841" s="17" t="s">
        <v>2750</v>
      </c>
      <c r="D1841" s="20" t="s">
        <v>5</v>
      </c>
      <c r="E1841" s="20" t="s">
        <v>6</v>
      </c>
      <c r="F1841" s="18">
        <v>1</v>
      </c>
      <c r="G1841" s="19">
        <f>1.633198857*207.12</f>
        <v>338.26814726184</v>
      </c>
      <c r="H1841" s="32">
        <v>15</v>
      </c>
      <c r="I1841" s="25">
        <f t="shared" si="108"/>
        <v>5074.0222089276003</v>
      </c>
      <c r="J1841" s="40"/>
      <c r="K1841" s="39"/>
      <c r="L1841" s="39"/>
      <c r="M1841" s="39"/>
      <c r="N1841" s="23"/>
      <c r="O1841" s="39"/>
      <c r="P1841" s="39"/>
      <c r="Q1841" s="39"/>
      <c r="R1841" s="39"/>
    </row>
    <row r="1842" spans="1:18" s="2" customFormat="1" ht="26.4">
      <c r="A1842" s="20">
        <f t="shared" si="110"/>
        <v>1715</v>
      </c>
      <c r="B1842" s="17" t="s">
        <v>2751</v>
      </c>
      <c r="C1842" s="17" t="s">
        <v>2752</v>
      </c>
      <c r="D1842" s="20" t="s">
        <v>5</v>
      </c>
      <c r="E1842" s="20" t="s">
        <v>6</v>
      </c>
      <c r="F1842" s="18">
        <v>1</v>
      </c>
      <c r="G1842" s="19">
        <f>1.633198857*241.73</f>
        <v>394.79315970261001</v>
      </c>
      <c r="H1842" s="32">
        <v>1</v>
      </c>
      <c r="I1842" s="25">
        <f t="shared" si="108"/>
        <v>394.79315970261001</v>
      </c>
      <c r="J1842" s="40"/>
      <c r="K1842" s="39"/>
      <c r="L1842" s="39"/>
      <c r="M1842" s="39"/>
      <c r="N1842" s="23"/>
      <c r="O1842" s="39"/>
      <c r="P1842" s="39"/>
      <c r="Q1842" s="39"/>
      <c r="R1842" s="39"/>
    </row>
    <row r="1843" spans="1:18" s="2" customFormat="1" ht="14.4">
      <c r="A1843" s="20">
        <f t="shared" si="110"/>
        <v>1716</v>
      </c>
      <c r="B1843" s="17" t="s">
        <v>1077</v>
      </c>
      <c r="C1843" s="17" t="s">
        <v>219</v>
      </c>
      <c r="D1843" s="20" t="s">
        <v>48</v>
      </c>
      <c r="E1843" s="20" t="s">
        <v>49</v>
      </c>
      <c r="F1843" s="18">
        <v>1</v>
      </c>
      <c r="G1843" s="19"/>
      <c r="H1843" s="32">
        <v>1</v>
      </c>
      <c r="I1843" s="25">
        <f>SUM(I1830:I1842)*0.05</f>
        <v>4815.748599251111</v>
      </c>
      <c r="J1843" s="40"/>
      <c r="K1843" s="39"/>
      <c r="L1843" s="39"/>
      <c r="M1843" s="39"/>
      <c r="N1843" s="23"/>
      <c r="O1843" s="39"/>
      <c r="P1843" s="39"/>
      <c r="Q1843" s="39"/>
      <c r="R1843" s="39"/>
    </row>
    <row r="1844" spans="1:18" ht="39.6">
      <c r="A1844" s="9" t="s">
        <v>61</v>
      </c>
      <c r="B1844" s="13" t="s">
        <v>2753</v>
      </c>
      <c r="C1844" s="13" t="s">
        <v>2754</v>
      </c>
      <c r="D1844" s="14"/>
      <c r="E1844" s="14"/>
      <c r="F1844" s="18"/>
      <c r="G1844" s="19"/>
      <c r="H1844" s="15"/>
      <c r="I1844" s="25"/>
      <c r="J1844" s="24"/>
      <c r="K1844" s="22"/>
      <c r="L1844" s="22"/>
      <c r="M1844" s="22"/>
      <c r="N1844" s="23"/>
      <c r="O1844" s="22"/>
      <c r="P1844" s="22"/>
      <c r="Q1844" s="22"/>
      <c r="R1844" s="22"/>
    </row>
    <row r="1845" spans="1:18" s="2" customFormat="1" ht="14.4">
      <c r="A1845" s="20">
        <f>A1842+1</f>
        <v>1716</v>
      </c>
      <c r="B1845" s="17" t="s">
        <v>2755</v>
      </c>
      <c r="C1845" s="17" t="s">
        <v>2756</v>
      </c>
      <c r="D1845" s="20" t="s">
        <v>5</v>
      </c>
      <c r="E1845" s="20" t="s">
        <v>6</v>
      </c>
      <c r="F1845" s="18">
        <v>1</v>
      </c>
      <c r="G1845" s="19">
        <v>497</v>
      </c>
      <c r="H1845" s="32">
        <v>15</v>
      </c>
      <c r="I1845" s="25">
        <f t="shared" si="108"/>
        <v>7455</v>
      </c>
      <c r="J1845" s="40"/>
      <c r="K1845" s="39"/>
      <c r="L1845" s="39"/>
      <c r="M1845" s="39"/>
      <c r="N1845" s="23"/>
      <c r="O1845" s="39"/>
      <c r="P1845" s="39"/>
      <c r="Q1845" s="39"/>
      <c r="R1845" s="39"/>
    </row>
    <row r="1846" spans="1:18" s="2" customFormat="1" ht="14.4">
      <c r="A1846" s="20">
        <f>A1845+1</f>
        <v>1717</v>
      </c>
      <c r="B1846" s="17" t="s">
        <v>2757</v>
      </c>
      <c r="C1846" s="17" t="s">
        <v>2758</v>
      </c>
      <c r="D1846" s="20" t="s">
        <v>5</v>
      </c>
      <c r="E1846" s="20" t="s">
        <v>6</v>
      </c>
      <c r="F1846" s="18">
        <v>1</v>
      </c>
      <c r="G1846" s="19">
        <v>480</v>
      </c>
      <c r="H1846" s="32">
        <v>1</v>
      </c>
      <c r="I1846" s="25">
        <f t="shared" si="108"/>
        <v>480</v>
      </c>
      <c r="J1846" s="40"/>
      <c r="K1846" s="39"/>
      <c r="L1846" s="39"/>
      <c r="M1846" s="39"/>
      <c r="N1846" s="23"/>
      <c r="O1846" s="39"/>
      <c r="P1846" s="39"/>
      <c r="Q1846" s="39"/>
      <c r="R1846" s="39"/>
    </row>
    <row r="1847" spans="1:18" ht="26.4">
      <c r="A1847" s="9" t="s">
        <v>61</v>
      </c>
      <c r="B1847" s="13" t="s">
        <v>2759</v>
      </c>
      <c r="C1847" s="13" t="s">
        <v>2760</v>
      </c>
      <c r="D1847" s="14"/>
      <c r="E1847" s="14"/>
      <c r="F1847" s="18"/>
      <c r="G1847" s="19"/>
      <c r="H1847" s="15"/>
      <c r="I1847" s="25"/>
      <c r="J1847" s="24"/>
      <c r="K1847" s="22"/>
      <c r="L1847" s="22"/>
      <c r="M1847" s="22"/>
      <c r="N1847" s="23"/>
      <c r="O1847" s="22"/>
      <c r="P1847" s="22"/>
      <c r="Q1847" s="22"/>
      <c r="R1847" s="22"/>
    </row>
    <row r="1848" spans="1:18" ht="14.4">
      <c r="A1848" s="9" t="s">
        <v>61</v>
      </c>
      <c r="B1848" s="13" t="s">
        <v>2761</v>
      </c>
      <c r="C1848" s="13" t="s">
        <v>2762</v>
      </c>
      <c r="D1848" s="14"/>
      <c r="E1848" s="14"/>
      <c r="F1848" s="18">
        <v>1</v>
      </c>
      <c r="G1848" s="19">
        <f>1.633198857</f>
        <v>1.633198857</v>
      </c>
      <c r="H1848" s="15"/>
      <c r="I1848" s="25">
        <f t="shared" si="108"/>
        <v>0</v>
      </c>
      <c r="J1848" s="24"/>
      <c r="K1848" s="22"/>
      <c r="L1848" s="22"/>
      <c r="M1848" s="22"/>
      <c r="N1848" s="23"/>
      <c r="O1848" s="22"/>
      <c r="P1848" s="22"/>
      <c r="Q1848" s="22"/>
      <c r="R1848" s="22"/>
    </row>
    <row r="1849" spans="1:18" s="2" customFormat="1" ht="14.4">
      <c r="A1849" s="20">
        <f>A1846+1</f>
        <v>1718</v>
      </c>
      <c r="B1849" s="17" t="s">
        <v>2763</v>
      </c>
      <c r="C1849" s="17" t="s">
        <v>2764</v>
      </c>
      <c r="D1849" s="20" t="s">
        <v>5</v>
      </c>
      <c r="E1849" s="20" t="s">
        <v>6</v>
      </c>
      <c r="F1849" s="18">
        <v>1</v>
      </c>
      <c r="G1849" s="19">
        <f>1.633198857</f>
        <v>1.633198857</v>
      </c>
      <c r="H1849" s="32">
        <v>1</v>
      </c>
      <c r="I1849" s="25">
        <f t="shared" si="108"/>
        <v>1.633198857</v>
      </c>
      <c r="J1849" s="40"/>
      <c r="K1849" s="39"/>
      <c r="L1849" s="39"/>
      <c r="M1849" s="39"/>
      <c r="N1849" s="23"/>
      <c r="O1849" s="39"/>
      <c r="P1849" s="39"/>
      <c r="Q1849" s="39"/>
      <c r="R1849" s="39"/>
    </row>
    <row r="1850" spans="1:18" s="2" customFormat="1" ht="26.4">
      <c r="A1850" s="20">
        <f>A1849+1</f>
        <v>1719</v>
      </c>
      <c r="B1850" s="17" t="s">
        <v>2765</v>
      </c>
      <c r="C1850" s="17" t="s">
        <v>2766</v>
      </c>
      <c r="D1850" s="20" t="s">
        <v>5</v>
      </c>
      <c r="E1850" s="20" t="s">
        <v>6</v>
      </c>
      <c r="F1850" s="18">
        <v>1</v>
      </c>
      <c r="G1850" s="19">
        <f>1.633198857</f>
        <v>1.633198857</v>
      </c>
      <c r="H1850" s="32">
        <v>4</v>
      </c>
      <c r="I1850" s="25">
        <f t="shared" si="108"/>
        <v>6.532795428</v>
      </c>
      <c r="J1850" s="40"/>
      <c r="K1850" s="39"/>
      <c r="L1850" s="39"/>
      <c r="M1850" s="39"/>
      <c r="N1850" s="23"/>
      <c r="O1850" s="39"/>
      <c r="P1850" s="39"/>
      <c r="Q1850" s="39"/>
      <c r="R1850" s="39"/>
    </row>
    <row r="1851" spans="1:18" s="2" customFormat="1" ht="26.4">
      <c r="A1851" s="20">
        <f>A1850+1</f>
        <v>1720</v>
      </c>
      <c r="B1851" s="17" t="s">
        <v>2767</v>
      </c>
      <c r="C1851" s="17" t="s">
        <v>2768</v>
      </c>
      <c r="D1851" s="9" t="s">
        <v>769</v>
      </c>
      <c r="E1851" s="20" t="s">
        <v>2706</v>
      </c>
      <c r="F1851" s="18">
        <v>1</v>
      </c>
      <c r="G1851" s="19">
        <f>1.633198857</f>
        <v>1.633198857</v>
      </c>
      <c r="H1851" s="32">
        <v>1</v>
      </c>
      <c r="I1851" s="25">
        <f t="shared" si="108"/>
        <v>1.633198857</v>
      </c>
      <c r="J1851" s="40"/>
      <c r="K1851" s="39"/>
      <c r="L1851" s="39"/>
      <c r="M1851" s="39"/>
      <c r="N1851" s="23"/>
      <c r="O1851" s="39"/>
      <c r="P1851" s="39"/>
      <c r="Q1851" s="39"/>
      <c r="R1851" s="39"/>
    </row>
    <row r="1852" spans="1:18" s="2" customFormat="1" ht="14.4">
      <c r="A1852" s="20">
        <f>A1851+1</f>
        <v>1721</v>
      </c>
      <c r="B1852" s="17" t="s">
        <v>2769</v>
      </c>
      <c r="C1852" s="17" t="s">
        <v>2770</v>
      </c>
      <c r="D1852" s="20" t="s">
        <v>2771</v>
      </c>
      <c r="E1852" s="20" t="s">
        <v>2772</v>
      </c>
      <c r="F1852" s="18">
        <v>1</v>
      </c>
      <c r="G1852" s="19">
        <f>1.633198857</f>
        <v>1.633198857</v>
      </c>
      <c r="H1852" s="32">
        <v>0.10199999999999999</v>
      </c>
      <c r="I1852" s="25">
        <f t="shared" si="108"/>
        <v>0.166586283414</v>
      </c>
      <c r="J1852" s="40"/>
      <c r="K1852" s="39"/>
      <c r="L1852" s="39"/>
      <c r="M1852" s="39"/>
      <c r="N1852" s="23"/>
      <c r="O1852" s="39"/>
      <c r="P1852" s="39"/>
      <c r="Q1852" s="39"/>
      <c r="R1852" s="39"/>
    </row>
    <row r="1853" spans="1:18" s="2" customFormat="1" ht="26.4">
      <c r="A1853" s="20">
        <f>A1852+1</f>
        <v>1722</v>
      </c>
      <c r="B1853" s="17" t="s">
        <v>2773</v>
      </c>
      <c r="C1853" s="17" t="s">
        <v>2774</v>
      </c>
      <c r="D1853" s="9" t="s">
        <v>2583</v>
      </c>
      <c r="E1853" s="20" t="s">
        <v>2584</v>
      </c>
      <c r="F1853" s="18">
        <v>1</v>
      </c>
      <c r="G1853" s="19">
        <v>7302</v>
      </c>
      <c r="H1853" s="32">
        <v>0.02</v>
      </c>
      <c r="I1853" s="25">
        <f t="shared" si="108"/>
        <v>146.04</v>
      </c>
      <c r="J1853" s="40"/>
      <c r="K1853" s="39"/>
      <c r="L1853" s="39"/>
      <c r="M1853" s="39"/>
      <c r="N1853" s="23"/>
      <c r="O1853" s="39"/>
      <c r="P1853" s="39"/>
      <c r="Q1853" s="39"/>
      <c r="R1853" s="39"/>
    </row>
    <row r="1854" spans="1:18" ht="39.6">
      <c r="A1854" s="9" t="s">
        <v>61</v>
      </c>
      <c r="B1854" s="13" t="s">
        <v>2775</v>
      </c>
      <c r="C1854" s="13" t="s">
        <v>2776</v>
      </c>
      <c r="D1854" s="14"/>
      <c r="E1854" s="14"/>
      <c r="F1854" s="18"/>
      <c r="G1854" s="19"/>
      <c r="H1854" s="15"/>
      <c r="I1854" s="25"/>
      <c r="J1854" s="24"/>
      <c r="K1854" s="22"/>
      <c r="L1854" s="22"/>
      <c r="M1854" s="22"/>
      <c r="N1854" s="23"/>
      <c r="O1854" s="22"/>
      <c r="P1854" s="22"/>
      <c r="Q1854" s="22"/>
      <c r="R1854" s="22"/>
    </row>
    <row r="1855" spans="1:18" s="2" customFormat="1" ht="26.4">
      <c r="A1855" s="20">
        <f>A1853+1</f>
        <v>1723</v>
      </c>
      <c r="B1855" s="17" t="s">
        <v>2777</v>
      </c>
      <c r="C1855" s="17" t="s">
        <v>2778</v>
      </c>
      <c r="D1855" s="20" t="s">
        <v>5</v>
      </c>
      <c r="E1855" s="20" t="s">
        <v>6</v>
      </c>
      <c r="F1855" s="18">
        <v>1</v>
      </c>
      <c r="G1855" s="19">
        <v>12500</v>
      </c>
      <c r="H1855" s="32">
        <v>1</v>
      </c>
      <c r="I1855" s="25">
        <f t="shared" si="108"/>
        <v>12500</v>
      </c>
      <c r="J1855" s="40"/>
      <c r="K1855" s="39"/>
      <c r="L1855" s="39"/>
      <c r="M1855" s="39"/>
      <c r="N1855" s="23"/>
      <c r="O1855" s="39"/>
      <c r="P1855" s="39"/>
      <c r="Q1855" s="39"/>
      <c r="R1855" s="39"/>
    </row>
    <row r="1856" spans="1:18" s="2" customFormat="1" ht="14.4">
      <c r="A1856" s="20">
        <f>A1855+1</f>
        <v>1724</v>
      </c>
      <c r="B1856" s="17" t="s">
        <v>2779</v>
      </c>
      <c r="C1856" s="17" t="s">
        <v>2780</v>
      </c>
      <c r="D1856" s="20" t="s">
        <v>5</v>
      </c>
      <c r="E1856" s="20" t="s">
        <v>6</v>
      </c>
      <c r="F1856" s="18">
        <v>1</v>
      </c>
      <c r="G1856" s="19">
        <v>33500</v>
      </c>
      <c r="H1856" s="32">
        <v>4</v>
      </c>
      <c r="I1856" s="25">
        <f t="shared" si="108"/>
        <v>134000</v>
      </c>
      <c r="J1856" s="40"/>
      <c r="K1856" s="39"/>
      <c r="L1856" s="39"/>
      <c r="M1856" s="39"/>
      <c r="N1856" s="23"/>
      <c r="O1856" s="39"/>
      <c r="P1856" s="39"/>
      <c r="Q1856" s="39"/>
      <c r="R1856" s="39"/>
    </row>
    <row r="1857" spans="1:18" s="2" customFormat="1" ht="14.4">
      <c r="A1857" s="20">
        <f>A1856+1</f>
        <v>1725</v>
      </c>
      <c r="B1857" s="17" t="s">
        <v>2781</v>
      </c>
      <c r="C1857" s="17" t="s">
        <v>2782</v>
      </c>
      <c r="D1857" s="20" t="s">
        <v>5</v>
      </c>
      <c r="E1857" s="20" t="s">
        <v>6</v>
      </c>
      <c r="F1857" s="18">
        <v>1</v>
      </c>
      <c r="G1857" s="19">
        <v>4500</v>
      </c>
      <c r="H1857" s="32">
        <v>2</v>
      </c>
      <c r="I1857" s="25">
        <f t="shared" si="108"/>
        <v>9000</v>
      </c>
      <c r="J1857" s="40"/>
      <c r="K1857" s="39"/>
      <c r="L1857" s="39"/>
      <c r="M1857" s="39"/>
      <c r="N1857" s="23"/>
      <c r="O1857" s="39"/>
      <c r="P1857" s="39"/>
      <c r="Q1857" s="39"/>
      <c r="R1857" s="39"/>
    </row>
    <row r="1858" spans="1:18" ht="26.4">
      <c r="A1858" s="9" t="s">
        <v>61</v>
      </c>
      <c r="B1858" s="13" t="s">
        <v>2783</v>
      </c>
      <c r="C1858" s="13" t="s">
        <v>2784</v>
      </c>
      <c r="D1858" s="14"/>
      <c r="E1858" s="14"/>
      <c r="F1858" s="18"/>
      <c r="G1858" s="19"/>
      <c r="H1858" s="15"/>
      <c r="I1858" s="25"/>
      <c r="J1858" s="24"/>
      <c r="K1858" s="22"/>
      <c r="L1858" s="22"/>
      <c r="M1858" s="22"/>
      <c r="N1858" s="23"/>
      <c r="O1858" s="22"/>
      <c r="P1858" s="22"/>
      <c r="Q1858" s="22"/>
      <c r="R1858" s="22"/>
    </row>
    <row r="1859" spans="1:18" ht="14.4">
      <c r="A1859" s="9" t="s">
        <v>61</v>
      </c>
      <c r="B1859" s="13" t="s">
        <v>2761</v>
      </c>
      <c r="C1859" s="13" t="s">
        <v>2762</v>
      </c>
      <c r="D1859" s="14"/>
      <c r="E1859" s="14"/>
      <c r="F1859" s="18"/>
      <c r="G1859" s="19"/>
      <c r="H1859" s="15"/>
      <c r="I1859" s="25"/>
      <c r="J1859" s="24"/>
      <c r="K1859" s="22"/>
      <c r="L1859" s="22"/>
      <c r="M1859" s="22"/>
      <c r="N1859" s="23"/>
      <c r="O1859" s="22"/>
      <c r="P1859" s="22"/>
      <c r="Q1859" s="22"/>
      <c r="R1859" s="22"/>
    </row>
    <row r="1860" spans="1:18" s="2" customFormat="1" ht="14.4">
      <c r="A1860" s="20">
        <f>A1857+1</f>
        <v>1726</v>
      </c>
      <c r="B1860" s="17" t="s">
        <v>2763</v>
      </c>
      <c r="C1860" s="17" t="s">
        <v>2764</v>
      </c>
      <c r="D1860" s="20" t="s">
        <v>5</v>
      </c>
      <c r="E1860" s="20" t="s">
        <v>6</v>
      </c>
      <c r="F1860" s="18">
        <v>1</v>
      </c>
      <c r="G1860" s="19">
        <f>1.633198857*2076.05</f>
        <v>3390.6024870748502</v>
      </c>
      <c r="H1860" s="32">
        <v>1</v>
      </c>
      <c r="I1860" s="25">
        <f t="shared" si="108"/>
        <v>3390.6024870748502</v>
      </c>
      <c r="J1860" s="40"/>
      <c r="K1860" s="39"/>
      <c r="L1860" s="39"/>
      <c r="M1860" s="39"/>
      <c r="N1860" s="23"/>
      <c r="O1860" s="39"/>
      <c r="P1860" s="39"/>
      <c r="Q1860" s="39"/>
      <c r="R1860" s="39"/>
    </row>
    <row r="1861" spans="1:18" s="2" customFormat="1" ht="26.4">
      <c r="A1861" s="20">
        <f t="shared" ref="A1861:A1866" si="111">A1860+1</f>
        <v>1727</v>
      </c>
      <c r="B1861" s="17" t="s">
        <v>2785</v>
      </c>
      <c r="C1861" s="17" t="s">
        <v>2786</v>
      </c>
      <c r="D1861" s="20" t="s">
        <v>5</v>
      </c>
      <c r="E1861" s="20" t="s">
        <v>6</v>
      </c>
      <c r="F1861" s="18">
        <v>1</v>
      </c>
      <c r="G1861" s="19">
        <f>1.633198857*418.14</f>
        <v>682.90577006597994</v>
      </c>
      <c r="H1861" s="32">
        <v>23</v>
      </c>
      <c r="I1861" s="25">
        <f t="shared" si="108"/>
        <v>15706.832711517538</v>
      </c>
      <c r="J1861" s="40"/>
      <c r="K1861" s="39"/>
      <c r="L1861" s="39"/>
      <c r="M1861" s="39"/>
      <c r="N1861" s="23"/>
      <c r="O1861" s="39"/>
      <c r="P1861" s="39"/>
      <c r="Q1861" s="39"/>
      <c r="R1861" s="39"/>
    </row>
    <row r="1862" spans="1:18" s="2" customFormat="1" ht="14.4">
      <c r="A1862" s="20">
        <f t="shared" si="111"/>
        <v>1728</v>
      </c>
      <c r="B1862" s="17" t="s">
        <v>2743</v>
      </c>
      <c r="C1862" s="17" t="s">
        <v>2744</v>
      </c>
      <c r="D1862" s="9" t="s">
        <v>25</v>
      </c>
      <c r="E1862" s="20" t="s">
        <v>26</v>
      </c>
      <c r="F1862" s="18">
        <v>1</v>
      </c>
      <c r="G1862" s="19">
        <v>17.899999999999999</v>
      </c>
      <c r="H1862" s="32">
        <v>5</v>
      </c>
      <c r="I1862" s="25">
        <f t="shared" si="108"/>
        <v>89.5</v>
      </c>
      <c r="J1862" s="40"/>
      <c r="K1862" s="39"/>
      <c r="L1862" s="39"/>
      <c r="M1862" s="39"/>
      <c r="N1862" s="23"/>
      <c r="O1862" s="39"/>
      <c r="P1862" s="39"/>
      <c r="Q1862" s="39"/>
      <c r="R1862" s="39"/>
    </row>
    <row r="1863" spans="1:18" s="2" customFormat="1" ht="39.6">
      <c r="A1863" s="20">
        <f t="shared" si="111"/>
        <v>1729</v>
      </c>
      <c r="B1863" s="17" t="s">
        <v>2787</v>
      </c>
      <c r="C1863" s="17" t="s">
        <v>2788</v>
      </c>
      <c r="D1863" s="9" t="s">
        <v>25</v>
      </c>
      <c r="E1863" s="20" t="s">
        <v>26</v>
      </c>
      <c r="F1863" s="18">
        <v>1</v>
      </c>
      <c r="G1863" s="19">
        <f>12.39</f>
        <v>12.39</v>
      </c>
      <c r="H1863" s="32">
        <v>500</v>
      </c>
      <c r="I1863" s="25">
        <f t="shared" si="108"/>
        <v>6195</v>
      </c>
      <c r="J1863" s="40"/>
      <c r="K1863" s="39"/>
      <c r="L1863" s="39"/>
      <c r="M1863" s="39"/>
      <c r="N1863" s="23"/>
      <c r="O1863" s="39"/>
      <c r="P1863" s="39"/>
      <c r="Q1863" s="39"/>
      <c r="R1863" s="39"/>
    </row>
    <row r="1864" spans="1:18" s="2" customFormat="1" ht="52.8">
      <c r="A1864" s="20">
        <f t="shared" si="111"/>
        <v>1730</v>
      </c>
      <c r="B1864" s="17" t="s">
        <v>2789</v>
      </c>
      <c r="C1864" s="17" t="s">
        <v>2790</v>
      </c>
      <c r="D1864" s="20" t="s">
        <v>5</v>
      </c>
      <c r="E1864" s="20" t="s">
        <v>6</v>
      </c>
      <c r="F1864" s="18">
        <v>1</v>
      </c>
      <c r="G1864" s="19">
        <f>544.39</f>
        <v>544.39</v>
      </c>
      <c r="H1864" s="32">
        <v>25</v>
      </c>
      <c r="I1864" s="25">
        <f t="shared" si="108"/>
        <v>13609.75</v>
      </c>
      <c r="J1864" s="40"/>
      <c r="K1864" s="39"/>
      <c r="L1864" s="39"/>
      <c r="M1864" s="39"/>
      <c r="N1864" s="23"/>
      <c r="O1864" s="39"/>
      <c r="P1864" s="39"/>
      <c r="Q1864" s="39"/>
      <c r="R1864" s="39"/>
    </row>
    <row r="1865" spans="1:18" s="2" customFormat="1" ht="14.4">
      <c r="A1865" s="20">
        <f t="shared" si="111"/>
        <v>1731</v>
      </c>
      <c r="B1865" s="17" t="s">
        <v>2791</v>
      </c>
      <c r="C1865" s="17" t="s">
        <v>2792</v>
      </c>
      <c r="D1865" s="20" t="s">
        <v>5</v>
      </c>
      <c r="E1865" s="20" t="s">
        <v>6</v>
      </c>
      <c r="F1865" s="18">
        <v>1</v>
      </c>
      <c r="G1865" s="19">
        <f>41.15</f>
        <v>41.15</v>
      </c>
      <c r="H1865" s="32">
        <v>25</v>
      </c>
      <c r="I1865" s="25">
        <f t="shared" si="108"/>
        <v>1028.75</v>
      </c>
      <c r="J1865" s="40"/>
      <c r="K1865" s="39"/>
      <c r="L1865" s="39"/>
      <c r="M1865" s="39"/>
      <c r="N1865" s="23"/>
      <c r="O1865" s="39"/>
      <c r="P1865" s="39"/>
      <c r="Q1865" s="39"/>
      <c r="R1865" s="39"/>
    </row>
    <row r="1866" spans="1:18" s="2" customFormat="1" ht="14.4">
      <c r="A1866" s="20">
        <f t="shared" si="111"/>
        <v>1732</v>
      </c>
      <c r="B1866" s="17" t="s">
        <v>1077</v>
      </c>
      <c r="C1866" s="17" t="s">
        <v>219</v>
      </c>
      <c r="D1866" s="20" t="s">
        <v>48</v>
      </c>
      <c r="E1866" s="20" t="s">
        <v>49</v>
      </c>
      <c r="F1866" s="18">
        <v>1</v>
      </c>
      <c r="G1866" s="19"/>
      <c r="H1866" s="32">
        <v>1</v>
      </c>
      <c r="I1866" s="25">
        <f>SUM(I1845:I1865)*0.05</f>
        <v>10180.572048900891</v>
      </c>
      <c r="J1866" s="40"/>
      <c r="K1866" s="39"/>
      <c r="L1866" s="39"/>
      <c r="M1866" s="39"/>
      <c r="N1866" s="23"/>
      <c r="O1866" s="39"/>
      <c r="P1866" s="39"/>
      <c r="Q1866" s="39"/>
      <c r="R1866" s="39"/>
    </row>
    <row r="1867" spans="1:18" ht="39.6">
      <c r="A1867" s="9" t="s">
        <v>61</v>
      </c>
      <c r="B1867" s="13" t="s">
        <v>2793</v>
      </c>
      <c r="C1867" s="13" t="s">
        <v>2794</v>
      </c>
      <c r="D1867" s="14"/>
      <c r="E1867" s="14"/>
      <c r="F1867" s="18"/>
      <c r="G1867" s="19"/>
      <c r="H1867" s="15"/>
      <c r="I1867" s="25"/>
      <c r="J1867" s="24"/>
      <c r="K1867" s="22"/>
      <c r="L1867" s="22"/>
      <c r="M1867" s="22"/>
      <c r="N1867" s="23"/>
      <c r="O1867" s="22"/>
      <c r="P1867" s="22"/>
      <c r="Q1867" s="22"/>
      <c r="R1867" s="22"/>
    </row>
    <row r="1868" spans="1:18" s="2" customFormat="1" ht="14.4">
      <c r="A1868" s="20">
        <f>A1865+1</f>
        <v>1732</v>
      </c>
      <c r="B1868" s="17" t="s">
        <v>2795</v>
      </c>
      <c r="C1868" s="17" t="s">
        <v>2796</v>
      </c>
      <c r="D1868" s="20" t="s">
        <v>5</v>
      </c>
      <c r="E1868" s="20" t="s">
        <v>6</v>
      </c>
      <c r="F1868" s="18">
        <v>1</v>
      </c>
      <c r="G1868" s="19">
        <f>8110</f>
        <v>8110</v>
      </c>
      <c r="H1868" s="32">
        <v>1</v>
      </c>
      <c r="I1868" s="25">
        <f t="shared" ref="I1868:I1930" si="112">G1868*H1868</f>
        <v>8110</v>
      </c>
      <c r="J1868" s="40"/>
      <c r="K1868" s="39"/>
      <c r="L1868" s="39"/>
      <c r="M1868" s="39"/>
      <c r="N1868" s="23"/>
      <c r="O1868" s="39"/>
      <c r="P1868" s="39"/>
      <c r="Q1868" s="39"/>
      <c r="R1868" s="39"/>
    </row>
    <row r="1869" spans="1:18" s="2" customFormat="1" ht="14.4">
      <c r="A1869" s="20">
        <f>A1868+1</f>
        <v>1733</v>
      </c>
      <c r="B1869" s="17" t="s">
        <v>2797</v>
      </c>
      <c r="C1869" s="17" t="s">
        <v>2798</v>
      </c>
      <c r="D1869" s="20" t="s">
        <v>5</v>
      </c>
      <c r="E1869" s="20" t="s">
        <v>6</v>
      </c>
      <c r="F1869" s="18">
        <v>1</v>
      </c>
      <c r="G1869" s="19">
        <v>2500</v>
      </c>
      <c r="H1869" s="32">
        <v>13</v>
      </c>
      <c r="I1869" s="25">
        <f t="shared" si="112"/>
        <v>32500</v>
      </c>
      <c r="J1869" s="40"/>
      <c r="K1869" s="39"/>
      <c r="L1869" s="39"/>
      <c r="M1869" s="39"/>
      <c r="N1869" s="23"/>
      <c r="O1869" s="39"/>
      <c r="P1869" s="39"/>
      <c r="Q1869" s="39"/>
      <c r="R1869" s="39"/>
    </row>
    <row r="1870" spans="1:18" s="2" customFormat="1" ht="14.4">
      <c r="A1870" s="20">
        <f>A1869+1</f>
        <v>1734</v>
      </c>
      <c r="B1870" s="17" t="s">
        <v>2799</v>
      </c>
      <c r="C1870" s="17" t="s">
        <v>2800</v>
      </c>
      <c r="D1870" s="20" t="s">
        <v>5</v>
      </c>
      <c r="E1870" s="20" t="s">
        <v>6</v>
      </c>
      <c r="F1870" s="18">
        <v>1</v>
      </c>
      <c r="G1870" s="19">
        <v>3000</v>
      </c>
      <c r="H1870" s="32">
        <v>10</v>
      </c>
      <c r="I1870" s="25">
        <f t="shared" si="112"/>
        <v>30000</v>
      </c>
      <c r="J1870" s="40"/>
      <c r="K1870" s="39"/>
      <c r="L1870" s="39"/>
      <c r="M1870" s="39"/>
      <c r="N1870" s="23"/>
      <c r="O1870" s="39"/>
      <c r="P1870" s="39"/>
      <c r="Q1870" s="39"/>
      <c r="R1870" s="39"/>
    </row>
    <row r="1871" spans="1:18" ht="26.4">
      <c r="A1871" s="9" t="s">
        <v>61</v>
      </c>
      <c r="B1871" s="13" t="s">
        <v>2801</v>
      </c>
      <c r="C1871" s="13" t="s">
        <v>2802</v>
      </c>
      <c r="D1871" s="14"/>
      <c r="E1871" s="14"/>
      <c r="F1871" s="18"/>
      <c r="G1871" s="19"/>
      <c r="H1871" s="15"/>
      <c r="I1871" s="25"/>
      <c r="J1871" s="24"/>
      <c r="K1871" s="22"/>
      <c r="L1871" s="22"/>
      <c r="M1871" s="22"/>
      <c r="N1871" s="23"/>
      <c r="O1871" s="22"/>
      <c r="P1871" s="22"/>
      <c r="Q1871" s="22"/>
      <c r="R1871" s="22"/>
    </row>
    <row r="1872" spans="1:18" s="2" customFormat="1" ht="52.8">
      <c r="A1872" s="20">
        <f>A1870+1</f>
        <v>1735</v>
      </c>
      <c r="B1872" s="17" t="s">
        <v>2803</v>
      </c>
      <c r="C1872" s="17" t="s">
        <v>2804</v>
      </c>
      <c r="D1872" s="20" t="s">
        <v>2805</v>
      </c>
      <c r="E1872" s="20" t="s">
        <v>62</v>
      </c>
      <c r="F1872" s="18">
        <v>1</v>
      </c>
      <c r="G1872" s="19">
        <f>1.633198857*2724.22</f>
        <v>4449.1929902165393</v>
      </c>
      <c r="H1872" s="32">
        <v>20</v>
      </c>
      <c r="I1872" s="25">
        <f t="shared" si="112"/>
        <v>88983.859804330787</v>
      </c>
      <c r="J1872" s="40"/>
      <c r="K1872" s="39"/>
      <c r="L1872" s="39"/>
      <c r="M1872" s="39"/>
      <c r="N1872" s="23"/>
      <c r="O1872" s="39"/>
      <c r="P1872" s="39"/>
      <c r="Q1872" s="39"/>
      <c r="R1872" s="39"/>
    </row>
    <row r="1873" spans="1:18" s="2" customFormat="1" ht="26.4">
      <c r="A1873" s="20">
        <f>A1872+1</f>
        <v>1736</v>
      </c>
      <c r="B1873" s="17" t="s">
        <v>2806</v>
      </c>
      <c r="C1873" s="17" t="s">
        <v>2807</v>
      </c>
      <c r="D1873" s="20" t="s">
        <v>5</v>
      </c>
      <c r="E1873" s="20" t="s">
        <v>6</v>
      </c>
      <c r="F1873" s="18">
        <v>1</v>
      </c>
      <c r="G1873" s="19">
        <v>1010.32</v>
      </c>
      <c r="H1873" s="32">
        <v>10</v>
      </c>
      <c r="I1873" s="25">
        <f t="shared" si="112"/>
        <v>10103.200000000001</v>
      </c>
      <c r="J1873" s="40"/>
      <c r="K1873" s="39"/>
      <c r="L1873" s="39"/>
      <c r="M1873" s="39"/>
      <c r="N1873" s="23"/>
      <c r="O1873" s="39"/>
      <c r="P1873" s="39"/>
      <c r="Q1873" s="39"/>
      <c r="R1873" s="39"/>
    </row>
    <row r="1874" spans="1:18" s="2" customFormat="1" ht="26.4">
      <c r="A1874" s="20">
        <f t="shared" ref="A1874:A1914" si="113">A1873+1</f>
        <v>1737</v>
      </c>
      <c r="B1874" s="17" t="s">
        <v>2808</v>
      </c>
      <c r="C1874" s="17" t="s">
        <v>2809</v>
      </c>
      <c r="D1874" s="20" t="s">
        <v>5</v>
      </c>
      <c r="E1874" s="20" t="s">
        <v>6</v>
      </c>
      <c r="F1874" s="18">
        <v>1</v>
      </c>
      <c r="G1874" s="19">
        <v>967.03</v>
      </c>
      <c r="H1874" s="32">
        <v>10</v>
      </c>
      <c r="I1874" s="25">
        <f t="shared" si="112"/>
        <v>9670.2999999999993</v>
      </c>
      <c r="J1874" s="40"/>
      <c r="K1874" s="39"/>
      <c r="L1874" s="39"/>
      <c r="M1874" s="39"/>
      <c r="N1874" s="23"/>
      <c r="O1874" s="39"/>
      <c r="P1874" s="39"/>
      <c r="Q1874" s="39"/>
      <c r="R1874" s="39"/>
    </row>
    <row r="1875" spans="1:18" s="2" customFormat="1" ht="26.4">
      <c r="A1875" s="20">
        <f t="shared" si="113"/>
        <v>1738</v>
      </c>
      <c r="B1875" s="17" t="s">
        <v>2810</v>
      </c>
      <c r="C1875" s="17" t="s">
        <v>2811</v>
      </c>
      <c r="D1875" s="20" t="s">
        <v>48</v>
      </c>
      <c r="E1875" s="20" t="s">
        <v>49</v>
      </c>
      <c r="F1875" s="18">
        <v>1</v>
      </c>
      <c r="G1875" s="19">
        <f>1.633198857*2379.36</f>
        <v>3885.9680323915204</v>
      </c>
      <c r="H1875" s="32">
        <v>2</v>
      </c>
      <c r="I1875" s="25">
        <f t="shared" si="112"/>
        <v>7771.9360647830408</v>
      </c>
      <c r="J1875" s="40"/>
      <c r="K1875" s="39"/>
      <c r="L1875" s="39"/>
      <c r="M1875" s="39"/>
      <c r="N1875" s="23"/>
      <c r="O1875" s="39"/>
      <c r="P1875" s="39"/>
      <c r="Q1875" s="39"/>
      <c r="R1875" s="39"/>
    </row>
    <row r="1876" spans="1:18" s="2" customFormat="1" ht="26.4">
      <c r="A1876" s="20">
        <f t="shared" si="113"/>
        <v>1739</v>
      </c>
      <c r="B1876" s="17" t="s">
        <v>2812</v>
      </c>
      <c r="C1876" s="17" t="s">
        <v>2813</v>
      </c>
      <c r="D1876" s="20" t="s">
        <v>2814</v>
      </c>
      <c r="E1876" s="20" t="s">
        <v>2815</v>
      </c>
      <c r="F1876" s="18">
        <v>1</v>
      </c>
      <c r="G1876" s="19">
        <f>1.633198857*34059.28</f>
        <v>55625.577166242962</v>
      </c>
      <c r="H1876" s="32">
        <v>2</v>
      </c>
      <c r="I1876" s="25">
        <f t="shared" si="112"/>
        <v>111251.15433248592</v>
      </c>
      <c r="J1876" s="40"/>
      <c r="K1876" s="39"/>
      <c r="L1876" s="39"/>
      <c r="M1876" s="39"/>
      <c r="N1876" s="23"/>
      <c r="O1876" s="39"/>
      <c r="P1876" s="39"/>
      <c r="Q1876" s="39"/>
      <c r="R1876" s="39"/>
    </row>
    <row r="1877" spans="1:18" s="2" customFormat="1" ht="26.4">
      <c r="A1877" s="20">
        <f t="shared" si="113"/>
        <v>1740</v>
      </c>
      <c r="B1877" s="17" t="s">
        <v>2816</v>
      </c>
      <c r="C1877" s="17" t="s">
        <v>2817</v>
      </c>
      <c r="D1877" s="9" t="s">
        <v>2717</v>
      </c>
      <c r="E1877" s="20" t="s">
        <v>2718</v>
      </c>
      <c r="F1877" s="18">
        <v>1</v>
      </c>
      <c r="G1877" s="19">
        <f>1.633198857*41.84</f>
        <v>68.333040176880004</v>
      </c>
      <c r="H1877" s="32">
        <v>0.4</v>
      </c>
      <c r="I1877" s="25">
        <f t="shared" si="112"/>
        <v>27.333216070752002</v>
      </c>
      <c r="J1877" s="40"/>
      <c r="K1877" s="39"/>
      <c r="L1877" s="39"/>
      <c r="M1877" s="39"/>
      <c r="N1877" s="23"/>
      <c r="O1877" s="39"/>
      <c r="P1877" s="39"/>
      <c r="Q1877" s="39"/>
      <c r="R1877" s="39"/>
    </row>
    <row r="1878" spans="1:18" s="2" customFormat="1" ht="26.4">
      <c r="A1878" s="20">
        <f t="shared" si="113"/>
        <v>1741</v>
      </c>
      <c r="B1878" s="17" t="s">
        <v>2818</v>
      </c>
      <c r="C1878" s="17" t="s">
        <v>2819</v>
      </c>
      <c r="D1878" s="20" t="s">
        <v>5</v>
      </c>
      <c r="E1878" s="20" t="s">
        <v>6</v>
      </c>
      <c r="F1878" s="18">
        <v>1</v>
      </c>
      <c r="G1878" s="19">
        <f>2679.76</f>
        <v>2679.76</v>
      </c>
      <c r="H1878" s="32">
        <v>40</v>
      </c>
      <c r="I1878" s="25">
        <f t="shared" si="112"/>
        <v>107190.40000000001</v>
      </c>
      <c r="J1878" s="40"/>
      <c r="K1878" s="39"/>
      <c r="L1878" s="39"/>
      <c r="M1878" s="39"/>
      <c r="N1878" s="23"/>
      <c r="O1878" s="39"/>
      <c r="P1878" s="39"/>
      <c r="Q1878" s="39"/>
      <c r="R1878" s="39"/>
    </row>
    <row r="1879" spans="1:18" s="2" customFormat="1" ht="14.4">
      <c r="A1879" s="20">
        <f t="shared" si="113"/>
        <v>1742</v>
      </c>
      <c r="B1879" s="17" t="s">
        <v>2820</v>
      </c>
      <c r="C1879" s="17" t="s">
        <v>2821</v>
      </c>
      <c r="D1879" s="20" t="s">
        <v>5</v>
      </c>
      <c r="E1879" s="20" t="s">
        <v>6</v>
      </c>
      <c r="F1879" s="18">
        <v>1</v>
      </c>
      <c r="G1879" s="19">
        <v>16.239999999999998</v>
      </c>
      <c r="H1879" s="32">
        <v>40</v>
      </c>
      <c r="I1879" s="25">
        <f t="shared" si="112"/>
        <v>649.59999999999991</v>
      </c>
      <c r="J1879" s="40"/>
      <c r="K1879" s="39"/>
      <c r="L1879" s="39"/>
      <c r="M1879" s="39"/>
      <c r="N1879" s="23"/>
      <c r="O1879" s="39"/>
      <c r="P1879" s="39"/>
      <c r="Q1879" s="39"/>
      <c r="R1879" s="39"/>
    </row>
    <row r="1880" spans="1:18" s="2" customFormat="1" ht="26.4">
      <c r="A1880" s="20">
        <f t="shared" si="113"/>
        <v>1743</v>
      </c>
      <c r="B1880" s="17" t="s">
        <v>2816</v>
      </c>
      <c r="C1880" s="17" t="s">
        <v>2817</v>
      </c>
      <c r="D1880" s="9" t="s">
        <v>2717</v>
      </c>
      <c r="E1880" s="20" t="s">
        <v>2718</v>
      </c>
      <c r="F1880" s="18">
        <v>1</v>
      </c>
      <c r="G1880" s="19">
        <f>1.633198857*41.84</f>
        <v>68.333040176880004</v>
      </c>
      <c r="H1880" s="32">
        <v>0.16</v>
      </c>
      <c r="I1880" s="25">
        <f t="shared" si="112"/>
        <v>10.933286428300802</v>
      </c>
      <c r="J1880" s="40"/>
      <c r="K1880" s="39"/>
      <c r="L1880" s="39"/>
      <c r="M1880" s="39"/>
      <c r="N1880" s="23"/>
      <c r="O1880" s="39"/>
      <c r="P1880" s="39"/>
      <c r="Q1880" s="39"/>
      <c r="R1880" s="39"/>
    </row>
    <row r="1881" spans="1:18" s="2" customFormat="1" ht="26.4">
      <c r="A1881" s="20">
        <f t="shared" si="113"/>
        <v>1744</v>
      </c>
      <c r="B1881" s="17" t="s">
        <v>2822</v>
      </c>
      <c r="C1881" s="17" t="s">
        <v>2823</v>
      </c>
      <c r="D1881" s="20" t="s">
        <v>5</v>
      </c>
      <c r="E1881" s="20" t="s">
        <v>6</v>
      </c>
      <c r="F1881" s="18">
        <v>1</v>
      </c>
      <c r="G1881" s="19">
        <f>2853.29</f>
        <v>2853.29</v>
      </c>
      <c r="H1881" s="32">
        <v>16</v>
      </c>
      <c r="I1881" s="25">
        <f t="shared" si="112"/>
        <v>45652.639999999999</v>
      </c>
      <c r="J1881" s="40"/>
      <c r="K1881" s="39"/>
      <c r="L1881" s="39"/>
      <c r="M1881" s="39"/>
      <c r="N1881" s="23"/>
      <c r="O1881" s="39"/>
      <c r="P1881" s="39"/>
      <c r="Q1881" s="39"/>
      <c r="R1881" s="39"/>
    </row>
    <row r="1882" spans="1:18" s="2" customFormat="1" ht="39.6">
      <c r="A1882" s="20">
        <f t="shared" si="113"/>
        <v>1745</v>
      </c>
      <c r="B1882" s="17" t="s">
        <v>2824</v>
      </c>
      <c r="C1882" s="17" t="s">
        <v>2825</v>
      </c>
      <c r="D1882" s="20" t="s">
        <v>5</v>
      </c>
      <c r="E1882" s="20" t="s">
        <v>6</v>
      </c>
      <c r="F1882" s="18">
        <v>1</v>
      </c>
      <c r="G1882" s="19">
        <f>1.633198857*5957.35</f>
        <v>9729.5372107489511</v>
      </c>
      <c r="H1882" s="32">
        <v>2</v>
      </c>
      <c r="I1882" s="25">
        <f t="shared" si="112"/>
        <v>19459.074421497902</v>
      </c>
      <c r="J1882" s="40"/>
      <c r="K1882" s="39"/>
      <c r="L1882" s="39"/>
      <c r="M1882" s="39"/>
      <c r="N1882" s="23"/>
      <c r="O1882" s="39"/>
      <c r="P1882" s="39"/>
      <c r="Q1882" s="39"/>
      <c r="R1882" s="39"/>
    </row>
    <row r="1883" spans="1:18" s="2" customFormat="1" ht="39.6">
      <c r="A1883" s="20">
        <f t="shared" si="113"/>
        <v>1746</v>
      </c>
      <c r="B1883" s="17" t="s">
        <v>2826</v>
      </c>
      <c r="C1883" s="17" t="s">
        <v>2827</v>
      </c>
      <c r="D1883" s="9" t="s">
        <v>2583</v>
      </c>
      <c r="E1883" s="20" t="s">
        <v>2584</v>
      </c>
      <c r="F1883" s="18">
        <v>1</v>
      </c>
      <c r="G1883" s="19">
        <f>1.633198857*30.98</f>
        <v>50.59650058986</v>
      </c>
      <c r="H1883" s="32">
        <v>0.3</v>
      </c>
      <c r="I1883" s="25">
        <f t="shared" si="112"/>
        <v>15.178950176957999</v>
      </c>
      <c r="J1883" s="40"/>
      <c r="K1883" s="39"/>
      <c r="L1883" s="39"/>
      <c r="M1883" s="39"/>
      <c r="N1883" s="23"/>
      <c r="O1883" s="39"/>
      <c r="P1883" s="39"/>
      <c r="Q1883" s="39"/>
      <c r="R1883" s="39"/>
    </row>
    <row r="1884" spans="1:18" s="2" customFormat="1" ht="14.4">
      <c r="A1884" s="20">
        <f t="shared" si="113"/>
        <v>1747</v>
      </c>
      <c r="B1884" s="17" t="s">
        <v>2828</v>
      </c>
      <c r="C1884" s="17" t="s">
        <v>2829</v>
      </c>
      <c r="D1884" s="20" t="s">
        <v>5</v>
      </c>
      <c r="E1884" s="20" t="s">
        <v>6</v>
      </c>
      <c r="F1884" s="18">
        <v>1</v>
      </c>
      <c r="G1884" s="19">
        <v>87.37</v>
      </c>
      <c r="H1884" s="32">
        <v>10</v>
      </c>
      <c r="I1884" s="25">
        <f t="shared" si="112"/>
        <v>873.7</v>
      </c>
      <c r="J1884" s="40"/>
      <c r="K1884" s="39"/>
      <c r="L1884" s="39"/>
      <c r="M1884" s="39"/>
      <c r="N1884" s="23"/>
      <c r="O1884" s="39"/>
      <c r="P1884" s="39"/>
      <c r="Q1884" s="39"/>
      <c r="R1884" s="39"/>
    </row>
    <row r="1885" spans="1:18" s="2" customFormat="1" ht="14.4">
      <c r="A1885" s="20">
        <f t="shared" si="113"/>
        <v>1748</v>
      </c>
      <c r="B1885" s="17" t="s">
        <v>2830</v>
      </c>
      <c r="C1885" s="17" t="s">
        <v>2831</v>
      </c>
      <c r="D1885" s="9" t="s">
        <v>25</v>
      </c>
      <c r="E1885" s="20" t="s">
        <v>26</v>
      </c>
      <c r="F1885" s="18">
        <v>1</v>
      </c>
      <c r="G1885" s="19">
        <v>13.23</v>
      </c>
      <c r="H1885" s="32">
        <v>20</v>
      </c>
      <c r="I1885" s="25">
        <f t="shared" si="112"/>
        <v>264.60000000000002</v>
      </c>
      <c r="J1885" s="40"/>
      <c r="K1885" s="39"/>
      <c r="L1885" s="39"/>
      <c r="M1885" s="39"/>
      <c r="N1885" s="23"/>
      <c r="O1885" s="39"/>
      <c r="P1885" s="39"/>
      <c r="Q1885" s="39"/>
      <c r="R1885" s="39"/>
    </row>
    <row r="1886" spans="1:18" s="2" customFormat="1" ht="14.4">
      <c r="A1886" s="20">
        <f t="shared" si="113"/>
        <v>1749</v>
      </c>
      <c r="B1886" s="17" t="s">
        <v>2832</v>
      </c>
      <c r="C1886" s="17" t="s">
        <v>2833</v>
      </c>
      <c r="D1886" s="20" t="s">
        <v>5</v>
      </c>
      <c r="E1886" s="20" t="s">
        <v>6</v>
      </c>
      <c r="F1886" s="18">
        <v>1</v>
      </c>
      <c r="G1886" s="19">
        <v>2.31</v>
      </c>
      <c r="H1886" s="32">
        <v>50</v>
      </c>
      <c r="I1886" s="25">
        <f t="shared" si="112"/>
        <v>115.5</v>
      </c>
      <c r="J1886" s="40"/>
      <c r="K1886" s="39"/>
      <c r="L1886" s="39"/>
      <c r="M1886" s="39"/>
      <c r="N1886" s="23"/>
      <c r="O1886" s="39"/>
      <c r="P1886" s="39"/>
      <c r="Q1886" s="39"/>
      <c r="R1886" s="39"/>
    </row>
    <row r="1887" spans="1:18" s="2" customFormat="1" ht="14.4">
      <c r="A1887" s="20">
        <f t="shared" si="113"/>
        <v>1750</v>
      </c>
      <c r="B1887" s="17" t="s">
        <v>2834</v>
      </c>
      <c r="C1887" s="17" t="s">
        <v>2835</v>
      </c>
      <c r="D1887" s="20" t="s">
        <v>48</v>
      </c>
      <c r="E1887" s="20" t="s">
        <v>2836</v>
      </c>
      <c r="F1887" s="18">
        <v>1</v>
      </c>
      <c r="G1887" s="19">
        <v>1.0900000000000001</v>
      </c>
      <c r="H1887" s="32">
        <v>50</v>
      </c>
      <c r="I1887" s="25">
        <f t="shared" si="112"/>
        <v>54.500000000000007</v>
      </c>
      <c r="J1887" s="40"/>
      <c r="K1887" s="39"/>
      <c r="L1887" s="39"/>
      <c r="M1887" s="39"/>
      <c r="N1887" s="23"/>
      <c r="O1887" s="39"/>
      <c r="P1887" s="39"/>
      <c r="Q1887" s="39"/>
      <c r="R1887" s="39"/>
    </row>
    <row r="1888" spans="1:18" s="2" customFormat="1" ht="39.6">
      <c r="A1888" s="20">
        <f t="shared" si="113"/>
        <v>1751</v>
      </c>
      <c r="B1888" s="17" t="s">
        <v>2837</v>
      </c>
      <c r="C1888" s="17" t="s">
        <v>2838</v>
      </c>
      <c r="D1888" s="9" t="s">
        <v>25</v>
      </c>
      <c r="E1888" s="20" t="s">
        <v>26</v>
      </c>
      <c r="F1888" s="18">
        <v>1</v>
      </c>
      <c r="G1888" s="19">
        <f>1.633198857*209.25</f>
        <v>341.74686082724998</v>
      </c>
      <c r="H1888" s="32">
        <v>15</v>
      </c>
      <c r="I1888" s="25">
        <f t="shared" si="112"/>
        <v>5126.2029124087494</v>
      </c>
      <c r="J1888" s="40"/>
      <c r="K1888" s="39"/>
      <c r="L1888" s="39"/>
      <c r="M1888" s="39"/>
      <c r="N1888" s="23"/>
      <c r="O1888" s="39"/>
      <c r="P1888" s="39"/>
      <c r="Q1888" s="39"/>
      <c r="R1888" s="39"/>
    </row>
    <row r="1889" spans="1:18" s="2" customFormat="1" ht="14.4">
      <c r="A1889" s="20">
        <f t="shared" si="113"/>
        <v>1752</v>
      </c>
      <c r="B1889" s="17" t="s">
        <v>2553</v>
      </c>
      <c r="C1889" s="17" t="s">
        <v>2839</v>
      </c>
      <c r="D1889" s="9" t="s">
        <v>25</v>
      </c>
      <c r="E1889" s="20" t="s">
        <v>26</v>
      </c>
      <c r="F1889" s="18">
        <v>1</v>
      </c>
      <c r="G1889" s="19">
        <v>28.29</v>
      </c>
      <c r="H1889" s="32">
        <v>1500</v>
      </c>
      <c r="I1889" s="25">
        <f t="shared" si="112"/>
        <v>42435</v>
      </c>
      <c r="J1889" s="40"/>
      <c r="K1889" s="39"/>
      <c r="L1889" s="39"/>
      <c r="M1889" s="39"/>
      <c r="N1889" s="23"/>
      <c r="O1889" s="39"/>
      <c r="P1889" s="39"/>
      <c r="Q1889" s="39"/>
      <c r="R1889" s="39"/>
    </row>
    <row r="1890" spans="1:18" s="2" customFormat="1" ht="14.4">
      <c r="A1890" s="20">
        <f t="shared" si="113"/>
        <v>1753</v>
      </c>
      <c r="B1890" s="17" t="s">
        <v>2840</v>
      </c>
      <c r="C1890" s="17" t="s">
        <v>2841</v>
      </c>
      <c r="D1890" s="20" t="s">
        <v>5</v>
      </c>
      <c r="E1890" s="20" t="s">
        <v>6</v>
      </c>
      <c r="F1890" s="18">
        <v>1</v>
      </c>
      <c r="G1890" s="19">
        <f>1.633198857*503.14</f>
        <v>821.72767291098</v>
      </c>
      <c r="H1890" s="32">
        <v>20</v>
      </c>
      <c r="I1890" s="25">
        <f t="shared" si="112"/>
        <v>16434.553458219601</v>
      </c>
      <c r="J1890" s="40"/>
      <c r="K1890" s="39"/>
      <c r="L1890" s="39"/>
      <c r="M1890" s="39"/>
      <c r="N1890" s="23"/>
      <c r="O1890" s="39"/>
      <c r="P1890" s="39"/>
      <c r="Q1890" s="39"/>
      <c r="R1890" s="39"/>
    </row>
    <row r="1891" spans="1:18" s="2" customFormat="1" ht="14.4">
      <c r="A1891" s="20">
        <f t="shared" si="113"/>
        <v>1754</v>
      </c>
      <c r="B1891" s="17" t="s">
        <v>2842</v>
      </c>
      <c r="C1891" s="17" t="s">
        <v>2843</v>
      </c>
      <c r="D1891" s="20" t="s">
        <v>5</v>
      </c>
      <c r="E1891" s="20" t="s">
        <v>6</v>
      </c>
      <c r="F1891" s="18">
        <v>1</v>
      </c>
      <c r="G1891" s="19">
        <v>79.91</v>
      </c>
      <c r="H1891" s="32">
        <v>20</v>
      </c>
      <c r="I1891" s="25">
        <f t="shared" si="112"/>
        <v>1598.1999999999998</v>
      </c>
      <c r="J1891" s="40"/>
      <c r="K1891" s="39"/>
      <c r="L1891" s="39"/>
      <c r="M1891" s="39"/>
      <c r="N1891" s="23"/>
      <c r="O1891" s="39"/>
      <c r="P1891" s="39"/>
      <c r="Q1891" s="39"/>
      <c r="R1891" s="39"/>
    </row>
    <row r="1892" spans="1:18" s="2" customFormat="1" ht="26.4">
      <c r="A1892" s="20">
        <f t="shared" si="113"/>
        <v>1755</v>
      </c>
      <c r="B1892" s="17" t="s">
        <v>2844</v>
      </c>
      <c r="C1892" s="17" t="s">
        <v>2845</v>
      </c>
      <c r="D1892" s="9" t="s">
        <v>25</v>
      </c>
      <c r="E1892" s="20" t="s">
        <v>26</v>
      </c>
      <c r="F1892" s="18">
        <v>1</v>
      </c>
      <c r="G1892" s="19">
        <f>1.633198857*60.83</f>
        <v>99.347486471309992</v>
      </c>
      <c r="H1892" s="32">
        <v>2.9</v>
      </c>
      <c r="I1892" s="25">
        <f t="shared" si="112"/>
        <v>288.10771076679896</v>
      </c>
      <c r="J1892" s="40"/>
      <c r="K1892" s="39"/>
      <c r="L1892" s="39"/>
      <c r="M1892" s="39"/>
      <c r="N1892" s="23"/>
      <c r="O1892" s="39"/>
      <c r="P1892" s="39"/>
      <c r="Q1892" s="39"/>
      <c r="R1892" s="39"/>
    </row>
    <row r="1893" spans="1:18" s="2" customFormat="1" ht="14.4">
      <c r="A1893" s="20">
        <f t="shared" si="113"/>
        <v>1756</v>
      </c>
      <c r="B1893" s="17" t="s">
        <v>2846</v>
      </c>
      <c r="C1893" s="17" t="s">
        <v>2847</v>
      </c>
      <c r="D1893" s="9" t="s">
        <v>25</v>
      </c>
      <c r="E1893" s="20" t="s">
        <v>26</v>
      </c>
      <c r="F1893" s="18">
        <v>1</v>
      </c>
      <c r="G1893" s="19">
        <v>46.07</v>
      </c>
      <c r="H1893" s="32">
        <v>290</v>
      </c>
      <c r="I1893" s="25">
        <f t="shared" si="112"/>
        <v>13360.3</v>
      </c>
      <c r="J1893" s="40"/>
      <c r="K1893" s="39"/>
      <c r="L1893" s="39"/>
      <c r="M1893" s="39"/>
      <c r="N1893" s="23"/>
      <c r="O1893" s="39"/>
      <c r="P1893" s="39"/>
      <c r="Q1893" s="39"/>
      <c r="R1893" s="39"/>
    </row>
    <row r="1894" spans="1:18" s="2" customFormat="1" ht="14.4">
      <c r="A1894" s="20">
        <f t="shared" si="113"/>
        <v>1757</v>
      </c>
      <c r="B1894" s="17" t="s">
        <v>2848</v>
      </c>
      <c r="C1894" s="17" t="s">
        <v>2849</v>
      </c>
      <c r="D1894" s="20" t="s">
        <v>5</v>
      </c>
      <c r="E1894" s="20" t="s">
        <v>6</v>
      </c>
      <c r="F1894" s="18">
        <v>1</v>
      </c>
      <c r="G1894" s="19">
        <f>1.54</f>
        <v>1.54</v>
      </c>
      <c r="H1894" s="32">
        <v>11</v>
      </c>
      <c r="I1894" s="25">
        <f t="shared" si="112"/>
        <v>16.940000000000001</v>
      </c>
      <c r="J1894" s="40"/>
      <c r="K1894" s="39"/>
      <c r="L1894" s="39"/>
      <c r="M1894" s="39"/>
      <c r="N1894" s="23"/>
      <c r="O1894" s="39"/>
      <c r="P1894" s="39"/>
      <c r="Q1894" s="39"/>
      <c r="R1894" s="39"/>
    </row>
    <row r="1895" spans="1:18" s="2" customFormat="1" ht="14.4">
      <c r="A1895" s="20">
        <f t="shared" si="113"/>
        <v>1758</v>
      </c>
      <c r="B1895" s="17" t="s">
        <v>2850</v>
      </c>
      <c r="C1895" s="17" t="s">
        <v>2851</v>
      </c>
      <c r="D1895" s="9" t="s">
        <v>2583</v>
      </c>
      <c r="E1895" s="20" t="s">
        <v>2852</v>
      </c>
      <c r="F1895" s="18">
        <v>1</v>
      </c>
      <c r="G1895" s="19">
        <v>88.75</v>
      </c>
      <c r="H1895" s="32">
        <v>36</v>
      </c>
      <c r="I1895" s="25">
        <f t="shared" si="112"/>
        <v>3195</v>
      </c>
      <c r="J1895" s="40"/>
      <c r="K1895" s="39"/>
      <c r="L1895" s="39"/>
      <c r="M1895" s="39"/>
      <c r="N1895" s="23"/>
      <c r="O1895" s="39"/>
      <c r="P1895" s="39"/>
      <c r="Q1895" s="39"/>
      <c r="R1895" s="39"/>
    </row>
    <row r="1896" spans="1:18" s="2" customFormat="1" ht="14.4">
      <c r="A1896" s="20">
        <f t="shared" si="113"/>
        <v>1759</v>
      </c>
      <c r="B1896" s="17" t="s">
        <v>2853</v>
      </c>
      <c r="C1896" s="17" t="s">
        <v>2854</v>
      </c>
      <c r="D1896" s="9" t="s">
        <v>2583</v>
      </c>
      <c r="E1896" s="20" t="s">
        <v>2852</v>
      </c>
      <c r="F1896" s="18">
        <v>1</v>
      </c>
      <c r="G1896" s="19">
        <v>99.97</v>
      </c>
      <c r="H1896" s="32">
        <v>36</v>
      </c>
      <c r="I1896" s="25">
        <f t="shared" si="112"/>
        <v>3598.92</v>
      </c>
      <c r="J1896" s="40"/>
      <c r="K1896" s="39"/>
      <c r="L1896" s="39"/>
      <c r="M1896" s="39"/>
      <c r="N1896" s="23"/>
      <c r="O1896" s="39"/>
      <c r="P1896" s="39"/>
      <c r="Q1896" s="39"/>
      <c r="R1896" s="39"/>
    </row>
    <row r="1897" spans="1:18" s="2" customFormat="1" ht="26.4">
      <c r="A1897" s="20">
        <f t="shared" si="113"/>
        <v>1760</v>
      </c>
      <c r="B1897" s="17" t="s">
        <v>2581</v>
      </c>
      <c r="C1897" s="17" t="s">
        <v>2582</v>
      </c>
      <c r="D1897" s="9" t="s">
        <v>2583</v>
      </c>
      <c r="E1897" s="20" t="s">
        <v>2584</v>
      </c>
      <c r="F1897" s="18">
        <v>1</v>
      </c>
      <c r="G1897" s="19">
        <f>1.633198857*83.29</f>
        <v>136.02913279953</v>
      </c>
      <c r="H1897" s="32">
        <v>0.5</v>
      </c>
      <c r="I1897" s="25">
        <f t="shared" si="112"/>
        <v>68.014566399765002</v>
      </c>
      <c r="J1897" s="40"/>
      <c r="K1897" s="39"/>
      <c r="L1897" s="39"/>
      <c r="M1897" s="39"/>
      <c r="N1897" s="23"/>
      <c r="O1897" s="39"/>
      <c r="P1897" s="39"/>
      <c r="Q1897" s="39"/>
      <c r="R1897" s="39"/>
    </row>
    <row r="1898" spans="1:18" s="2" customFormat="1" ht="26.4">
      <c r="A1898" s="20">
        <f t="shared" si="113"/>
        <v>1761</v>
      </c>
      <c r="B1898" s="17" t="s">
        <v>2855</v>
      </c>
      <c r="C1898" s="17" t="s">
        <v>2856</v>
      </c>
      <c r="D1898" s="20" t="s">
        <v>5</v>
      </c>
      <c r="E1898" s="20" t="s">
        <v>6</v>
      </c>
      <c r="F1898" s="18">
        <v>1</v>
      </c>
      <c r="G1898" s="19">
        <v>99.75</v>
      </c>
      <c r="H1898" s="32">
        <v>50</v>
      </c>
      <c r="I1898" s="25">
        <f t="shared" si="112"/>
        <v>4987.5</v>
      </c>
      <c r="J1898" s="40"/>
      <c r="K1898" s="39"/>
      <c r="L1898" s="39"/>
      <c r="M1898" s="39"/>
      <c r="N1898" s="23"/>
      <c r="O1898" s="39"/>
      <c r="P1898" s="39"/>
      <c r="Q1898" s="39"/>
      <c r="R1898" s="39"/>
    </row>
    <row r="1899" spans="1:18" s="2" customFormat="1" ht="14.4">
      <c r="A1899" s="20">
        <f t="shared" si="113"/>
        <v>1762</v>
      </c>
      <c r="B1899" s="17" t="s">
        <v>2857</v>
      </c>
      <c r="C1899" s="17" t="s">
        <v>2858</v>
      </c>
      <c r="D1899" s="20" t="s">
        <v>5</v>
      </c>
      <c r="E1899" s="20" t="s">
        <v>6</v>
      </c>
      <c r="F1899" s="18">
        <v>1</v>
      </c>
      <c r="G1899" s="19">
        <v>3.81</v>
      </c>
      <c r="H1899" s="32">
        <v>50</v>
      </c>
      <c r="I1899" s="25">
        <f t="shared" si="112"/>
        <v>190.5</v>
      </c>
      <c r="J1899" s="40"/>
      <c r="K1899" s="39"/>
      <c r="L1899" s="39"/>
      <c r="M1899" s="39"/>
      <c r="N1899" s="23"/>
      <c r="O1899" s="39"/>
      <c r="P1899" s="39"/>
      <c r="Q1899" s="39"/>
      <c r="R1899" s="39"/>
    </row>
    <row r="1900" spans="1:18" s="2" customFormat="1" ht="26.4">
      <c r="A1900" s="20">
        <f t="shared" si="113"/>
        <v>1763</v>
      </c>
      <c r="B1900" s="17" t="s">
        <v>2859</v>
      </c>
      <c r="C1900" s="17" t="s">
        <v>2860</v>
      </c>
      <c r="D1900" s="9" t="s">
        <v>2583</v>
      </c>
      <c r="E1900" s="20" t="s">
        <v>2584</v>
      </c>
      <c r="F1900" s="18">
        <v>1</v>
      </c>
      <c r="G1900" s="19">
        <f>1.633198857*78.44</f>
        <v>128.10811834308001</v>
      </c>
      <c r="H1900" s="32">
        <v>0.13</v>
      </c>
      <c r="I1900" s="25">
        <f t="shared" si="112"/>
        <v>16.654055384600401</v>
      </c>
      <c r="J1900" s="40"/>
      <c r="K1900" s="39"/>
      <c r="L1900" s="39"/>
      <c r="M1900" s="39"/>
      <c r="N1900" s="23"/>
      <c r="O1900" s="39"/>
      <c r="P1900" s="39"/>
      <c r="Q1900" s="39"/>
      <c r="R1900" s="39"/>
    </row>
    <row r="1901" spans="1:18" s="2" customFormat="1" ht="26.4">
      <c r="A1901" s="20">
        <f t="shared" si="113"/>
        <v>1764</v>
      </c>
      <c r="B1901" s="17" t="s">
        <v>2861</v>
      </c>
      <c r="C1901" s="17" t="s">
        <v>2862</v>
      </c>
      <c r="D1901" s="20" t="s">
        <v>5</v>
      </c>
      <c r="E1901" s="20" t="s">
        <v>6</v>
      </c>
      <c r="F1901" s="18">
        <v>1</v>
      </c>
      <c r="G1901" s="19">
        <v>93.83</v>
      </c>
      <c r="H1901" s="32">
        <v>12</v>
      </c>
      <c r="I1901" s="25">
        <f t="shared" si="112"/>
        <v>1125.96</v>
      </c>
      <c r="J1901" s="40"/>
      <c r="K1901" s="39"/>
      <c r="L1901" s="39"/>
      <c r="M1901" s="39"/>
      <c r="N1901" s="23"/>
      <c r="O1901" s="39"/>
      <c r="P1901" s="39"/>
      <c r="Q1901" s="39"/>
      <c r="R1901" s="39"/>
    </row>
    <row r="1902" spans="1:18" s="2" customFormat="1" ht="26.4">
      <c r="A1902" s="20">
        <f t="shared" si="113"/>
        <v>1765</v>
      </c>
      <c r="B1902" s="17" t="s">
        <v>2863</v>
      </c>
      <c r="C1902" s="17" t="s">
        <v>2864</v>
      </c>
      <c r="D1902" s="20" t="s">
        <v>5</v>
      </c>
      <c r="E1902" s="20" t="s">
        <v>6</v>
      </c>
      <c r="F1902" s="18">
        <v>1</v>
      </c>
      <c r="G1902" s="19">
        <v>99.95</v>
      </c>
      <c r="H1902" s="32">
        <v>1</v>
      </c>
      <c r="I1902" s="25">
        <f t="shared" si="112"/>
        <v>99.95</v>
      </c>
      <c r="J1902" s="40"/>
      <c r="K1902" s="39"/>
      <c r="L1902" s="39"/>
      <c r="M1902" s="39"/>
      <c r="N1902" s="23"/>
      <c r="O1902" s="39"/>
      <c r="P1902" s="39"/>
      <c r="Q1902" s="39"/>
      <c r="R1902" s="39"/>
    </row>
    <row r="1903" spans="1:18" s="2" customFormat="1" ht="14.4">
      <c r="A1903" s="20">
        <f t="shared" si="113"/>
        <v>1766</v>
      </c>
      <c r="B1903" s="17" t="s">
        <v>2865</v>
      </c>
      <c r="C1903" s="17" t="s">
        <v>2866</v>
      </c>
      <c r="D1903" s="20" t="s">
        <v>5</v>
      </c>
      <c r="E1903" s="20" t="s">
        <v>6</v>
      </c>
      <c r="F1903" s="18">
        <v>1</v>
      </c>
      <c r="G1903" s="19">
        <v>1520.18</v>
      </c>
      <c r="H1903" s="32">
        <v>3</v>
      </c>
      <c r="I1903" s="25">
        <f t="shared" si="112"/>
        <v>4560.54</v>
      </c>
      <c r="J1903" s="40"/>
      <c r="K1903" s="39"/>
      <c r="L1903" s="39"/>
      <c r="M1903" s="39"/>
      <c r="N1903" s="23"/>
      <c r="O1903" s="39"/>
      <c r="P1903" s="39"/>
      <c r="Q1903" s="39"/>
      <c r="R1903" s="39"/>
    </row>
    <row r="1904" spans="1:18" s="2" customFormat="1" ht="14.4">
      <c r="A1904" s="20">
        <f t="shared" si="113"/>
        <v>1767</v>
      </c>
      <c r="B1904" s="17" t="s">
        <v>2867</v>
      </c>
      <c r="C1904" s="17" t="s">
        <v>2868</v>
      </c>
      <c r="D1904" s="20" t="s">
        <v>48</v>
      </c>
      <c r="E1904" s="20" t="s">
        <v>2836</v>
      </c>
      <c r="F1904" s="18">
        <v>1</v>
      </c>
      <c r="G1904" s="19">
        <v>12.26</v>
      </c>
      <c r="H1904" s="32">
        <v>200</v>
      </c>
      <c r="I1904" s="25">
        <f t="shared" si="112"/>
        <v>2452</v>
      </c>
      <c r="J1904" s="40"/>
      <c r="K1904" s="39"/>
      <c r="L1904" s="39"/>
      <c r="M1904" s="39"/>
      <c r="N1904" s="23"/>
      <c r="O1904" s="39"/>
      <c r="P1904" s="39"/>
      <c r="Q1904" s="39"/>
      <c r="R1904" s="39"/>
    </row>
    <row r="1905" spans="1:18" s="2" customFormat="1" ht="39.6">
      <c r="A1905" s="20">
        <f t="shared" si="113"/>
        <v>1768</v>
      </c>
      <c r="B1905" s="17" t="s">
        <v>2869</v>
      </c>
      <c r="C1905" s="17" t="s">
        <v>2870</v>
      </c>
      <c r="D1905" s="20" t="s">
        <v>5</v>
      </c>
      <c r="E1905" s="20" t="s">
        <v>6</v>
      </c>
      <c r="F1905" s="18">
        <v>1</v>
      </c>
      <c r="G1905" s="19">
        <f>1.633198857*341.07</f>
        <v>557.03513415699001</v>
      </c>
      <c r="H1905" s="32">
        <v>10</v>
      </c>
      <c r="I1905" s="25">
        <f t="shared" si="112"/>
        <v>5570.3513415698999</v>
      </c>
      <c r="J1905" s="40"/>
      <c r="K1905" s="39"/>
      <c r="L1905" s="39"/>
      <c r="M1905" s="39"/>
      <c r="N1905" s="23"/>
      <c r="O1905" s="39"/>
      <c r="P1905" s="39"/>
      <c r="Q1905" s="39"/>
      <c r="R1905" s="39"/>
    </row>
    <row r="1906" spans="1:18" s="2" customFormat="1" ht="26.4">
      <c r="A1906" s="20">
        <f t="shared" si="113"/>
        <v>1769</v>
      </c>
      <c r="B1906" s="17" t="s">
        <v>2871</v>
      </c>
      <c r="C1906" s="17" t="s">
        <v>2872</v>
      </c>
      <c r="D1906" s="20" t="s">
        <v>5</v>
      </c>
      <c r="E1906" s="20" t="s">
        <v>6</v>
      </c>
      <c r="F1906" s="18">
        <v>1</v>
      </c>
      <c r="G1906" s="19">
        <v>869.21</v>
      </c>
      <c r="H1906" s="32">
        <v>10</v>
      </c>
      <c r="I1906" s="25">
        <f t="shared" si="112"/>
        <v>8692.1</v>
      </c>
      <c r="J1906" s="40"/>
      <c r="K1906" s="39"/>
      <c r="L1906" s="39"/>
      <c r="M1906" s="39"/>
      <c r="N1906" s="23"/>
      <c r="O1906" s="39"/>
      <c r="P1906" s="39"/>
      <c r="Q1906" s="39"/>
      <c r="R1906" s="39"/>
    </row>
    <row r="1907" spans="1:18" s="2" customFormat="1" ht="79.2">
      <c r="A1907" s="20">
        <f t="shared" si="113"/>
        <v>1770</v>
      </c>
      <c r="B1907" s="17" t="s">
        <v>2873</v>
      </c>
      <c r="C1907" s="17" t="s">
        <v>2874</v>
      </c>
      <c r="D1907" s="20" t="s">
        <v>5</v>
      </c>
      <c r="E1907" s="20" t="s">
        <v>6</v>
      </c>
      <c r="F1907" s="18">
        <v>1</v>
      </c>
      <c r="G1907" s="19">
        <f>1.633198857*187.28</f>
        <v>305.86548193895999</v>
      </c>
      <c r="H1907" s="32">
        <v>10</v>
      </c>
      <c r="I1907" s="25">
        <f t="shared" si="112"/>
        <v>3058.6548193895997</v>
      </c>
      <c r="J1907" s="40"/>
      <c r="K1907" s="39"/>
      <c r="L1907" s="39"/>
      <c r="M1907" s="39"/>
      <c r="N1907" s="23"/>
      <c r="O1907" s="39"/>
      <c r="P1907" s="39"/>
      <c r="Q1907" s="39"/>
      <c r="R1907" s="39"/>
    </row>
    <row r="1908" spans="1:18" s="2" customFormat="1" ht="14.4">
      <c r="A1908" s="20">
        <f t="shared" si="113"/>
        <v>1771</v>
      </c>
      <c r="B1908" s="17" t="s">
        <v>2875</v>
      </c>
      <c r="C1908" s="17" t="s">
        <v>2876</v>
      </c>
      <c r="D1908" s="20" t="s">
        <v>5</v>
      </c>
      <c r="E1908" s="20" t="s">
        <v>6</v>
      </c>
      <c r="F1908" s="18">
        <v>1</v>
      </c>
      <c r="G1908" s="19">
        <v>203.92</v>
      </c>
      <c r="H1908" s="32">
        <v>10</v>
      </c>
      <c r="I1908" s="25">
        <f t="shared" si="112"/>
        <v>2039.1999999999998</v>
      </c>
      <c r="J1908" s="40"/>
      <c r="K1908" s="39"/>
      <c r="L1908" s="39"/>
      <c r="M1908" s="39"/>
      <c r="N1908" s="23"/>
      <c r="O1908" s="39"/>
      <c r="P1908" s="39"/>
      <c r="Q1908" s="39"/>
      <c r="R1908" s="39"/>
    </row>
    <row r="1909" spans="1:18" s="2" customFormat="1" ht="66">
      <c r="A1909" s="20">
        <f t="shared" si="113"/>
        <v>1772</v>
      </c>
      <c r="B1909" s="17" t="s">
        <v>2877</v>
      </c>
      <c r="C1909" s="17" t="s">
        <v>2878</v>
      </c>
      <c r="D1909" s="20" t="s">
        <v>5</v>
      </c>
      <c r="E1909" s="20" t="s">
        <v>6</v>
      </c>
      <c r="F1909" s="18">
        <v>1</v>
      </c>
      <c r="G1909" s="19">
        <f>1.633198857*413.07</f>
        <v>674.62545186098998</v>
      </c>
      <c r="H1909" s="32">
        <v>10</v>
      </c>
      <c r="I1909" s="25">
        <f t="shared" si="112"/>
        <v>6746.2545186098996</v>
      </c>
      <c r="J1909" s="40"/>
      <c r="K1909" s="39"/>
      <c r="L1909" s="39"/>
      <c r="M1909" s="39"/>
      <c r="N1909" s="23"/>
      <c r="O1909" s="39"/>
      <c r="P1909" s="39"/>
      <c r="Q1909" s="39"/>
      <c r="R1909" s="39"/>
    </row>
    <row r="1910" spans="1:18" s="2" customFormat="1" ht="14.4">
      <c r="A1910" s="20">
        <f t="shared" si="113"/>
        <v>1773</v>
      </c>
      <c r="B1910" s="17" t="s">
        <v>2879</v>
      </c>
      <c r="C1910" s="17" t="s">
        <v>2880</v>
      </c>
      <c r="D1910" s="20" t="s">
        <v>5</v>
      </c>
      <c r="E1910" s="20" t="s">
        <v>6</v>
      </c>
      <c r="F1910" s="18">
        <v>1</v>
      </c>
      <c r="G1910" s="19">
        <v>94.79</v>
      </c>
      <c r="H1910" s="32">
        <v>10</v>
      </c>
      <c r="I1910" s="25">
        <f t="shared" si="112"/>
        <v>947.90000000000009</v>
      </c>
      <c r="J1910" s="40"/>
      <c r="K1910" s="39"/>
      <c r="L1910" s="39"/>
      <c r="M1910" s="39"/>
      <c r="N1910" s="23"/>
      <c r="O1910" s="39"/>
      <c r="P1910" s="39"/>
      <c r="Q1910" s="39"/>
      <c r="R1910" s="39"/>
    </row>
    <row r="1911" spans="1:18" s="2" customFormat="1" ht="39.6">
      <c r="A1911" s="20">
        <f t="shared" si="113"/>
        <v>1774</v>
      </c>
      <c r="B1911" s="17" t="s">
        <v>2881</v>
      </c>
      <c r="C1911" s="17" t="s">
        <v>2882</v>
      </c>
      <c r="D1911" s="20" t="s">
        <v>5</v>
      </c>
      <c r="E1911" s="20" t="s">
        <v>6</v>
      </c>
      <c r="F1911" s="18">
        <v>1</v>
      </c>
      <c r="G1911" s="19">
        <f>1.633198857*43.89</f>
        <v>71.681097833730007</v>
      </c>
      <c r="H1911" s="32">
        <v>20</v>
      </c>
      <c r="I1911" s="25">
        <f t="shared" si="112"/>
        <v>1433.6219566746001</v>
      </c>
      <c r="J1911" s="40"/>
      <c r="K1911" s="39"/>
      <c r="L1911" s="39"/>
      <c r="M1911" s="39"/>
      <c r="N1911" s="23"/>
      <c r="O1911" s="39"/>
      <c r="P1911" s="39"/>
      <c r="Q1911" s="39"/>
      <c r="R1911" s="39"/>
    </row>
    <row r="1912" spans="1:18" s="2" customFormat="1" ht="14.4">
      <c r="A1912" s="20">
        <f t="shared" si="113"/>
        <v>1775</v>
      </c>
      <c r="B1912" s="17" t="s">
        <v>2883</v>
      </c>
      <c r="C1912" s="17" t="s">
        <v>2884</v>
      </c>
      <c r="D1912" s="20" t="s">
        <v>5</v>
      </c>
      <c r="E1912" s="20" t="s">
        <v>6</v>
      </c>
      <c r="F1912" s="18">
        <v>1</v>
      </c>
      <c r="G1912" s="19">
        <v>214.47</v>
      </c>
      <c r="H1912" s="32">
        <v>10</v>
      </c>
      <c r="I1912" s="25">
        <f t="shared" si="112"/>
        <v>2144.6999999999998</v>
      </c>
      <c r="J1912" s="40"/>
      <c r="K1912" s="39"/>
      <c r="L1912" s="39"/>
      <c r="M1912" s="39"/>
      <c r="N1912" s="23"/>
      <c r="O1912" s="39"/>
      <c r="P1912" s="39"/>
      <c r="Q1912" s="39"/>
      <c r="R1912" s="39"/>
    </row>
    <row r="1913" spans="1:18" s="2" customFormat="1" ht="14.4">
      <c r="A1913" s="20">
        <f t="shared" si="113"/>
        <v>1776</v>
      </c>
      <c r="B1913" s="17" t="s">
        <v>2885</v>
      </c>
      <c r="C1913" s="17" t="s">
        <v>2886</v>
      </c>
      <c r="D1913" s="20" t="s">
        <v>5</v>
      </c>
      <c r="E1913" s="20" t="s">
        <v>6</v>
      </c>
      <c r="F1913" s="18">
        <v>1</v>
      </c>
      <c r="G1913" s="19">
        <f>236.29</f>
        <v>236.29</v>
      </c>
      <c r="H1913" s="32">
        <v>10</v>
      </c>
      <c r="I1913" s="25">
        <f t="shared" si="112"/>
        <v>2362.9</v>
      </c>
      <c r="J1913" s="40"/>
      <c r="K1913" s="39"/>
      <c r="L1913" s="39"/>
      <c r="M1913" s="39"/>
      <c r="N1913" s="23"/>
      <c r="O1913" s="39"/>
      <c r="P1913" s="39"/>
      <c r="Q1913" s="39"/>
      <c r="R1913" s="39"/>
    </row>
    <row r="1914" spans="1:18" s="2" customFormat="1" ht="14.4">
      <c r="A1914" s="20">
        <f t="shared" si="113"/>
        <v>1777</v>
      </c>
      <c r="B1914" s="17" t="s">
        <v>1077</v>
      </c>
      <c r="C1914" s="17" t="s">
        <v>219</v>
      </c>
      <c r="D1914" s="20" t="s">
        <v>48</v>
      </c>
      <c r="E1914" s="20" t="s">
        <v>49</v>
      </c>
      <c r="F1914" s="18">
        <v>1</v>
      </c>
      <c r="G1914" s="19"/>
      <c r="H1914" s="32">
        <v>1</v>
      </c>
      <c r="I1914" s="25">
        <f>SUM(I1868:I1913)*0.05</f>
        <v>30262.696770759849</v>
      </c>
      <c r="J1914" s="40"/>
      <c r="K1914" s="39"/>
      <c r="L1914" s="39"/>
      <c r="M1914" s="39"/>
      <c r="N1914" s="23"/>
      <c r="O1914" s="39"/>
      <c r="P1914" s="39"/>
      <c r="Q1914" s="39"/>
      <c r="R1914" s="39"/>
    </row>
    <row r="1915" spans="1:18" ht="39.6">
      <c r="A1915" s="9" t="s">
        <v>61</v>
      </c>
      <c r="B1915" s="13" t="s">
        <v>2887</v>
      </c>
      <c r="C1915" s="13" t="s">
        <v>2888</v>
      </c>
      <c r="D1915" s="14"/>
      <c r="E1915" s="14"/>
      <c r="F1915" s="18"/>
      <c r="G1915" s="19"/>
      <c r="H1915" s="15"/>
      <c r="I1915" s="25"/>
      <c r="J1915" s="24"/>
      <c r="K1915" s="22"/>
      <c r="L1915" s="22"/>
      <c r="M1915" s="22"/>
      <c r="N1915" s="23"/>
      <c r="O1915" s="22"/>
      <c r="P1915" s="22"/>
      <c r="Q1915" s="22"/>
      <c r="R1915" s="22"/>
    </row>
    <row r="1916" spans="1:18" s="2" customFormat="1" ht="26.4">
      <c r="A1916" s="20">
        <f>A1913+1</f>
        <v>1777</v>
      </c>
      <c r="B1916" s="17" t="s">
        <v>2889</v>
      </c>
      <c r="C1916" s="17" t="s">
        <v>2890</v>
      </c>
      <c r="D1916" s="20" t="s">
        <v>5</v>
      </c>
      <c r="E1916" s="20" t="s">
        <v>6</v>
      </c>
      <c r="F1916" s="18">
        <v>1</v>
      </c>
      <c r="G1916" s="19">
        <f>23270</f>
        <v>23270</v>
      </c>
      <c r="H1916" s="32">
        <v>1</v>
      </c>
      <c r="I1916" s="25">
        <f t="shared" si="112"/>
        <v>23270</v>
      </c>
      <c r="J1916" s="40"/>
      <c r="K1916" s="39"/>
      <c r="L1916" s="39"/>
      <c r="M1916" s="39"/>
      <c r="N1916" s="23"/>
      <c r="O1916" s="39"/>
      <c r="P1916" s="39"/>
      <c r="Q1916" s="39"/>
      <c r="R1916" s="39"/>
    </row>
    <row r="1917" spans="1:18" s="2" customFormat="1" ht="26.4">
      <c r="A1917" s="20">
        <f>A1916+1</f>
        <v>1778</v>
      </c>
      <c r="B1917" s="17" t="s">
        <v>2891</v>
      </c>
      <c r="C1917" s="17" t="s">
        <v>2892</v>
      </c>
      <c r="D1917" s="20" t="s">
        <v>5</v>
      </c>
      <c r="E1917" s="20" t="s">
        <v>6</v>
      </c>
      <c r="F1917" s="18">
        <v>1</v>
      </c>
      <c r="G1917" s="19">
        <f>5250</f>
        <v>5250</v>
      </c>
      <c r="H1917" s="32">
        <v>2</v>
      </c>
      <c r="I1917" s="25">
        <f t="shared" si="112"/>
        <v>10500</v>
      </c>
      <c r="J1917" s="40"/>
      <c r="K1917" s="39"/>
      <c r="L1917" s="39"/>
      <c r="M1917" s="39"/>
      <c r="N1917" s="23"/>
      <c r="O1917" s="39"/>
      <c r="P1917" s="39"/>
      <c r="Q1917" s="39"/>
      <c r="R1917" s="39"/>
    </row>
    <row r="1918" spans="1:18" s="2" customFormat="1" ht="26.4">
      <c r="A1918" s="20">
        <f t="shared" ref="A1918:A1926" si="114">A1917+1</f>
        <v>1779</v>
      </c>
      <c r="B1918" s="17" t="s">
        <v>2893</v>
      </c>
      <c r="C1918" s="17" t="s">
        <v>2894</v>
      </c>
      <c r="D1918" s="20" t="s">
        <v>5</v>
      </c>
      <c r="E1918" s="20" t="s">
        <v>6</v>
      </c>
      <c r="F1918" s="18">
        <v>1</v>
      </c>
      <c r="G1918" s="19">
        <f>995</f>
        <v>995</v>
      </c>
      <c r="H1918" s="32">
        <v>2</v>
      </c>
      <c r="I1918" s="25">
        <f t="shared" si="112"/>
        <v>1990</v>
      </c>
      <c r="J1918" s="40"/>
      <c r="K1918" s="39"/>
      <c r="L1918" s="39"/>
      <c r="M1918" s="39"/>
      <c r="N1918" s="23"/>
      <c r="O1918" s="39"/>
      <c r="P1918" s="39"/>
      <c r="Q1918" s="39"/>
      <c r="R1918" s="39"/>
    </row>
    <row r="1919" spans="1:18" s="2" customFormat="1" ht="26.4">
      <c r="A1919" s="20">
        <f t="shared" si="114"/>
        <v>1780</v>
      </c>
      <c r="B1919" s="17" t="s">
        <v>2895</v>
      </c>
      <c r="C1919" s="17" t="s">
        <v>2896</v>
      </c>
      <c r="D1919" s="20" t="s">
        <v>5</v>
      </c>
      <c r="E1919" s="20" t="s">
        <v>6</v>
      </c>
      <c r="F1919" s="18">
        <v>1</v>
      </c>
      <c r="G1919" s="19">
        <v>39722.5</v>
      </c>
      <c r="H1919" s="32">
        <v>2</v>
      </c>
      <c r="I1919" s="25">
        <f t="shared" si="112"/>
        <v>79445</v>
      </c>
      <c r="J1919" s="40"/>
      <c r="K1919" s="39"/>
      <c r="L1919" s="39"/>
      <c r="M1919" s="39"/>
      <c r="N1919" s="23"/>
      <c r="O1919" s="39"/>
      <c r="P1919" s="39"/>
      <c r="Q1919" s="39"/>
      <c r="R1919" s="39"/>
    </row>
    <row r="1920" spans="1:18" s="2" customFormat="1" ht="26.4">
      <c r="A1920" s="20">
        <f t="shared" si="114"/>
        <v>1781</v>
      </c>
      <c r="B1920" s="17" t="s">
        <v>2897</v>
      </c>
      <c r="C1920" s="17" t="s">
        <v>2898</v>
      </c>
      <c r="D1920" s="20" t="s">
        <v>5</v>
      </c>
      <c r="E1920" s="20" t="s">
        <v>6</v>
      </c>
      <c r="F1920" s="18">
        <v>1</v>
      </c>
      <c r="G1920" s="19">
        <f>13292</f>
        <v>13292</v>
      </c>
      <c r="H1920" s="32">
        <v>2</v>
      </c>
      <c r="I1920" s="25">
        <f t="shared" si="112"/>
        <v>26584</v>
      </c>
      <c r="J1920" s="40"/>
      <c r="K1920" s="39"/>
      <c r="L1920" s="39"/>
      <c r="M1920" s="39"/>
      <c r="N1920" s="23"/>
      <c r="O1920" s="39"/>
      <c r="P1920" s="39"/>
      <c r="Q1920" s="39"/>
      <c r="R1920" s="39"/>
    </row>
    <row r="1921" spans="1:18" s="2" customFormat="1" ht="26.4">
      <c r="A1921" s="20">
        <f t="shared" si="114"/>
        <v>1782</v>
      </c>
      <c r="B1921" s="17" t="s">
        <v>2899</v>
      </c>
      <c r="C1921" s="17" t="s">
        <v>2900</v>
      </c>
      <c r="D1921" s="20" t="s">
        <v>5</v>
      </c>
      <c r="E1921" s="20" t="s">
        <v>6</v>
      </c>
      <c r="F1921" s="18">
        <v>1</v>
      </c>
      <c r="G1921" s="19">
        <f>12133.5</f>
        <v>12133.5</v>
      </c>
      <c r="H1921" s="32">
        <v>2</v>
      </c>
      <c r="I1921" s="25">
        <f t="shared" si="112"/>
        <v>24267</v>
      </c>
      <c r="J1921" s="40"/>
      <c r="K1921" s="39"/>
      <c r="L1921" s="39"/>
      <c r="M1921" s="39"/>
      <c r="N1921" s="23"/>
      <c r="O1921" s="39"/>
      <c r="P1921" s="39"/>
      <c r="Q1921" s="39"/>
      <c r="R1921" s="39"/>
    </row>
    <row r="1922" spans="1:18" s="2" customFormat="1" ht="26.4">
      <c r="A1922" s="20">
        <f t="shared" si="114"/>
        <v>1783</v>
      </c>
      <c r="B1922" s="17" t="s">
        <v>2901</v>
      </c>
      <c r="C1922" s="17" t="s">
        <v>2902</v>
      </c>
      <c r="D1922" s="20" t="s">
        <v>5</v>
      </c>
      <c r="E1922" s="20" t="s">
        <v>6</v>
      </c>
      <c r="F1922" s="18">
        <v>1</v>
      </c>
      <c r="G1922" s="19">
        <f>3392</f>
        <v>3392</v>
      </c>
      <c r="H1922" s="32">
        <v>2</v>
      </c>
      <c r="I1922" s="25">
        <f t="shared" si="112"/>
        <v>6784</v>
      </c>
      <c r="J1922" s="40"/>
      <c r="K1922" s="39"/>
      <c r="L1922" s="39"/>
      <c r="M1922" s="39"/>
      <c r="N1922" s="23"/>
      <c r="O1922" s="39"/>
      <c r="P1922" s="39"/>
      <c r="Q1922" s="39"/>
      <c r="R1922" s="39"/>
    </row>
    <row r="1923" spans="1:18" s="2" customFormat="1" ht="26.4">
      <c r="A1923" s="20">
        <f t="shared" si="114"/>
        <v>1784</v>
      </c>
      <c r="B1923" s="17" t="s">
        <v>2903</v>
      </c>
      <c r="C1923" s="17" t="s">
        <v>2904</v>
      </c>
      <c r="D1923" s="20" t="s">
        <v>5</v>
      </c>
      <c r="E1923" s="20" t="s">
        <v>6</v>
      </c>
      <c r="F1923" s="18">
        <v>1</v>
      </c>
      <c r="G1923" s="19">
        <f>16762</f>
        <v>16762</v>
      </c>
      <c r="H1923" s="32">
        <v>2</v>
      </c>
      <c r="I1923" s="25">
        <f t="shared" si="112"/>
        <v>33524</v>
      </c>
      <c r="J1923" s="40"/>
      <c r="K1923" s="39"/>
      <c r="L1923" s="39"/>
      <c r="M1923" s="39"/>
      <c r="N1923" s="23"/>
      <c r="O1923" s="39"/>
      <c r="P1923" s="39"/>
      <c r="Q1923" s="39"/>
      <c r="R1923" s="39"/>
    </row>
    <row r="1924" spans="1:18" s="2" customFormat="1" ht="26.4">
      <c r="A1924" s="20">
        <f t="shared" si="114"/>
        <v>1785</v>
      </c>
      <c r="B1924" s="17" t="s">
        <v>2905</v>
      </c>
      <c r="C1924" s="17" t="s">
        <v>2906</v>
      </c>
      <c r="D1924" s="20" t="s">
        <v>5</v>
      </c>
      <c r="E1924" s="20" t="s">
        <v>6</v>
      </c>
      <c r="F1924" s="18">
        <v>1</v>
      </c>
      <c r="G1924" s="19">
        <f>4200</f>
        <v>4200</v>
      </c>
      <c r="H1924" s="32">
        <v>2</v>
      </c>
      <c r="I1924" s="25">
        <f t="shared" si="112"/>
        <v>8400</v>
      </c>
      <c r="J1924" s="40"/>
      <c r="K1924" s="39"/>
      <c r="L1924" s="39"/>
      <c r="M1924" s="39"/>
      <c r="N1924" s="23"/>
      <c r="O1924" s="39"/>
      <c r="P1924" s="39"/>
      <c r="Q1924" s="39"/>
      <c r="R1924" s="39"/>
    </row>
    <row r="1925" spans="1:18" s="2" customFormat="1" ht="26.4">
      <c r="A1925" s="20">
        <f t="shared" si="114"/>
        <v>1786</v>
      </c>
      <c r="B1925" s="17" t="s">
        <v>2907</v>
      </c>
      <c r="C1925" s="17" t="s">
        <v>2908</v>
      </c>
      <c r="D1925" s="20" t="s">
        <v>5</v>
      </c>
      <c r="E1925" s="20" t="s">
        <v>6</v>
      </c>
      <c r="F1925" s="18">
        <v>1</v>
      </c>
      <c r="G1925" s="19">
        <f>9275</f>
        <v>9275</v>
      </c>
      <c r="H1925" s="32">
        <v>2</v>
      </c>
      <c r="I1925" s="25">
        <f t="shared" si="112"/>
        <v>18550</v>
      </c>
      <c r="J1925" s="40"/>
      <c r="K1925" s="39"/>
      <c r="L1925" s="39"/>
      <c r="M1925" s="39"/>
      <c r="N1925" s="23"/>
      <c r="O1925" s="39"/>
      <c r="P1925" s="39"/>
      <c r="Q1925" s="39"/>
      <c r="R1925" s="39"/>
    </row>
    <row r="1926" spans="1:18" s="2" customFormat="1" ht="26.4">
      <c r="A1926" s="20">
        <f t="shared" si="114"/>
        <v>1787</v>
      </c>
      <c r="B1926" s="17" t="s">
        <v>2909</v>
      </c>
      <c r="C1926" s="17" t="s">
        <v>2910</v>
      </c>
      <c r="D1926" s="20" t="s">
        <v>5</v>
      </c>
      <c r="E1926" s="20" t="s">
        <v>6</v>
      </c>
      <c r="F1926" s="18">
        <v>1</v>
      </c>
      <c r="G1926" s="19">
        <f>8500</f>
        <v>8500</v>
      </c>
      <c r="H1926" s="32">
        <v>1</v>
      </c>
      <c r="I1926" s="25">
        <f t="shared" si="112"/>
        <v>8500</v>
      </c>
      <c r="J1926" s="40"/>
      <c r="K1926" s="39"/>
      <c r="L1926" s="39"/>
      <c r="M1926" s="39"/>
      <c r="N1926" s="23"/>
      <c r="O1926" s="39"/>
      <c r="P1926" s="39"/>
      <c r="Q1926" s="39"/>
      <c r="R1926" s="39"/>
    </row>
    <row r="1927" spans="1:18" ht="39.6">
      <c r="A1927" s="9" t="s">
        <v>61</v>
      </c>
      <c r="B1927" s="13" t="s">
        <v>2911</v>
      </c>
      <c r="C1927" s="13" t="s">
        <v>2912</v>
      </c>
      <c r="D1927" s="14"/>
      <c r="E1927" s="14"/>
      <c r="F1927" s="18"/>
      <c r="G1927" s="19"/>
      <c r="H1927" s="15"/>
      <c r="I1927" s="25"/>
      <c r="J1927" s="24"/>
      <c r="K1927" s="22"/>
      <c r="L1927" s="22"/>
      <c r="M1927" s="22"/>
      <c r="N1927" s="23"/>
      <c r="O1927" s="22"/>
      <c r="P1927" s="22"/>
      <c r="Q1927" s="22"/>
      <c r="R1927" s="22"/>
    </row>
    <row r="1928" spans="1:18" ht="26.4">
      <c r="A1928" s="9" t="s">
        <v>61</v>
      </c>
      <c r="B1928" s="13" t="s">
        <v>2913</v>
      </c>
      <c r="C1928" s="13" t="s">
        <v>2914</v>
      </c>
      <c r="D1928" s="14"/>
      <c r="E1928" s="14"/>
      <c r="F1928" s="18"/>
      <c r="G1928" s="19"/>
      <c r="H1928" s="15"/>
      <c r="I1928" s="25"/>
      <c r="J1928" s="24"/>
      <c r="K1928" s="22"/>
      <c r="L1928" s="22"/>
      <c r="M1928" s="22"/>
      <c r="N1928" s="23"/>
      <c r="O1928" s="22"/>
      <c r="P1928" s="22"/>
      <c r="Q1928" s="22"/>
      <c r="R1928" s="22"/>
    </row>
    <row r="1929" spans="1:18" s="2" customFormat="1" ht="14.4">
      <c r="A1929" s="20">
        <f>A1926+1</f>
        <v>1788</v>
      </c>
      <c r="B1929" s="17" t="s">
        <v>2915</v>
      </c>
      <c r="C1929" s="17" t="s">
        <v>2916</v>
      </c>
      <c r="D1929" s="20" t="s">
        <v>2593</v>
      </c>
      <c r="E1929" s="20" t="s">
        <v>2917</v>
      </c>
      <c r="F1929" s="18">
        <v>1</v>
      </c>
      <c r="G1929" s="19">
        <f>1.633198857*430.55</f>
        <v>703.17376788135005</v>
      </c>
      <c r="H1929" s="32">
        <v>10</v>
      </c>
      <c r="I1929" s="25">
        <f t="shared" si="112"/>
        <v>7031.7376788135007</v>
      </c>
      <c r="J1929" s="40"/>
      <c r="K1929" s="39"/>
      <c r="L1929" s="39"/>
      <c r="M1929" s="39"/>
      <c r="N1929" s="23"/>
      <c r="O1929" s="39"/>
      <c r="P1929" s="39"/>
      <c r="Q1929" s="39"/>
      <c r="R1929" s="39"/>
    </row>
    <row r="1930" spans="1:18" s="2" customFormat="1" ht="14.4">
      <c r="A1930" s="20">
        <f>A1929+1</f>
        <v>1789</v>
      </c>
      <c r="B1930" s="17" t="s">
        <v>2791</v>
      </c>
      <c r="C1930" s="17" t="s">
        <v>2918</v>
      </c>
      <c r="D1930" s="20" t="s">
        <v>5</v>
      </c>
      <c r="E1930" s="20" t="s">
        <v>6</v>
      </c>
      <c r="F1930" s="18">
        <v>1</v>
      </c>
      <c r="G1930" s="19">
        <f>1.633198857*41.15</f>
        <v>67.206132965549997</v>
      </c>
      <c r="H1930" s="32">
        <v>10</v>
      </c>
      <c r="I1930" s="25">
        <f t="shared" si="112"/>
        <v>672.0613296555</v>
      </c>
      <c r="J1930" s="40"/>
      <c r="K1930" s="39"/>
      <c r="L1930" s="39"/>
      <c r="M1930" s="39"/>
      <c r="N1930" s="23"/>
      <c r="O1930" s="39"/>
      <c r="P1930" s="39"/>
      <c r="Q1930" s="39"/>
      <c r="R1930" s="39"/>
    </row>
    <row r="1931" spans="1:18" s="2" customFormat="1" ht="14.4">
      <c r="A1931" s="20">
        <f>A1930+1</f>
        <v>1790</v>
      </c>
      <c r="B1931" s="17" t="s">
        <v>2704</v>
      </c>
      <c r="C1931" s="17" t="s">
        <v>2705</v>
      </c>
      <c r="D1931" s="20" t="s">
        <v>25</v>
      </c>
      <c r="E1931" s="20" t="s">
        <v>26</v>
      </c>
      <c r="F1931" s="18">
        <v>1</v>
      </c>
      <c r="G1931" s="19">
        <v>86.39</v>
      </c>
      <c r="H1931" s="32">
        <v>5</v>
      </c>
      <c r="I1931" s="25">
        <f t="shared" ref="I1931:I1994" si="115">G1931*H1931</f>
        <v>431.95</v>
      </c>
      <c r="J1931" s="40"/>
      <c r="K1931" s="39"/>
      <c r="L1931" s="39"/>
      <c r="M1931" s="39"/>
      <c r="N1931" s="23"/>
      <c r="O1931" s="39"/>
      <c r="P1931" s="39"/>
      <c r="Q1931" s="39"/>
      <c r="R1931" s="39"/>
    </row>
    <row r="1932" spans="1:18" s="2" customFormat="1" ht="14.4">
      <c r="A1932" s="20">
        <f>A1931+1</f>
        <v>1791</v>
      </c>
      <c r="B1932" s="17" t="s">
        <v>2743</v>
      </c>
      <c r="C1932" s="17" t="s">
        <v>2744</v>
      </c>
      <c r="D1932" s="20" t="s">
        <v>25</v>
      </c>
      <c r="E1932" s="20" t="s">
        <v>26</v>
      </c>
      <c r="F1932" s="18">
        <v>1</v>
      </c>
      <c r="G1932" s="19">
        <v>17.899999999999999</v>
      </c>
      <c r="H1932" s="32">
        <v>5</v>
      </c>
      <c r="I1932" s="25">
        <f t="shared" si="115"/>
        <v>89.5</v>
      </c>
      <c r="J1932" s="40"/>
      <c r="K1932" s="39"/>
      <c r="L1932" s="39"/>
      <c r="M1932" s="39"/>
      <c r="N1932" s="23"/>
      <c r="O1932" s="39"/>
      <c r="P1932" s="39"/>
      <c r="Q1932" s="39"/>
      <c r="R1932" s="39"/>
    </row>
    <row r="1933" spans="1:18" s="2" customFormat="1" ht="26.4">
      <c r="A1933" s="20">
        <f>A1932+1</f>
        <v>1792</v>
      </c>
      <c r="B1933" s="17" t="s">
        <v>2919</v>
      </c>
      <c r="C1933" s="17" t="s">
        <v>2768</v>
      </c>
      <c r="D1933" s="20" t="s">
        <v>25</v>
      </c>
      <c r="E1933" s="20" t="s">
        <v>26</v>
      </c>
      <c r="F1933" s="18">
        <v>1</v>
      </c>
      <c r="G1933" s="19">
        <f>1.633198857*25.83</f>
        <v>42.185526476309995</v>
      </c>
      <c r="H1933" s="32">
        <v>200</v>
      </c>
      <c r="I1933" s="25">
        <f t="shared" si="115"/>
        <v>8437.1052952619993</v>
      </c>
      <c r="J1933" s="40"/>
      <c r="K1933" s="39"/>
      <c r="L1933" s="39"/>
      <c r="M1933" s="39"/>
      <c r="N1933" s="23"/>
      <c r="O1933" s="39"/>
      <c r="P1933" s="39"/>
      <c r="Q1933" s="39"/>
      <c r="R1933" s="39"/>
    </row>
    <row r="1934" spans="1:18" s="2" customFormat="1" ht="14.4">
      <c r="A1934" s="20">
        <f>A1933+1</f>
        <v>1793</v>
      </c>
      <c r="B1934" s="17" t="s">
        <v>1077</v>
      </c>
      <c r="C1934" s="17" t="s">
        <v>219</v>
      </c>
      <c r="D1934" s="20" t="s">
        <v>48</v>
      </c>
      <c r="E1934" s="20" t="s">
        <v>49</v>
      </c>
      <c r="F1934" s="18">
        <v>1</v>
      </c>
      <c r="G1934" s="19">
        <f>1.633198857</f>
        <v>1.633198857</v>
      </c>
      <c r="H1934" s="32">
        <v>1</v>
      </c>
      <c r="I1934" s="25">
        <f t="shared" si="115"/>
        <v>1.633198857</v>
      </c>
      <c r="J1934" s="40"/>
      <c r="K1934" s="39"/>
      <c r="L1934" s="39"/>
      <c r="M1934" s="39"/>
      <c r="N1934" s="23"/>
      <c r="O1934" s="39"/>
      <c r="P1934" s="39"/>
      <c r="Q1934" s="39"/>
      <c r="R1934" s="39"/>
    </row>
    <row r="1935" spans="1:18" s="2" customFormat="1" ht="14.4">
      <c r="A1935" s="20">
        <f>A1933+1</f>
        <v>1793</v>
      </c>
      <c r="B1935" s="17"/>
      <c r="C1935" s="17" t="s">
        <v>2920</v>
      </c>
      <c r="D1935" s="20" t="s">
        <v>25</v>
      </c>
      <c r="E1935" s="20" t="s">
        <v>26</v>
      </c>
      <c r="F1935" s="18">
        <v>1</v>
      </c>
      <c r="G1935" s="19">
        <f>12.32</f>
        <v>12.32</v>
      </c>
      <c r="H1935" s="32">
        <v>200</v>
      </c>
      <c r="I1935" s="25">
        <f t="shared" si="115"/>
        <v>2464</v>
      </c>
      <c r="J1935" s="40"/>
      <c r="K1935" s="39"/>
      <c r="L1935" s="39"/>
      <c r="M1935" s="39"/>
      <c r="N1935" s="23"/>
      <c r="O1935" s="39"/>
      <c r="P1935" s="39"/>
      <c r="Q1935" s="39"/>
      <c r="R1935" s="39"/>
    </row>
    <row r="1936" spans="1:18" ht="39.6">
      <c r="A1936" s="9" t="s">
        <v>61</v>
      </c>
      <c r="B1936" s="13" t="s">
        <v>2921</v>
      </c>
      <c r="C1936" s="13" t="s">
        <v>2922</v>
      </c>
      <c r="D1936" s="14"/>
      <c r="E1936" s="14"/>
      <c r="F1936" s="18"/>
      <c r="G1936" s="19"/>
      <c r="H1936" s="15"/>
      <c r="I1936" s="25"/>
      <c r="J1936" s="24"/>
      <c r="K1936" s="22"/>
      <c r="L1936" s="22"/>
      <c r="M1936" s="22"/>
      <c r="N1936" s="23"/>
      <c r="O1936" s="22"/>
      <c r="P1936" s="22"/>
      <c r="Q1936" s="22"/>
      <c r="R1936" s="22"/>
    </row>
    <row r="1937" spans="1:18" ht="14.4">
      <c r="A1937" s="9">
        <f>A1935+1</f>
        <v>1794</v>
      </c>
      <c r="B1937" s="17" t="s">
        <v>2923</v>
      </c>
      <c r="C1937" s="17" t="s">
        <v>2924</v>
      </c>
      <c r="D1937" s="20" t="s">
        <v>5</v>
      </c>
      <c r="E1937" s="20" t="s">
        <v>6</v>
      </c>
      <c r="F1937" s="18">
        <v>1</v>
      </c>
      <c r="G1937" s="19">
        <f>17049/1.2</f>
        <v>14207.5</v>
      </c>
      <c r="H1937" s="32">
        <v>1</v>
      </c>
      <c r="I1937" s="25">
        <f t="shared" si="115"/>
        <v>14207.5</v>
      </c>
      <c r="J1937" s="24"/>
      <c r="K1937" s="22"/>
      <c r="L1937" s="22"/>
      <c r="M1937" s="22"/>
      <c r="N1937" s="23"/>
      <c r="O1937" s="22"/>
      <c r="P1937" s="22"/>
      <c r="Q1937" s="22"/>
      <c r="R1937" s="22"/>
    </row>
    <row r="1938" spans="1:18" ht="14.4">
      <c r="A1938" s="9">
        <f>A1937+1</f>
        <v>1795</v>
      </c>
      <c r="B1938" s="17" t="s">
        <v>2925</v>
      </c>
      <c r="C1938" s="17" t="s">
        <v>2926</v>
      </c>
      <c r="D1938" s="20" t="s">
        <v>5</v>
      </c>
      <c r="E1938" s="20" t="s">
        <v>6</v>
      </c>
      <c r="F1938" s="18">
        <v>1</v>
      </c>
      <c r="G1938" s="19">
        <v>386</v>
      </c>
      <c r="H1938" s="32">
        <v>1</v>
      </c>
      <c r="I1938" s="25">
        <f t="shared" si="115"/>
        <v>386</v>
      </c>
      <c r="J1938" s="24"/>
      <c r="K1938" s="22"/>
      <c r="L1938" s="22"/>
      <c r="M1938" s="22"/>
      <c r="N1938" s="23"/>
      <c r="O1938" s="22"/>
      <c r="P1938" s="22"/>
      <c r="Q1938" s="22"/>
      <c r="R1938" s="22"/>
    </row>
    <row r="1939" spans="1:18" s="2" customFormat="1" ht="14.4">
      <c r="A1939" s="9">
        <f>A1938+1</f>
        <v>1796</v>
      </c>
      <c r="B1939" s="17" t="s">
        <v>2927</v>
      </c>
      <c r="C1939" s="17" t="s">
        <v>2928</v>
      </c>
      <c r="D1939" s="20" t="s">
        <v>5</v>
      </c>
      <c r="E1939" s="20" t="s">
        <v>6</v>
      </c>
      <c r="F1939" s="18">
        <v>1</v>
      </c>
      <c r="G1939" s="19">
        <v>1450</v>
      </c>
      <c r="H1939" s="32">
        <v>9</v>
      </c>
      <c r="I1939" s="25">
        <f t="shared" si="115"/>
        <v>13050</v>
      </c>
      <c r="J1939" s="40"/>
      <c r="K1939" s="39"/>
      <c r="L1939" s="39"/>
      <c r="M1939" s="39"/>
      <c r="N1939" s="23"/>
      <c r="O1939" s="39"/>
      <c r="P1939" s="39"/>
      <c r="Q1939" s="39"/>
      <c r="R1939" s="39"/>
    </row>
    <row r="1940" spans="1:18" ht="26.4">
      <c r="A1940" s="9" t="s">
        <v>61</v>
      </c>
      <c r="B1940" s="13" t="s">
        <v>2929</v>
      </c>
      <c r="C1940" s="13" t="s">
        <v>2930</v>
      </c>
      <c r="D1940" s="14"/>
      <c r="E1940" s="14"/>
      <c r="F1940" s="18"/>
      <c r="G1940" s="19"/>
      <c r="H1940" s="15"/>
      <c r="I1940" s="25"/>
      <c r="J1940" s="24"/>
      <c r="K1940" s="22"/>
      <c r="L1940" s="22"/>
      <c r="M1940" s="22"/>
      <c r="N1940" s="23"/>
      <c r="O1940" s="22"/>
      <c r="P1940" s="22"/>
      <c r="Q1940" s="22"/>
      <c r="R1940" s="22"/>
    </row>
    <row r="1941" spans="1:18" s="2" customFormat="1" ht="39.6">
      <c r="A1941" s="20">
        <f>A1939+1</f>
        <v>1797</v>
      </c>
      <c r="B1941" s="17" t="s">
        <v>2837</v>
      </c>
      <c r="C1941" s="17" t="s">
        <v>2838</v>
      </c>
      <c r="D1941" s="9" t="s">
        <v>769</v>
      </c>
      <c r="E1941" s="20" t="s">
        <v>2706</v>
      </c>
      <c r="F1941" s="18">
        <v>1</v>
      </c>
      <c r="G1941" s="19">
        <f>1.633198857*30.98</f>
        <v>50.59650058986</v>
      </c>
      <c r="H1941" s="32">
        <v>1.1000000000000001</v>
      </c>
      <c r="I1941" s="25">
        <f t="shared" si="115"/>
        <v>55.656150648846001</v>
      </c>
      <c r="J1941" s="40"/>
      <c r="K1941" s="39"/>
      <c r="L1941" s="39"/>
      <c r="M1941" s="39"/>
      <c r="N1941" s="23"/>
      <c r="O1941" s="39"/>
      <c r="P1941" s="39"/>
      <c r="Q1941" s="39"/>
      <c r="R1941" s="39"/>
    </row>
    <row r="1942" spans="1:18" s="2" customFormat="1" ht="14.4">
      <c r="A1942" s="20">
        <f>A1941+1</f>
        <v>1798</v>
      </c>
      <c r="B1942" s="17" t="s">
        <v>2553</v>
      </c>
      <c r="C1942" s="17" t="s">
        <v>2554</v>
      </c>
      <c r="D1942" s="9" t="s">
        <v>25</v>
      </c>
      <c r="E1942" s="20" t="s">
        <v>26</v>
      </c>
      <c r="F1942" s="18">
        <v>1</v>
      </c>
      <c r="G1942" s="19">
        <f>28.29</f>
        <v>28.29</v>
      </c>
      <c r="H1942" s="32">
        <v>110</v>
      </c>
      <c r="I1942" s="25">
        <f t="shared" si="115"/>
        <v>3111.9</v>
      </c>
      <c r="J1942" s="40"/>
      <c r="K1942" s="39"/>
      <c r="L1942" s="39"/>
      <c r="M1942" s="39"/>
      <c r="N1942" s="23"/>
      <c r="O1942" s="39"/>
      <c r="P1942" s="39"/>
      <c r="Q1942" s="39"/>
      <c r="R1942" s="39"/>
    </row>
    <row r="1943" spans="1:18" s="2" customFormat="1" ht="52.8">
      <c r="A1943" s="20">
        <f t="shared" ref="A1943:A1963" si="116">A1942+1</f>
        <v>1799</v>
      </c>
      <c r="B1943" s="17" t="s">
        <v>2709</v>
      </c>
      <c r="C1943" s="17" t="s">
        <v>2710</v>
      </c>
      <c r="D1943" s="9" t="s">
        <v>769</v>
      </c>
      <c r="E1943" s="20" t="s">
        <v>2706</v>
      </c>
      <c r="F1943" s="18">
        <v>1</v>
      </c>
      <c r="G1943" s="19">
        <f>1.633198857*30.98</f>
        <v>50.59650058986</v>
      </c>
      <c r="H1943" s="32">
        <v>7.7</v>
      </c>
      <c r="I1943" s="25">
        <f t="shared" si="115"/>
        <v>389.59305454192202</v>
      </c>
      <c r="J1943" s="40"/>
      <c r="K1943" s="39"/>
      <c r="L1943" s="39"/>
      <c r="M1943" s="39"/>
      <c r="N1943" s="23"/>
      <c r="O1943" s="39"/>
      <c r="P1943" s="39"/>
      <c r="Q1943" s="39"/>
      <c r="R1943" s="39"/>
    </row>
    <row r="1944" spans="1:18" s="2" customFormat="1" ht="14.4">
      <c r="A1944" s="20">
        <f t="shared" si="116"/>
        <v>1800</v>
      </c>
      <c r="B1944" s="17" t="s">
        <v>2931</v>
      </c>
      <c r="C1944" s="17" t="s">
        <v>2932</v>
      </c>
      <c r="D1944" s="20" t="s">
        <v>2771</v>
      </c>
      <c r="E1944" s="20" t="s">
        <v>2772</v>
      </c>
      <c r="F1944" s="18">
        <v>1</v>
      </c>
      <c r="G1944" s="19">
        <f>12.32</f>
        <v>12.32</v>
      </c>
      <c r="H1944" s="32">
        <v>0.66</v>
      </c>
      <c r="I1944" s="25">
        <f t="shared" si="115"/>
        <v>8.1311999999999998</v>
      </c>
      <c r="J1944" s="40"/>
      <c r="K1944" s="39"/>
      <c r="L1944" s="39"/>
      <c r="M1944" s="39"/>
      <c r="N1944" s="23"/>
      <c r="O1944" s="39"/>
      <c r="P1944" s="39"/>
      <c r="Q1944" s="39"/>
      <c r="R1944" s="39"/>
    </row>
    <row r="1945" spans="1:18" s="2" customFormat="1" ht="14.4">
      <c r="A1945" s="20">
        <f t="shared" si="116"/>
        <v>1801</v>
      </c>
      <c r="B1945" s="17" t="s">
        <v>2933</v>
      </c>
      <c r="C1945" s="17" t="s">
        <v>2934</v>
      </c>
      <c r="D1945" s="20" t="s">
        <v>2771</v>
      </c>
      <c r="E1945" s="20" t="s">
        <v>2772</v>
      </c>
      <c r="F1945" s="18">
        <v>1</v>
      </c>
      <c r="G1945" s="19">
        <v>48.2</v>
      </c>
      <c r="H1945" s="32">
        <v>0.11</v>
      </c>
      <c r="I1945" s="25">
        <f t="shared" si="115"/>
        <v>5.3020000000000005</v>
      </c>
      <c r="J1945" s="40"/>
      <c r="K1945" s="39"/>
      <c r="L1945" s="39"/>
      <c r="M1945" s="39"/>
      <c r="N1945" s="23"/>
      <c r="O1945" s="39"/>
      <c r="P1945" s="39"/>
      <c r="Q1945" s="39"/>
      <c r="R1945" s="39"/>
    </row>
    <row r="1946" spans="1:18" s="2" customFormat="1" ht="14.4">
      <c r="A1946" s="20">
        <f>A1944+1</f>
        <v>1801</v>
      </c>
      <c r="B1946" s="17" t="s">
        <v>2791</v>
      </c>
      <c r="C1946" s="17" t="s">
        <v>2918</v>
      </c>
      <c r="D1946" s="20" t="s">
        <v>5</v>
      </c>
      <c r="E1946" s="20" t="s">
        <v>6</v>
      </c>
      <c r="F1946" s="18">
        <v>1</v>
      </c>
      <c r="G1946" s="19">
        <v>41.45</v>
      </c>
      <c r="H1946" s="32">
        <v>11</v>
      </c>
      <c r="I1946" s="25">
        <f t="shared" si="115"/>
        <v>455.95000000000005</v>
      </c>
      <c r="J1946" s="40"/>
      <c r="K1946" s="39"/>
      <c r="L1946" s="39"/>
      <c r="M1946" s="39"/>
      <c r="N1946" s="23"/>
      <c r="O1946" s="39"/>
      <c r="P1946" s="39"/>
      <c r="Q1946" s="39"/>
      <c r="R1946" s="39"/>
    </row>
    <row r="1947" spans="1:18" s="2" customFormat="1" ht="14.4">
      <c r="A1947" s="20">
        <f t="shared" si="116"/>
        <v>1802</v>
      </c>
      <c r="B1947" s="17" t="s">
        <v>2715</v>
      </c>
      <c r="C1947" s="17" t="s">
        <v>2716</v>
      </c>
      <c r="D1947" s="9" t="s">
        <v>2717</v>
      </c>
      <c r="E1947" s="20" t="s">
        <v>2718</v>
      </c>
      <c r="F1947" s="18">
        <v>1</v>
      </c>
      <c r="G1947" s="19">
        <v>36.15</v>
      </c>
      <c r="H1947" s="32">
        <v>12</v>
      </c>
      <c r="I1947" s="25">
        <f t="shared" si="115"/>
        <v>433.79999999999995</v>
      </c>
      <c r="J1947" s="40"/>
      <c r="K1947" s="39"/>
      <c r="L1947" s="39"/>
      <c r="M1947" s="39"/>
      <c r="N1947" s="23"/>
      <c r="O1947" s="39"/>
      <c r="P1947" s="39"/>
      <c r="Q1947" s="39"/>
      <c r="R1947" s="39"/>
    </row>
    <row r="1948" spans="1:18" s="2" customFormat="1" ht="14.4">
      <c r="A1948" s="20">
        <f t="shared" si="116"/>
        <v>1803</v>
      </c>
      <c r="B1948" s="17" t="s">
        <v>2719</v>
      </c>
      <c r="C1948" s="17" t="s">
        <v>2720</v>
      </c>
      <c r="D1948" s="9" t="s">
        <v>2717</v>
      </c>
      <c r="E1948" s="20" t="s">
        <v>2718</v>
      </c>
      <c r="F1948" s="18">
        <v>1</v>
      </c>
      <c r="G1948" s="19">
        <v>194.43</v>
      </c>
      <c r="H1948" s="32">
        <v>30</v>
      </c>
      <c r="I1948" s="25">
        <f t="shared" si="115"/>
        <v>5832.9000000000005</v>
      </c>
      <c r="J1948" s="40"/>
      <c r="K1948" s="39"/>
      <c r="L1948" s="39"/>
      <c r="M1948" s="39"/>
      <c r="N1948" s="23"/>
      <c r="O1948" s="39"/>
      <c r="P1948" s="39"/>
      <c r="Q1948" s="39"/>
      <c r="R1948" s="39"/>
    </row>
    <row r="1949" spans="1:18" s="2" customFormat="1" ht="14.4">
      <c r="A1949" s="20">
        <f t="shared" si="116"/>
        <v>1804</v>
      </c>
      <c r="B1949" s="17" t="s">
        <v>2698</v>
      </c>
      <c r="C1949" s="17" t="s">
        <v>2699</v>
      </c>
      <c r="D1949" s="20" t="s">
        <v>5</v>
      </c>
      <c r="E1949" s="20" t="s">
        <v>6</v>
      </c>
      <c r="F1949" s="18">
        <v>1</v>
      </c>
      <c r="G1949" s="19">
        <f>1.633198857*78.42</f>
        <v>128.07545436594</v>
      </c>
      <c r="H1949" s="32">
        <v>91</v>
      </c>
      <c r="I1949" s="25">
        <f t="shared" si="115"/>
        <v>11654.86634730054</v>
      </c>
      <c r="J1949" s="40"/>
      <c r="K1949" s="39"/>
      <c r="L1949" s="39"/>
      <c r="M1949" s="39"/>
      <c r="N1949" s="23"/>
      <c r="O1949" s="39"/>
      <c r="P1949" s="39"/>
      <c r="Q1949" s="39"/>
      <c r="R1949" s="39"/>
    </row>
    <row r="1950" spans="1:18" s="2" customFormat="1" ht="14.4">
      <c r="A1950" s="20">
        <f t="shared" si="116"/>
        <v>1805</v>
      </c>
      <c r="B1950" s="17" t="s">
        <v>2700</v>
      </c>
      <c r="C1950" s="17" t="s">
        <v>2701</v>
      </c>
      <c r="D1950" s="20" t="s">
        <v>5</v>
      </c>
      <c r="E1950" s="20" t="s">
        <v>6</v>
      </c>
      <c r="F1950" s="18">
        <v>1</v>
      </c>
      <c r="G1950" s="19">
        <v>93.57</v>
      </c>
      <c r="H1950" s="32">
        <v>91</v>
      </c>
      <c r="I1950" s="25">
        <f t="shared" si="115"/>
        <v>8514.869999999999</v>
      </c>
      <c r="J1950" s="40"/>
      <c r="K1950" s="39"/>
      <c r="L1950" s="39"/>
      <c r="M1950" s="39"/>
      <c r="N1950" s="23"/>
      <c r="O1950" s="39"/>
      <c r="P1950" s="39"/>
      <c r="Q1950" s="39"/>
      <c r="R1950" s="39"/>
    </row>
    <row r="1951" spans="1:18" s="2" customFormat="1" ht="14.4">
      <c r="A1951" s="20">
        <f t="shared" si="116"/>
        <v>1806</v>
      </c>
      <c r="B1951" s="17" t="s">
        <v>2721</v>
      </c>
      <c r="C1951" s="17" t="s">
        <v>2722</v>
      </c>
      <c r="D1951" s="20" t="s">
        <v>5</v>
      </c>
      <c r="E1951" s="20" t="s">
        <v>6</v>
      </c>
      <c r="F1951" s="18">
        <v>1</v>
      </c>
      <c r="G1951" s="19">
        <v>113.7</v>
      </c>
      <c r="H1951" s="32">
        <v>91</v>
      </c>
      <c r="I1951" s="25">
        <f t="shared" si="115"/>
        <v>10346.700000000001</v>
      </c>
      <c r="J1951" s="40"/>
      <c r="K1951" s="39"/>
      <c r="L1951" s="39"/>
      <c r="M1951" s="39"/>
      <c r="N1951" s="23"/>
      <c r="O1951" s="39"/>
      <c r="P1951" s="39"/>
      <c r="Q1951" s="39"/>
      <c r="R1951" s="39"/>
    </row>
    <row r="1952" spans="1:18" s="2" customFormat="1" ht="14.4">
      <c r="A1952" s="20">
        <f t="shared" si="116"/>
        <v>1807</v>
      </c>
      <c r="B1952" s="17" t="s">
        <v>2723</v>
      </c>
      <c r="C1952" s="17" t="s">
        <v>2724</v>
      </c>
      <c r="D1952" s="20" t="s">
        <v>5</v>
      </c>
      <c r="E1952" s="20" t="s">
        <v>6</v>
      </c>
      <c r="F1952" s="18">
        <v>1</v>
      </c>
      <c r="G1952" s="19">
        <v>87.64</v>
      </c>
      <c r="H1952" s="32">
        <v>91</v>
      </c>
      <c r="I1952" s="25">
        <f t="shared" si="115"/>
        <v>7975.24</v>
      </c>
      <c r="J1952" s="40"/>
      <c r="K1952" s="39"/>
      <c r="L1952" s="39"/>
      <c r="M1952" s="39"/>
      <c r="N1952" s="23"/>
      <c r="O1952" s="39"/>
      <c r="P1952" s="39"/>
      <c r="Q1952" s="39"/>
      <c r="R1952" s="39"/>
    </row>
    <row r="1953" spans="1:18" s="2" customFormat="1" ht="39.6">
      <c r="A1953" s="20">
        <f t="shared" si="116"/>
        <v>1808</v>
      </c>
      <c r="B1953" s="17" t="s">
        <v>2702</v>
      </c>
      <c r="C1953" s="17" t="s">
        <v>2703</v>
      </c>
      <c r="D1953" s="20" t="s">
        <v>5</v>
      </c>
      <c r="E1953" s="20" t="s">
        <v>6</v>
      </c>
      <c r="F1953" s="18">
        <v>1</v>
      </c>
      <c r="G1953" s="19">
        <f>1.633198857*561.83</f>
        <v>917.58011382831012</v>
      </c>
      <c r="H1953" s="32">
        <v>12</v>
      </c>
      <c r="I1953" s="25">
        <f t="shared" si="115"/>
        <v>11010.961365939722</v>
      </c>
      <c r="J1953" s="40"/>
      <c r="K1953" s="39"/>
      <c r="L1953" s="39"/>
      <c r="M1953" s="39"/>
      <c r="N1953" s="23"/>
      <c r="O1953" s="39"/>
      <c r="P1953" s="39"/>
      <c r="Q1953" s="39"/>
      <c r="R1953" s="39"/>
    </row>
    <row r="1954" spans="1:18" s="2" customFormat="1" ht="14.4">
      <c r="A1954" s="20">
        <f t="shared" si="116"/>
        <v>1809</v>
      </c>
      <c r="B1954" s="17" t="s">
        <v>2935</v>
      </c>
      <c r="C1954" s="17" t="s">
        <v>2936</v>
      </c>
      <c r="D1954" s="20" t="s">
        <v>5</v>
      </c>
      <c r="E1954" s="20" t="s">
        <v>6</v>
      </c>
      <c r="F1954" s="18">
        <v>1</v>
      </c>
      <c r="G1954" s="19">
        <v>45.97</v>
      </c>
      <c r="H1954" s="32">
        <v>12</v>
      </c>
      <c r="I1954" s="25">
        <f t="shared" si="115"/>
        <v>551.64</v>
      </c>
      <c r="J1954" s="40"/>
      <c r="K1954" s="39"/>
      <c r="L1954" s="39"/>
      <c r="M1954" s="39"/>
      <c r="N1954" s="23"/>
      <c r="O1954" s="39"/>
      <c r="P1954" s="39"/>
      <c r="Q1954" s="39"/>
      <c r="R1954" s="39"/>
    </row>
    <row r="1955" spans="1:18" s="2" customFormat="1" ht="14.4">
      <c r="A1955" s="20">
        <f t="shared" si="116"/>
        <v>1810</v>
      </c>
      <c r="B1955" s="17" t="s">
        <v>2937</v>
      </c>
      <c r="C1955" s="17" t="s">
        <v>2938</v>
      </c>
      <c r="D1955" s="20" t="s">
        <v>5</v>
      </c>
      <c r="E1955" s="20" t="s">
        <v>6</v>
      </c>
      <c r="F1955" s="18">
        <v>1</v>
      </c>
      <c r="G1955" s="19">
        <f>1.633198857*53.33</f>
        <v>87.098495043810004</v>
      </c>
      <c r="H1955" s="32">
        <v>424</v>
      </c>
      <c r="I1955" s="25">
        <f t="shared" si="115"/>
        <v>36929.761898575445</v>
      </c>
      <c r="J1955" s="40"/>
      <c r="K1955" s="39"/>
      <c r="L1955" s="39"/>
      <c r="M1955" s="39"/>
      <c r="N1955" s="23"/>
      <c r="O1955" s="39"/>
      <c r="P1955" s="39"/>
      <c r="Q1955" s="39"/>
      <c r="R1955" s="39"/>
    </row>
    <row r="1956" spans="1:18" s="2" customFormat="1" ht="26.4">
      <c r="A1956" s="20">
        <f t="shared" si="116"/>
        <v>1811</v>
      </c>
      <c r="B1956" s="17" t="s">
        <v>2939</v>
      </c>
      <c r="C1956" s="17" t="s">
        <v>2940</v>
      </c>
      <c r="D1956" s="20" t="s">
        <v>5</v>
      </c>
      <c r="E1956" s="20" t="s">
        <v>6</v>
      </c>
      <c r="F1956" s="18">
        <v>1</v>
      </c>
      <c r="G1956" s="19">
        <f>20.47</f>
        <v>20.47</v>
      </c>
      <c r="H1956" s="32">
        <v>424</v>
      </c>
      <c r="I1956" s="25">
        <f t="shared" si="115"/>
        <v>8679.2799999999988</v>
      </c>
      <c r="J1956" s="40"/>
      <c r="K1956" s="39"/>
      <c r="L1956" s="39"/>
      <c r="M1956" s="39"/>
      <c r="N1956" s="23"/>
      <c r="O1956" s="39"/>
      <c r="P1956" s="39"/>
      <c r="Q1956" s="39"/>
      <c r="R1956" s="39"/>
    </row>
    <row r="1957" spans="1:18" s="2" customFormat="1" ht="39.6">
      <c r="A1957" s="20">
        <f t="shared" si="116"/>
        <v>1812</v>
      </c>
      <c r="B1957" s="17" t="s">
        <v>2694</v>
      </c>
      <c r="C1957" s="17" t="s">
        <v>2695</v>
      </c>
      <c r="D1957" s="20" t="s">
        <v>5</v>
      </c>
      <c r="E1957" s="20" t="s">
        <v>6</v>
      </c>
      <c r="F1957" s="18">
        <v>1</v>
      </c>
      <c r="G1957" s="19">
        <f>1.633198857*997.15</f>
        <v>1628.54424025755</v>
      </c>
      <c r="H1957" s="32">
        <v>19</v>
      </c>
      <c r="I1957" s="25">
        <f t="shared" si="115"/>
        <v>30942.340564893449</v>
      </c>
      <c r="J1957" s="40"/>
      <c r="K1957" s="39"/>
      <c r="L1957" s="39"/>
      <c r="M1957" s="39"/>
      <c r="N1957" s="23"/>
      <c r="O1957" s="39"/>
      <c r="P1957" s="39"/>
      <c r="Q1957" s="39"/>
      <c r="R1957" s="39"/>
    </row>
    <row r="1958" spans="1:18" s="2" customFormat="1" ht="14.4">
      <c r="A1958" s="20">
        <f t="shared" si="116"/>
        <v>1813</v>
      </c>
      <c r="B1958" s="17" t="s">
        <v>2696</v>
      </c>
      <c r="C1958" s="17" t="s">
        <v>2697</v>
      </c>
      <c r="D1958" s="20" t="s">
        <v>5</v>
      </c>
      <c r="E1958" s="20" t="s">
        <v>6</v>
      </c>
      <c r="F1958" s="18">
        <v>1</v>
      </c>
      <c r="G1958" s="19">
        <f>1.633198857*2843.86</f>
        <v>4644.5889014680206</v>
      </c>
      <c r="H1958" s="32">
        <v>20</v>
      </c>
      <c r="I1958" s="25">
        <f t="shared" si="115"/>
        <v>92891.778029360416</v>
      </c>
      <c r="J1958" s="40"/>
      <c r="K1958" s="39"/>
      <c r="L1958" s="39"/>
      <c r="M1958" s="39"/>
      <c r="N1958" s="23"/>
      <c r="O1958" s="39"/>
      <c r="P1958" s="39"/>
      <c r="Q1958" s="39"/>
      <c r="R1958" s="39"/>
    </row>
    <row r="1959" spans="1:18" s="2" customFormat="1" ht="26.4">
      <c r="A1959" s="20">
        <f t="shared" si="116"/>
        <v>1814</v>
      </c>
      <c r="B1959" s="17" t="s">
        <v>2941</v>
      </c>
      <c r="C1959" s="17" t="s">
        <v>2942</v>
      </c>
      <c r="D1959" s="20" t="s">
        <v>5</v>
      </c>
      <c r="E1959" s="20" t="s">
        <v>6</v>
      </c>
      <c r="F1959" s="18">
        <v>1</v>
      </c>
      <c r="G1959" s="19">
        <f>1.633198857*4153.21</f>
        <v>6783.0178248809698</v>
      </c>
      <c r="H1959" s="32">
        <v>1</v>
      </c>
      <c r="I1959" s="25">
        <f t="shared" si="115"/>
        <v>6783.0178248809698</v>
      </c>
      <c r="J1959" s="40"/>
      <c r="K1959" s="39"/>
      <c r="L1959" s="39"/>
      <c r="M1959" s="39"/>
      <c r="N1959" s="23"/>
      <c r="O1959" s="39"/>
      <c r="P1959" s="39"/>
      <c r="Q1959" s="39"/>
      <c r="R1959" s="39"/>
    </row>
    <row r="1960" spans="1:18" s="2" customFormat="1" ht="39.6">
      <c r="A1960" s="20">
        <f t="shared" si="116"/>
        <v>1815</v>
      </c>
      <c r="B1960" s="17" t="s">
        <v>2943</v>
      </c>
      <c r="C1960" s="17" t="s">
        <v>2944</v>
      </c>
      <c r="D1960" s="20" t="s">
        <v>5</v>
      </c>
      <c r="E1960" s="20" t="s">
        <v>6</v>
      </c>
      <c r="F1960" s="18">
        <v>1</v>
      </c>
      <c r="G1960" s="19">
        <f>1.633198857*4392.18</f>
        <v>7173.3033557382605</v>
      </c>
      <c r="H1960" s="32">
        <v>1</v>
      </c>
      <c r="I1960" s="25">
        <f t="shared" si="115"/>
        <v>7173.3033557382605</v>
      </c>
      <c r="J1960" s="40"/>
      <c r="K1960" s="39"/>
      <c r="L1960" s="39"/>
      <c r="M1960" s="39"/>
      <c r="N1960" s="23"/>
      <c r="O1960" s="39"/>
      <c r="P1960" s="39"/>
      <c r="Q1960" s="39"/>
      <c r="R1960" s="39"/>
    </row>
    <row r="1961" spans="1:18" s="2" customFormat="1" ht="26.4">
      <c r="A1961" s="20">
        <f t="shared" si="116"/>
        <v>1816</v>
      </c>
      <c r="B1961" s="17" t="s">
        <v>2945</v>
      </c>
      <c r="C1961" s="17" t="s">
        <v>2946</v>
      </c>
      <c r="D1961" s="20" t="s">
        <v>5</v>
      </c>
      <c r="E1961" s="20" t="s">
        <v>6</v>
      </c>
      <c r="F1961" s="18">
        <v>1</v>
      </c>
      <c r="G1961" s="19">
        <f>880.07</f>
        <v>880.07</v>
      </c>
      <c r="H1961" s="32">
        <v>1</v>
      </c>
      <c r="I1961" s="25">
        <f t="shared" si="115"/>
        <v>880.07</v>
      </c>
      <c r="J1961" s="40"/>
      <c r="K1961" s="39"/>
      <c r="L1961" s="39"/>
      <c r="M1961" s="39"/>
      <c r="N1961" s="23"/>
      <c r="O1961" s="39"/>
      <c r="P1961" s="39"/>
      <c r="Q1961" s="39"/>
      <c r="R1961" s="39"/>
    </row>
    <row r="1962" spans="1:18" s="2" customFormat="1" ht="14.4">
      <c r="A1962" s="20">
        <f t="shared" si="116"/>
        <v>1817</v>
      </c>
      <c r="B1962" s="17" t="s">
        <v>2696</v>
      </c>
      <c r="C1962" s="17" t="s">
        <v>2697</v>
      </c>
      <c r="D1962" s="20" t="s">
        <v>5</v>
      </c>
      <c r="E1962" s="20" t="s">
        <v>6</v>
      </c>
      <c r="F1962" s="18">
        <v>1</v>
      </c>
      <c r="G1962" s="19">
        <f>1.633198857*2843.86</f>
        <v>4644.5889014680206</v>
      </c>
      <c r="H1962" s="32">
        <v>2</v>
      </c>
      <c r="I1962" s="25">
        <f t="shared" si="115"/>
        <v>9289.1778029360412</v>
      </c>
      <c r="J1962" s="40"/>
      <c r="K1962" s="39"/>
      <c r="L1962" s="39"/>
      <c r="M1962" s="39"/>
      <c r="N1962" s="23"/>
      <c r="O1962" s="39"/>
      <c r="P1962" s="39"/>
      <c r="Q1962" s="39"/>
      <c r="R1962" s="39"/>
    </row>
    <row r="1963" spans="1:18" s="2" customFormat="1" ht="14.4">
      <c r="A1963" s="20">
        <f t="shared" si="116"/>
        <v>1818</v>
      </c>
      <c r="B1963" s="17" t="s">
        <v>1077</v>
      </c>
      <c r="C1963" s="17" t="s">
        <v>219</v>
      </c>
      <c r="D1963" s="20" t="s">
        <v>48</v>
      </c>
      <c r="E1963" s="20" t="s">
        <v>49</v>
      </c>
      <c r="F1963" s="18">
        <v>1</v>
      </c>
      <c r="G1963" s="19"/>
      <c r="H1963" s="32">
        <v>1</v>
      </c>
      <c r="I1963" s="25">
        <f>SUM(I1916:I1962)*0.05</f>
        <v>27125.086354870182</v>
      </c>
      <c r="J1963" s="40"/>
      <c r="K1963" s="39"/>
      <c r="L1963" s="39"/>
      <c r="M1963" s="39"/>
      <c r="N1963" s="23"/>
      <c r="O1963" s="39"/>
      <c r="P1963" s="39"/>
      <c r="Q1963" s="39"/>
      <c r="R1963" s="39"/>
    </row>
    <row r="1964" spans="1:18" ht="26.4">
      <c r="A1964" s="9" t="s">
        <v>61</v>
      </c>
      <c r="B1964" s="13" t="s">
        <v>2947</v>
      </c>
      <c r="C1964" s="13" t="s">
        <v>2948</v>
      </c>
      <c r="D1964" s="14"/>
      <c r="E1964" s="14"/>
      <c r="F1964" s="18"/>
      <c r="G1964" s="19"/>
      <c r="H1964" s="15"/>
      <c r="I1964" s="25"/>
      <c r="J1964" s="24"/>
      <c r="K1964" s="22"/>
      <c r="L1964" s="22"/>
      <c r="M1964" s="22"/>
      <c r="N1964" s="23"/>
      <c r="O1964" s="22"/>
      <c r="P1964" s="22"/>
      <c r="Q1964" s="22"/>
      <c r="R1964" s="22"/>
    </row>
    <row r="1965" spans="1:18" s="2" customFormat="1" ht="26.4">
      <c r="A1965" s="20">
        <f>A1962+1</f>
        <v>1818</v>
      </c>
      <c r="B1965" s="17" t="s">
        <v>2949</v>
      </c>
      <c r="C1965" s="17" t="s">
        <v>2950</v>
      </c>
      <c r="D1965" s="20" t="s">
        <v>5</v>
      </c>
      <c r="E1965" s="20" t="s">
        <v>6</v>
      </c>
      <c r="F1965" s="18">
        <v>1</v>
      </c>
      <c r="G1965" s="19">
        <f>1270</f>
        <v>1270</v>
      </c>
      <c r="H1965" s="32">
        <v>20</v>
      </c>
      <c r="I1965" s="25">
        <f t="shared" si="115"/>
        <v>25400</v>
      </c>
      <c r="J1965" s="40"/>
      <c r="K1965" s="39"/>
      <c r="L1965" s="39"/>
      <c r="M1965" s="39"/>
      <c r="N1965" s="23"/>
      <c r="O1965" s="39"/>
      <c r="P1965" s="39"/>
      <c r="Q1965" s="39"/>
      <c r="R1965" s="39"/>
    </row>
    <row r="1966" spans="1:18" s="2" customFormat="1" ht="14.4">
      <c r="A1966" s="20">
        <f t="shared" ref="A1966:A1971" si="117">A1965+1</f>
        <v>1819</v>
      </c>
      <c r="B1966" s="17" t="s">
        <v>2951</v>
      </c>
      <c r="C1966" s="17" t="s">
        <v>2952</v>
      </c>
      <c r="D1966" s="20" t="s">
        <v>5</v>
      </c>
      <c r="E1966" s="20" t="s">
        <v>6</v>
      </c>
      <c r="F1966" s="18">
        <v>1</v>
      </c>
      <c r="G1966" s="19">
        <v>41.67</v>
      </c>
      <c r="H1966" s="32">
        <v>263</v>
      </c>
      <c r="I1966" s="25">
        <f t="shared" si="115"/>
        <v>10959.210000000001</v>
      </c>
      <c r="J1966" s="40"/>
      <c r="K1966" s="39"/>
      <c r="L1966" s="39"/>
      <c r="M1966" s="39"/>
      <c r="N1966" s="23"/>
      <c r="O1966" s="39"/>
      <c r="P1966" s="39"/>
      <c r="Q1966" s="39"/>
      <c r="R1966" s="39"/>
    </row>
    <row r="1967" spans="1:18" s="2" customFormat="1" ht="14.4">
      <c r="A1967" s="20">
        <f t="shared" si="117"/>
        <v>1820</v>
      </c>
      <c r="B1967" s="17" t="s">
        <v>2953</v>
      </c>
      <c r="C1967" s="17" t="s">
        <v>2954</v>
      </c>
      <c r="D1967" s="20" t="s">
        <v>5</v>
      </c>
      <c r="E1967" s="20" t="s">
        <v>6</v>
      </c>
      <c r="F1967" s="18">
        <v>1</v>
      </c>
      <c r="G1967" s="19">
        <v>139270</v>
      </c>
      <c r="H1967" s="32">
        <v>1</v>
      </c>
      <c r="I1967" s="25">
        <f t="shared" si="115"/>
        <v>139270</v>
      </c>
      <c r="J1967" s="40"/>
      <c r="K1967" s="39"/>
      <c r="L1967" s="39"/>
      <c r="M1967" s="39"/>
      <c r="N1967" s="23"/>
      <c r="O1967" s="39"/>
      <c r="P1967" s="39"/>
      <c r="Q1967" s="39"/>
      <c r="R1967" s="39"/>
    </row>
    <row r="1968" spans="1:18" s="2" customFormat="1" ht="14.4">
      <c r="A1968" s="20">
        <f t="shared" si="117"/>
        <v>1821</v>
      </c>
      <c r="B1968" s="17" t="s">
        <v>2955</v>
      </c>
      <c r="C1968" s="17" t="s">
        <v>2956</v>
      </c>
      <c r="D1968" s="20" t="s">
        <v>5</v>
      </c>
      <c r="E1968" s="20" t="s">
        <v>6</v>
      </c>
      <c r="F1968" s="18">
        <v>1</v>
      </c>
      <c r="G1968" s="19">
        <v>29270</v>
      </c>
      <c r="H1968" s="32">
        <v>15</v>
      </c>
      <c r="I1968" s="25">
        <f t="shared" si="115"/>
        <v>439050</v>
      </c>
      <c r="J1968" s="40"/>
      <c r="K1968" s="39"/>
      <c r="L1968" s="39"/>
      <c r="M1968" s="39"/>
      <c r="N1968" s="23"/>
      <c r="O1968" s="39"/>
      <c r="P1968" s="39"/>
      <c r="Q1968" s="39"/>
      <c r="R1968" s="39"/>
    </row>
    <row r="1969" spans="1:18" s="2" customFormat="1" ht="14.4">
      <c r="A1969" s="20">
        <f t="shared" si="117"/>
        <v>1822</v>
      </c>
      <c r="B1969" s="17" t="s">
        <v>2957</v>
      </c>
      <c r="C1969" s="17" t="s">
        <v>2958</v>
      </c>
      <c r="D1969" s="20" t="s">
        <v>5</v>
      </c>
      <c r="E1969" s="20" t="s">
        <v>6</v>
      </c>
      <c r="F1969" s="18">
        <v>1</v>
      </c>
      <c r="G1969" s="19">
        <v>670</v>
      </c>
      <c r="H1969" s="32">
        <v>16</v>
      </c>
      <c r="I1969" s="25">
        <f t="shared" si="115"/>
        <v>10720</v>
      </c>
      <c r="J1969" s="40"/>
      <c r="K1969" s="39"/>
      <c r="L1969" s="39"/>
      <c r="M1969" s="39"/>
      <c r="N1969" s="23"/>
      <c r="O1969" s="39"/>
      <c r="P1969" s="39"/>
      <c r="Q1969" s="39"/>
      <c r="R1969" s="39"/>
    </row>
    <row r="1970" spans="1:18" s="2" customFormat="1" ht="14.4">
      <c r="A1970" s="20">
        <f t="shared" si="117"/>
        <v>1823</v>
      </c>
      <c r="B1970" s="17" t="s">
        <v>2959</v>
      </c>
      <c r="C1970" s="17" t="s">
        <v>2960</v>
      </c>
      <c r="D1970" s="20" t="s">
        <v>5</v>
      </c>
      <c r="E1970" s="20" t="s">
        <v>6</v>
      </c>
      <c r="F1970" s="18">
        <v>1</v>
      </c>
      <c r="G1970" s="19">
        <v>1670</v>
      </c>
      <c r="H1970" s="32">
        <v>5</v>
      </c>
      <c r="I1970" s="25">
        <f t="shared" si="115"/>
        <v>8350</v>
      </c>
      <c r="J1970" s="40"/>
      <c r="K1970" s="39"/>
      <c r="L1970" s="39"/>
      <c r="M1970" s="39"/>
      <c r="N1970" s="23"/>
      <c r="O1970" s="39"/>
      <c r="P1970" s="39"/>
      <c r="Q1970" s="39"/>
      <c r="R1970" s="39"/>
    </row>
    <row r="1971" spans="1:18" s="2" customFormat="1" ht="26.4">
      <c r="A1971" s="20">
        <f t="shared" si="117"/>
        <v>1824</v>
      </c>
      <c r="B1971" s="17" t="s">
        <v>2961</v>
      </c>
      <c r="C1971" s="17" t="s">
        <v>2962</v>
      </c>
      <c r="D1971" s="20" t="s">
        <v>5</v>
      </c>
      <c r="E1971" s="20" t="s">
        <v>6</v>
      </c>
      <c r="F1971" s="18">
        <v>1</v>
      </c>
      <c r="G1971" s="19">
        <v>3670</v>
      </c>
      <c r="H1971" s="32">
        <v>2</v>
      </c>
      <c r="I1971" s="25">
        <f t="shared" si="115"/>
        <v>7340</v>
      </c>
      <c r="J1971" s="40"/>
      <c r="K1971" s="39"/>
      <c r="L1971" s="39"/>
      <c r="M1971" s="39"/>
      <c r="N1971" s="23"/>
      <c r="O1971" s="39"/>
      <c r="P1971" s="39"/>
      <c r="Q1971" s="39"/>
      <c r="R1971" s="39"/>
    </row>
    <row r="1972" spans="1:18" ht="26.4">
      <c r="A1972" s="9" t="s">
        <v>61</v>
      </c>
      <c r="B1972" s="13" t="s">
        <v>2963</v>
      </c>
      <c r="C1972" s="13" t="s">
        <v>2964</v>
      </c>
      <c r="D1972" s="14"/>
      <c r="E1972" s="14"/>
      <c r="F1972" s="18"/>
      <c r="G1972" s="19"/>
      <c r="H1972" s="15"/>
      <c r="I1972" s="25"/>
      <c r="J1972" s="24"/>
      <c r="K1972" s="22"/>
      <c r="L1972" s="22"/>
      <c r="M1972" s="22"/>
      <c r="N1972" s="23"/>
      <c r="O1972" s="22"/>
      <c r="P1972" s="22"/>
      <c r="Q1972" s="22"/>
      <c r="R1972" s="22"/>
    </row>
    <row r="1973" spans="1:18" ht="14.4">
      <c r="A1973" s="9"/>
      <c r="B1973" s="13" t="s">
        <v>2965</v>
      </c>
      <c r="C1973" s="13" t="s">
        <v>2966</v>
      </c>
      <c r="D1973" s="14"/>
      <c r="E1973" s="14"/>
      <c r="F1973" s="18"/>
      <c r="G1973" s="19"/>
      <c r="H1973" s="15"/>
      <c r="I1973" s="25"/>
      <c r="J1973" s="24"/>
      <c r="K1973" s="22"/>
      <c r="L1973" s="22"/>
      <c r="M1973" s="22"/>
      <c r="N1973" s="23"/>
      <c r="O1973" s="22"/>
      <c r="P1973" s="22"/>
      <c r="Q1973" s="22"/>
      <c r="R1973" s="22"/>
    </row>
    <row r="1974" spans="1:18" s="2" customFormat="1" ht="14.4">
      <c r="A1974" s="20">
        <f>A1971+1</f>
        <v>1825</v>
      </c>
      <c r="B1974" s="17" t="s">
        <v>2967</v>
      </c>
      <c r="C1974" s="17" t="s">
        <v>2968</v>
      </c>
      <c r="D1974" s="20" t="s">
        <v>5</v>
      </c>
      <c r="E1974" s="20" t="s">
        <v>6</v>
      </c>
      <c r="F1974" s="18">
        <v>1</v>
      </c>
      <c r="G1974" s="19">
        <f>1.633198857*1193.67</f>
        <v>1949.5004796351902</v>
      </c>
      <c r="H1974" s="32">
        <v>1</v>
      </c>
      <c r="I1974" s="25">
        <f t="shared" si="115"/>
        <v>1949.5004796351902</v>
      </c>
      <c r="J1974" s="40"/>
      <c r="K1974" s="39"/>
      <c r="L1974" s="39"/>
      <c r="M1974" s="39"/>
      <c r="N1974" s="23"/>
      <c r="O1974" s="39"/>
      <c r="P1974" s="39"/>
      <c r="Q1974" s="39"/>
      <c r="R1974" s="39"/>
    </row>
    <row r="1975" spans="1:18" s="2" customFormat="1" ht="39.6">
      <c r="A1975" s="20">
        <f>A1974+1</f>
        <v>1826</v>
      </c>
      <c r="B1975" s="17" t="s">
        <v>2969</v>
      </c>
      <c r="C1975" s="17" t="s">
        <v>2970</v>
      </c>
      <c r="D1975" s="20" t="s">
        <v>48</v>
      </c>
      <c r="E1975" s="20" t="s">
        <v>49</v>
      </c>
      <c r="F1975" s="18">
        <v>1</v>
      </c>
      <c r="G1975" s="19">
        <f>1.633198857*1360.71</f>
        <v>2222.3100167084699</v>
      </c>
      <c r="H1975" s="32">
        <v>4</v>
      </c>
      <c r="I1975" s="25">
        <f t="shared" si="115"/>
        <v>8889.2400668338796</v>
      </c>
      <c r="J1975" s="40"/>
      <c r="K1975" s="39"/>
      <c r="L1975" s="39"/>
      <c r="M1975" s="39"/>
      <c r="N1975" s="23"/>
      <c r="O1975" s="39"/>
      <c r="P1975" s="39"/>
      <c r="Q1975" s="39"/>
      <c r="R1975" s="39"/>
    </row>
    <row r="1976" spans="1:18" s="2" customFormat="1" ht="14.4">
      <c r="A1976" s="20">
        <f t="shared" ref="A1976:A2006" si="118">A1975+1</f>
        <v>1827</v>
      </c>
      <c r="B1976" s="17" t="s">
        <v>2591</v>
      </c>
      <c r="C1976" s="17" t="s">
        <v>2592</v>
      </c>
      <c r="D1976" s="20" t="s">
        <v>2593</v>
      </c>
      <c r="E1976" s="20" t="s">
        <v>63</v>
      </c>
      <c r="F1976" s="18">
        <v>1</v>
      </c>
      <c r="G1976" s="19">
        <f>611.91</f>
        <v>611.91</v>
      </c>
      <c r="H1976" s="32">
        <v>1</v>
      </c>
      <c r="I1976" s="25">
        <f t="shared" si="115"/>
        <v>611.91</v>
      </c>
      <c r="J1976" s="40"/>
      <c r="K1976" s="39"/>
      <c r="L1976" s="39"/>
      <c r="M1976" s="39"/>
      <c r="N1976" s="23"/>
      <c r="O1976" s="39"/>
      <c r="P1976" s="39"/>
      <c r="Q1976" s="39"/>
      <c r="R1976" s="39"/>
    </row>
    <row r="1977" spans="1:18" s="2" customFormat="1" ht="26.4">
      <c r="A1977" s="20">
        <f t="shared" si="118"/>
        <v>1828</v>
      </c>
      <c r="B1977" s="17" t="s">
        <v>2971</v>
      </c>
      <c r="C1977" s="17" t="s">
        <v>2972</v>
      </c>
      <c r="D1977" s="20" t="s">
        <v>5</v>
      </c>
      <c r="E1977" s="20" t="s">
        <v>6</v>
      </c>
      <c r="F1977" s="18">
        <v>1</v>
      </c>
      <c r="G1977" s="19">
        <f>89.32</f>
        <v>89.32</v>
      </c>
      <c r="H1977" s="32">
        <v>1</v>
      </c>
      <c r="I1977" s="25">
        <f t="shared" si="115"/>
        <v>89.32</v>
      </c>
      <c r="J1977" s="40"/>
      <c r="K1977" s="39"/>
      <c r="L1977" s="39"/>
      <c r="M1977" s="39"/>
      <c r="N1977" s="23"/>
      <c r="O1977" s="39"/>
      <c r="P1977" s="39"/>
      <c r="Q1977" s="39"/>
      <c r="R1977" s="39"/>
    </row>
    <row r="1978" spans="1:18" s="2" customFormat="1" ht="26.4">
      <c r="A1978" s="20">
        <f t="shared" si="118"/>
        <v>1829</v>
      </c>
      <c r="B1978" s="17" t="s">
        <v>2973</v>
      </c>
      <c r="C1978" s="17" t="s">
        <v>2974</v>
      </c>
      <c r="D1978" s="20" t="s">
        <v>5</v>
      </c>
      <c r="E1978" s="20" t="s">
        <v>6</v>
      </c>
      <c r="F1978" s="18">
        <v>1</v>
      </c>
      <c r="G1978" s="19">
        <f>81.28</f>
        <v>81.28</v>
      </c>
      <c r="H1978" s="32">
        <v>2</v>
      </c>
      <c r="I1978" s="25">
        <f t="shared" si="115"/>
        <v>162.56</v>
      </c>
      <c r="J1978" s="40"/>
      <c r="K1978" s="39"/>
      <c r="L1978" s="39"/>
      <c r="M1978" s="39"/>
      <c r="N1978" s="23"/>
      <c r="O1978" s="39"/>
      <c r="P1978" s="39"/>
      <c r="Q1978" s="39"/>
      <c r="R1978" s="39"/>
    </row>
    <row r="1979" spans="1:18" s="2" customFormat="1" ht="14.4">
      <c r="A1979" s="20">
        <f t="shared" si="118"/>
        <v>1830</v>
      </c>
      <c r="B1979" s="17" t="s">
        <v>2975</v>
      </c>
      <c r="C1979" s="17" t="s">
        <v>2976</v>
      </c>
      <c r="D1979" s="20" t="s">
        <v>5</v>
      </c>
      <c r="E1979" s="20" t="s">
        <v>6</v>
      </c>
      <c r="F1979" s="18">
        <v>1</v>
      </c>
      <c r="G1979" s="19">
        <f>1.633198857*1237.87</f>
        <v>2021.6878691145898</v>
      </c>
      <c r="H1979" s="32">
        <v>13</v>
      </c>
      <c r="I1979" s="25">
        <f t="shared" si="115"/>
        <v>26281.942298489666</v>
      </c>
      <c r="J1979" s="40"/>
      <c r="K1979" s="39"/>
      <c r="L1979" s="39"/>
      <c r="M1979" s="39"/>
      <c r="N1979" s="23"/>
      <c r="O1979" s="39"/>
      <c r="P1979" s="39"/>
      <c r="Q1979" s="39"/>
      <c r="R1979" s="39"/>
    </row>
    <row r="1980" spans="1:18" s="2" customFormat="1" ht="66">
      <c r="A1980" s="20">
        <f t="shared" si="118"/>
        <v>1831</v>
      </c>
      <c r="B1980" s="17" t="s">
        <v>2324</v>
      </c>
      <c r="C1980" s="17" t="s">
        <v>2325</v>
      </c>
      <c r="D1980" s="20" t="s">
        <v>5</v>
      </c>
      <c r="E1980" s="20" t="s">
        <v>6</v>
      </c>
      <c r="F1980" s="18">
        <v>1</v>
      </c>
      <c r="G1980" s="19">
        <f>1.633198857*381.26</f>
        <v>622.67339621982001</v>
      </c>
      <c r="H1980" s="32">
        <v>3</v>
      </c>
      <c r="I1980" s="25">
        <f t="shared" si="115"/>
        <v>1868.02018865946</v>
      </c>
      <c r="J1980" s="40"/>
      <c r="K1980" s="39"/>
      <c r="L1980" s="39"/>
      <c r="M1980" s="39"/>
      <c r="N1980" s="23"/>
      <c r="O1980" s="39"/>
      <c r="P1980" s="39"/>
      <c r="Q1980" s="39"/>
      <c r="R1980" s="39"/>
    </row>
    <row r="1981" spans="1:18" s="2" customFormat="1" ht="14.4">
      <c r="A1981" s="20">
        <f t="shared" si="118"/>
        <v>1832</v>
      </c>
      <c r="B1981" s="17" t="s">
        <v>2977</v>
      </c>
      <c r="C1981" s="17" t="s">
        <v>2978</v>
      </c>
      <c r="D1981" s="20" t="s">
        <v>5</v>
      </c>
      <c r="E1981" s="20" t="s">
        <v>6</v>
      </c>
      <c r="F1981" s="18">
        <v>1</v>
      </c>
      <c r="G1981" s="19">
        <f>91.35</f>
        <v>91.35</v>
      </c>
      <c r="H1981" s="32">
        <v>3</v>
      </c>
      <c r="I1981" s="25">
        <f t="shared" si="115"/>
        <v>274.04999999999995</v>
      </c>
      <c r="J1981" s="40"/>
      <c r="K1981" s="39"/>
      <c r="L1981" s="39"/>
      <c r="M1981" s="39"/>
      <c r="N1981" s="23"/>
      <c r="O1981" s="39"/>
      <c r="P1981" s="39"/>
      <c r="Q1981" s="39"/>
      <c r="R1981" s="39"/>
    </row>
    <row r="1982" spans="1:18" s="2" customFormat="1" ht="14.4">
      <c r="A1982" s="20">
        <f t="shared" si="118"/>
        <v>1833</v>
      </c>
      <c r="B1982" s="17" t="s">
        <v>2252</v>
      </c>
      <c r="C1982" s="17" t="s">
        <v>2979</v>
      </c>
      <c r="D1982" s="20" t="s">
        <v>5</v>
      </c>
      <c r="E1982" s="20" t="s">
        <v>6</v>
      </c>
      <c r="F1982" s="18">
        <v>1</v>
      </c>
      <c r="G1982" s="19">
        <f>95.29</f>
        <v>95.29</v>
      </c>
      <c r="H1982" s="32">
        <v>26</v>
      </c>
      <c r="I1982" s="25">
        <f t="shared" si="115"/>
        <v>2477.54</v>
      </c>
      <c r="J1982" s="40"/>
      <c r="K1982" s="39"/>
      <c r="L1982" s="39"/>
      <c r="M1982" s="39"/>
      <c r="N1982" s="23"/>
      <c r="O1982" s="39"/>
      <c r="P1982" s="39"/>
      <c r="Q1982" s="39"/>
      <c r="R1982" s="39"/>
    </row>
    <row r="1983" spans="1:18" s="2" customFormat="1" ht="14.4">
      <c r="A1983" s="20">
        <f t="shared" si="118"/>
        <v>1834</v>
      </c>
      <c r="B1983" s="17" t="s">
        <v>2980</v>
      </c>
      <c r="C1983" s="17" t="s">
        <v>2981</v>
      </c>
      <c r="D1983" s="20" t="s">
        <v>5</v>
      </c>
      <c r="E1983" s="20" t="s">
        <v>6</v>
      </c>
      <c r="F1983" s="18">
        <v>1</v>
      </c>
      <c r="G1983" s="19">
        <f>76.05</f>
        <v>76.05</v>
      </c>
      <c r="H1983" s="32">
        <v>19</v>
      </c>
      <c r="I1983" s="25">
        <f t="shared" si="115"/>
        <v>1444.95</v>
      </c>
      <c r="J1983" s="40"/>
      <c r="K1983" s="39"/>
      <c r="L1983" s="39"/>
      <c r="M1983" s="39"/>
      <c r="N1983" s="23"/>
      <c r="O1983" s="39"/>
      <c r="P1983" s="39"/>
      <c r="Q1983" s="39"/>
      <c r="R1983" s="39"/>
    </row>
    <row r="1984" spans="1:18" s="2" customFormat="1" ht="14.4">
      <c r="A1984" s="20">
        <f t="shared" si="118"/>
        <v>1835</v>
      </c>
      <c r="B1984" s="17" t="s">
        <v>2982</v>
      </c>
      <c r="C1984" s="17" t="s">
        <v>2983</v>
      </c>
      <c r="D1984" s="20" t="s">
        <v>5</v>
      </c>
      <c r="E1984" s="20" t="s">
        <v>6</v>
      </c>
      <c r="F1984" s="18">
        <v>1</v>
      </c>
      <c r="G1984" s="19">
        <f>70.14</f>
        <v>70.14</v>
      </c>
      <c r="H1984" s="32">
        <v>7</v>
      </c>
      <c r="I1984" s="25">
        <f t="shared" si="115"/>
        <v>490.98</v>
      </c>
      <c r="J1984" s="40"/>
      <c r="K1984" s="39"/>
      <c r="L1984" s="39"/>
      <c r="M1984" s="39"/>
      <c r="N1984" s="23"/>
      <c r="O1984" s="39"/>
      <c r="P1984" s="39"/>
      <c r="Q1984" s="39"/>
      <c r="R1984" s="39"/>
    </row>
    <row r="1985" spans="1:18" s="2" customFormat="1" ht="26.4">
      <c r="A1985" s="20">
        <f t="shared" si="118"/>
        <v>1836</v>
      </c>
      <c r="B1985" s="17" t="s">
        <v>2984</v>
      </c>
      <c r="C1985" s="17" t="s">
        <v>2985</v>
      </c>
      <c r="D1985" s="9" t="s">
        <v>25</v>
      </c>
      <c r="E1985" s="20" t="s">
        <v>26</v>
      </c>
      <c r="F1985" s="18">
        <v>1</v>
      </c>
      <c r="G1985" s="19">
        <v>86.39</v>
      </c>
      <c r="H1985" s="32">
        <v>30</v>
      </c>
      <c r="I1985" s="25">
        <f t="shared" si="115"/>
        <v>2591.6999999999998</v>
      </c>
      <c r="J1985" s="40"/>
      <c r="K1985" s="39"/>
      <c r="L1985" s="39"/>
      <c r="M1985" s="39"/>
      <c r="N1985" s="23"/>
      <c r="O1985" s="39"/>
      <c r="P1985" s="39"/>
      <c r="Q1985" s="39"/>
      <c r="R1985" s="39"/>
    </row>
    <row r="1986" spans="1:18" s="2" customFormat="1" ht="14.4">
      <c r="A1986" s="20">
        <f t="shared" si="118"/>
        <v>1837</v>
      </c>
      <c r="B1986" s="17" t="s">
        <v>2986</v>
      </c>
      <c r="C1986" s="17" t="s">
        <v>2987</v>
      </c>
      <c r="D1986" s="9" t="s">
        <v>25</v>
      </c>
      <c r="E1986" s="20" t="s">
        <v>26</v>
      </c>
      <c r="F1986" s="18">
        <v>1</v>
      </c>
      <c r="G1986" s="19">
        <f>18.57</f>
        <v>18.57</v>
      </c>
      <c r="H1986" s="32">
        <v>30</v>
      </c>
      <c r="I1986" s="25">
        <f t="shared" si="115"/>
        <v>557.1</v>
      </c>
      <c r="J1986" s="40"/>
      <c r="K1986" s="39"/>
      <c r="L1986" s="39"/>
      <c r="M1986" s="39"/>
      <c r="N1986" s="23"/>
      <c r="O1986" s="39"/>
      <c r="P1986" s="39"/>
      <c r="Q1986" s="39"/>
      <c r="R1986" s="39"/>
    </row>
    <row r="1987" spans="1:18" s="2" customFormat="1" ht="14.4">
      <c r="A1987" s="20">
        <f t="shared" si="118"/>
        <v>1838</v>
      </c>
      <c r="B1987" s="17" t="s">
        <v>2842</v>
      </c>
      <c r="C1987" s="17" t="s">
        <v>2988</v>
      </c>
      <c r="D1987" s="9" t="s">
        <v>25</v>
      </c>
      <c r="E1987" s="20" t="s">
        <v>26</v>
      </c>
      <c r="F1987" s="18">
        <v>1</v>
      </c>
      <c r="G1987" s="19">
        <f>1.633198857*18.85</f>
        <v>30.785798454450003</v>
      </c>
      <c r="H1987" s="32">
        <v>480</v>
      </c>
      <c r="I1987" s="25">
        <f t="shared" si="115"/>
        <v>14777.183258136001</v>
      </c>
      <c r="J1987" s="40"/>
      <c r="K1987" s="39"/>
      <c r="L1987" s="39"/>
      <c r="M1987" s="39"/>
      <c r="N1987" s="23"/>
      <c r="O1987" s="39"/>
      <c r="P1987" s="39"/>
      <c r="Q1987" s="39"/>
      <c r="R1987" s="39"/>
    </row>
    <row r="1988" spans="1:18" s="2" customFormat="1" ht="14.4">
      <c r="A1988" s="20">
        <f t="shared" si="118"/>
        <v>1839</v>
      </c>
      <c r="B1988" s="17" t="s">
        <v>2335</v>
      </c>
      <c r="C1988" s="17" t="s">
        <v>2336</v>
      </c>
      <c r="D1988" s="9" t="s">
        <v>25</v>
      </c>
      <c r="E1988" s="20" t="s">
        <v>26</v>
      </c>
      <c r="F1988" s="18">
        <v>1</v>
      </c>
      <c r="G1988" s="19">
        <f>57.85</f>
        <v>57.85</v>
      </c>
      <c r="H1988" s="32">
        <v>480</v>
      </c>
      <c r="I1988" s="25">
        <f t="shared" si="115"/>
        <v>27768</v>
      </c>
      <c r="J1988" s="40"/>
      <c r="K1988" s="39"/>
      <c r="L1988" s="39"/>
      <c r="M1988" s="39"/>
      <c r="N1988" s="23"/>
      <c r="O1988" s="39"/>
      <c r="P1988" s="39"/>
      <c r="Q1988" s="39"/>
      <c r="R1988" s="39"/>
    </row>
    <row r="1989" spans="1:18" s="2" customFormat="1" ht="14.4">
      <c r="A1989" s="20">
        <f t="shared" si="118"/>
        <v>1840</v>
      </c>
      <c r="B1989" s="17" t="s">
        <v>2989</v>
      </c>
      <c r="C1989" s="17" t="s">
        <v>2990</v>
      </c>
      <c r="D1989" s="9" t="s">
        <v>25</v>
      </c>
      <c r="E1989" s="20" t="s">
        <v>26</v>
      </c>
      <c r="F1989" s="18">
        <v>1</v>
      </c>
      <c r="G1989" s="19">
        <f>1.633198857*18.45</f>
        <v>30.132518911649999</v>
      </c>
      <c r="H1989" s="32">
        <v>20</v>
      </c>
      <c r="I1989" s="25">
        <f t="shared" si="115"/>
        <v>602.65037823299997</v>
      </c>
      <c r="J1989" s="40"/>
      <c r="K1989" s="39"/>
      <c r="L1989" s="39"/>
      <c r="M1989" s="39"/>
      <c r="N1989" s="23"/>
      <c r="O1989" s="39"/>
      <c r="P1989" s="39"/>
      <c r="Q1989" s="39"/>
      <c r="R1989" s="39"/>
    </row>
    <row r="1990" spans="1:18" s="2" customFormat="1" ht="14.4">
      <c r="A1990" s="20">
        <f t="shared" si="118"/>
        <v>1841</v>
      </c>
      <c r="B1990" s="17" t="s">
        <v>2991</v>
      </c>
      <c r="C1990" s="17" t="s">
        <v>2992</v>
      </c>
      <c r="D1990" s="20" t="s">
        <v>5</v>
      </c>
      <c r="E1990" s="20" t="s">
        <v>6</v>
      </c>
      <c r="F1990" s="18">
        <v>1</v>
      </c>
      <c r="G1990" s="19">
        <f>446.31</f>
        <v>446.31</v>
      </c>
      <c r="H1990" s="32">
        <v>4</v>
      </c>
      <c r="I1990" s="25">
        <f t="shared" si="115"/>
        <v>1785.24</v>
      </c>
      <c r="J1990" s="40"/>
      <c r="K1990" s="39"/>
      <c r="L1990" s="39"/>
      <c r="M1990" s="39"/>
      <c r="N1990" s="23"/>
      <c r="O1990" s="39"/>
      <c r="P1990" s="39"/>
      <c r="Q1990" s="39"/>
      <c r="R1990" s="39"/>
    </row>
    <row r="1991" spans="1:18" s="2" customFormat="1" ht="39.6">
      <c r="A1991" s="20">
        <f t="shared" si="118"/>
        <v>1842</v>
      </c>
      <c r="B1991" s="17" t="s">
        <v>2837</v>
      </c>
      <c r="C1991" s="17" t="s">
        <v>2838</v>
      </c>
      <c r="D1991" s="9" t="s">
        <v>25</v>
      </c>
      <c r="E1991" s="20" t="s">
        <v>26</v>
      </c>
      <c r="F1991" s="18">
        <v>1</v>
      </c>
      <c r="G1991" s="19">
        <f>1.633198857*62.44</f>
        <v>101.97693663107999</v>
      </c>
      <c r="H1991" s="32">
        <f>H1992+H1995</f>
        <v>141</v>
      </c>
      <c r="I1991" s="25">
        <f t="shared" si="115"/>
        <v>14378.748064982279</v>
      </c>
      <c r="J1991" s="40"/>
      <c r="K1991" s="39"/>
      <c r="L1991" s="39"/>
      <c r="M1991" s="39"/>
      <c r="N1991" s="23"/>
      <c r="O1991" s="39"/>
      <c r="P1991" s="39"/>
      <c r="Q1991" s="39"/>
      <c r="R1991" s="39"/>
    </row>
    <row r="1992" spans="1:18" s="2" customFormat="1" ht="14.4">
      <c r="A1992" s="20">
        <f t="shared" si="118"/>
        <v>1843</v>
      </c>
      <c r="B1992" s="17" t="s">
        <v>2993</v>
      </c>
      <c r="C1992" s="17" t="s">
        <v>2994</v>
      </c>
      <c r="D1992" s="9" t="s">
        <v>25</v>
      </c>
      <c r="E1992" s="20" t="s">
        <v>26</v>
      </c>
      <c r="F1992" s="18">
        <v>1</v>
      </c>
      <c r="G1992" s="19">
        <f>27.25</f>
        <v>27.25</v>
      </c>
      <c r="H1992" s="32">
        <v>140</v>
      </c>
      <c r="I1992" s="25">
        <f t="shared" si="115"/>
        <v>3815</v>
      </c>
      <c r="J1992" s="40"/>
      <c r="K1992" s="39"/>
      <c r="L1992" s="39"/>
      <c r="M1992" s="39"/>
      <c r="N1992" s="23"/>
      <c r="O1992" s="39"/>
      <c r="P1992" s="39"/>
      <c r="Q1992" s="39"/>
      <c r="R1992" s="39"/>
    </row>
    <row r="1993" spans="1:18" s="2" customFormat="1" ht="14.4">
      <c r="A1993" s="20">
        <f t="shared" si="118"/>
        <v>1844</v>
      </c>
      <c r="B1993" s="17" t="s">
        <v>2995</v>
      </c>
      <c r="C1993" s="17" t="s">
        <v>2996</v>
      </c>
      <c r="D1993" s="20" t="s">
        <v>5</v>
      </c>
      <c r="E1993" s="20" t="s">
        <v>6</v>
      </c>
      <c r="F1993" s="18">
        <v>1</v>
      </c>
      <c r="G1993" s="19">
        <v>415</v>
      </c>
      <c r="H1993" s="32">
        <v>8</v>
      </c>
      <c r="I1993" s="25">
        <f t="shared" si="115"/>
        <v>3320</v>
      </c>
      <c r="J1993" s="40"/>
      <c r="K1993" s="39"/>
      <c r="L1993" s="39"/>
      <c r="M1993" s="39"/>
      <c r="N1993" s="23"/>
      <c r="O1993" s="39"/>
      <c r="P1993" s="39"/>
      <c r="Q1993" s="39"/>
      <c r="R1993" s="39"/>
    </row>
    <row r="1994" spans="1:18" s="2" customFormat="1" ht="14.4">
      <c r="A1994" s="20">
        <f t="shared" si="118"/>
        <v>1845</v>
      </c>
      <c r="B1994" s="17" t="s">
        <v>2997</v>
      </c>
      <c r="C1994" s="17" t="s">
        <v>2998</v>
      </c>
      <c r="D1994" s="20" t="s">
        <v>5</v>
      </c>
      <c r="E1994" s="20" t="s">
        <v>6</v>
      </c>
      <c r="F1994" s="18">
        <v>1</v>
      </c>
      <c r="G1994" s="19">
        <v>525</v>
      </c>
      <c r="H1994" s="32">
        <v>8</v>
      </c>
      <c r="I1994" s="25">
        <f t="shared" si="115"/>
        <v>4200</v>
      </c>
      <c r="J1994" s="40"/>
      <c r="K1994" s="39"/>
      <c r="L1994" s="39"/>
      <c r="M1994" s="39"/>
      <c r="N1994" s="23"/>
      <c r="O1994" s="39"/>
      <c r="P1994" s="39"/>
      <c r="Q1994" s="39"/>
      <c r="R1994" s="39"/>
    </row>
    <row r="1995" spans="1:18" s="2" customFormat="1" ht="14.4">
      <c r="A1995" s="20">
        <f t="shared" si="118"/>
        <v>1846</v>
      </c>
      <c r="B1995" s="17" t="s">
        <v>2999</v>
      </c>
      <c r="C1995" s="17" t="s">
        <v>3000</v>
      </c>
      <c r="D1995" s="9" t="s">
        <v>25</v>
      </c>
      <c r="E1995" s="20" t="s">
        <v>26</v>
      </c>
      <c r="F1995" s="18">
        <v>1</v>
      </c>
      <c r="G1995" s="19">
        <v>20.11</v>
      </c>
      <c r="H1995" s="32">
        <v>1</v>
      </c>
      <c r="I1995" s="25">
        <f t="shared" ref="I1995:I2058" si="119">G1995*H1995</f>
        <v>20.11</v>
      </c>
      <c r="J1995" s="40"/>
      <c r="K1995" s="39"/>
      <c r="L1995" s="39"/>
      <c r="M1995" s="39"/>
      <c r="N1995" s="23"/>
      <c r="O1995" s="39"/>
      <c r="P1995" s="39"/>
      <c r="Q1995" s="39"/>
      <c r="R1995" s="39"/>
    </row>
    <row r="1996" spans="1:18" s="2" customFormat="1" ht="52.8">
      <c r="A1996" s="20">
        <f t="shared" si="118"/>
        <v>1847</v>
      </c>
      <c r="B1996" s="17" t="s">
        <v>2264</v>
      </c>
      <c r="C1996" s="17" t="s">
        <v>2265</v>
      </c>
      <c r="D1996" s="9" t="s">
        <v>25</v>
      </c>
      <c r="E1996" s="20" t="s">
        <v>26</v>
      </c>
      <c r="F1996" s="18">
        <v>1</v>
      </c>
      <c r="G1996" s="19">
        <f>1.633198857*14.46</f>
        <v>23.616055472220001</v>
      </c>
      <c r="H1996" s="32">
        <f>H1997+H1998+H1999+H2000</f>
        <v>665</v>
      </c>
      <c r="I1996" s="25">
        <f t="shared" si="119"/>
        <v>15704.676889026301</v>
      </c>
      <c r="J1996" s="40"/>
      <c r="K1996" s="39"/>
      <c r="L1996" s="39"/>
      <c r="M1996" s="39"/>
      <c r="N1996" s="23"/>
      <c r="O1996" s="39"/>
      <c r="P1996" s="39"/>
      <c r="Q1996" s="39"/>
      <c r="R1996" s="39"/>
    </row>
    <row r="1997" spans="1:18" s="2" customFormat="1" ht="14.4">
      <c r="A1997" s="20">
        <f t="shared" si="118"/>
        <v>1848</v>
      </c>
      <c r="B1997" s="17" t="s">
        <v>3001</v>
      </c>
      <c r="C1997" s="17" t="s">
        <v>3002</v>
      </c>
      <c r="D1997" s="9" t="s">
        <v>25</v>
      </c>
      <c r="E1997" s="20" t="s">
        <v>26</v>
      </c>
      <c r="F1997" s="18">
        <v>1</v>
      </c>
      <c r="G1997" s="19">
        <f>24.55</f>
        <v>24.55</v>
      </c>
      <c r="H1997" s="32">
        <v>240</v>
      </c>
      <c r="I1997" s="25">
        <f t="shared" si="119"/>
        <v>5892</v>
      </c>
      <c r="J1997" s="40"/>
      <c r="K1997" s="39"/>
      <c r="L1997" s="39"/>
      <c r="M1997" s="39"/>
      <c r="N1997" s="23"/>
      <c r="O1997" s="39"/>
      <c r="P1997" s="39"/>
      <c r="Q1997" s="39"/>
      <c r="R1997" s="39"/>
    </row>
    <row r="1998" spans="1:18" s="2" customFormat="1" ht="14.4">
      <c r="A1998" s="20">
        <f t="shared" si="118"/>
        <v>1849</v>
      </c>
      <c r="B1998" s="17" t="s">
        <v>3003</v>
      </c>
      <c r="C1998" s="17" t="s">
        <v>3004</v>
      </c>
      <c r="D1998" s="9" t="s">
        <v>25</v>
      </c>
      <c r="E1998" s="20" t="s">
        <v>26</v>
      </c>
      <c r="F1998" s="18">
        <v>1</v>
      </c>
      <c r="G1998" s="19">
        <f>25.65</f>
        <v>25.65</v>
      </c>
      <c r="H1998" s="32">
        <v>410</v>
      </c>
      <c r="I1998" s="25">
        <f t="shared" si="119"/>
        <v>10516.5</v>
      </c>
      <c r="J1998" s="40"/>
      <c r="K1998" s="39"/>
      <c r="L1998" s="39"/>
      <c r="M1998" s="39"/>
      <c r="N1998" s="23"/>
      <c r="O1998" s="39"/>
      <c r="P1998" s="39"/>
      <c r="Q1998" s="39"/>
      <c r="R1998" s="39"/>
    </row>
    <row r="1999" spans="1:18" s="2" customFormat="1" ht="39.6">
      <c r="A1999" s="20">
        <f t="shared" si="118"/>
        <v>1850</v>
      </c>
      <c r="B1999" s="17" t="s">
        <v>3005</v>
      </c>
      <c r="C1999" s="17" t="s">
        <v>3006</v>
      </c>
      <c r="D1999" s="9" t="s">
        <v>25</v>
      </c>
      <c r="E1999" s="20" t="s">
        <v>26</v>
      </c>
      <c r="F1999" s="18">
        <v>1</v>
      </c>
      <c r="G1999" s="19">
        <f>1.633198857*46.37</f>
        <v>75.731430999089994</v>
      </c>
      <c r="H1999" s="32">
        <v>10</v>
      </c>
      <c r="I1999" s="25">
        <f t="shared" si="119"/>
        <v>757.31430999089991</v>
      </c>
      <c r="J1999" s="40"/>
      <c r="K1999" s="39"/>
      <c r="L1999" s="39"/>
      <c r="M1999" s="39"/>
      <c r="N1999" s="23"/>
      <c r="O1999" s="39"/>
      <c r="P1999" s="39"/>
      <c r="Q1999" s="39"/>
      <c r="R1999" s="39"/>
    </row>
    <row r="2000" spans="1:18" s="2" customFormat="1" ht="14.4">
      <c r="A2000" s="20">
        <f t="shared" si="118"/>
        <v>1851</v>
      </c>
      <c r="B2000" s="17" t="s">
        <v>2338</v>
      </c>
      <c r="C2000" s="17" t="s">
        <v>2339</v>
      </c>
      <c r="D2000" s="9" t="s">
        <v>25</v>
      </c>
      <c r="E2000" s="20" t="s">
        <v>26</v>
      </c>
      <c r="F2000" s="18">
        <v>1</v>
      </c>
      <c r="G2000" s="19">
        <f>20.34</f>
        <v>20.34</v>
      </c>
      <c r="H2000" s="32">
        <v>5</v>
      </c>
      <c r="I2000" s="25">
        <f t="shared" si="119"/>
        <v>101.7</v>
      </c>
      <c r="J2000" s="40"/>
      <c r="K2000" s="39"/>
      <c r="L2000" s="39"/>
      <c r="M2000" s="39"/>
      <c r="N2000" s="23"/>
      <c r="O2000" s="39"/>
      <c r="P2000" s="39"/>
      <c r="Q2000" s="39"/>
      <c r="R2000" s="39"/>
    </row>
    <row r="2001" spans="1:18" s="2" customFormat="1" ht="14.4">
      <c r="A2001" s="20">
        <f t="shared" si="118"/>
        <v>1852</v>
      </c>
      <c r="B2001" s="17" t="s">
        <v>3007</v>
      </c>
      <c r="C2001" s="17" t="s">
        <v>3008</v>
      </c>
      <c r="D2001" s="20" t="s">
        <v>5</v>
      </c>
      <c r="E2001" s="20" t="s">
        <v>6</v>
      </c>
      <c r="F2001" s="18">
        <v>1</v>
      </c>
      <c r="G2001" s="19">
        <v>121.67</v>
      </c>
      <c r="H2001" s="32">
        <v>50</v>
      </c>
      <c r="I2001" s="25">
        <f t="shared" si="119"/>
        <v>6083.5</v>
      </c>
      <c r="J2001" s="40"/>
      <c r="K2001" s="39"/>
      <c r="L2001" s="39"/>
      <c r="M2001" s="39"/>
      <c r="N2001" s="23"/>
      <c r="O2001" s="39"/>
      <c r="P2001" s="39"/>
      <c r="Q2001" s="39"/>
      <c r="R2001" s="39"/>
    </row>
    <row r="2002" spans="1:18" s="2" customFormat="1" ht="14.4">
      <c r="A2002" s="20">
        <f t="shared" si="118"/>
        <v>1853</v>
      </c>
      <c r="B2002" s="17" t="s">
        <v>3009</v>
      </c>
      <c r="C2002" s="17" t="s">
        <v>3010</v>
      </c>
      <c r="D2002" s="20" t="s">
        <v>2274</v>
      </c>
      <c r="E2002" s="20" t="s">
        <v>2275</v>
      </c>
      <c r="F2002" s="18">
        <v>1</v>
      </c>
      <c r="G2002" s="19">
        <v>165</v>
      </c>
      <c r="H2002" s="32">
        <v>16</v>
      </c>
      <c r="I2002" s="25">
        <f t="shared" si="119"/>
        <v>2640</v>
      </c>
      <c r="J2002" s="40"/>
      <c r="K2002" s="39"/>
      <c r="L2002" s="39"/>
      <c r="M2002" s="39"/>
      <c r="N2002" s="23"/>
      <c r="O2002" s="39"/>
      <c r="P2002" s="39"/>
      <c r="Q2002" s="39"/>
      <c r="R2002" s="39"/>
    </row>
    <row r="2003" spans="1:18" s="2" customFormat="1" ht="14.4">
      <c r="A2003" s="20">
        <f t="shared" si="118"/>
        <v>1854</v>
      </c>
      <c r="B2003" s="17" t="s">
        <v>3011</v>
      </c>
      <c r="C2003" s="17" t="s">
        <v>3012</v>
      </c>
      <c r="D2003" s="20" t="s">
        <v>2274</v>
      </c>
      <c r="E2003" s="20" t="s">
        <v>2275</v>
      </c>
      <c r="F2003" s="18">
        <v>1</v>
      </c>
      <c r="G2003" s="19">
        <v>216</v>
      </c>
      <c r="H2003" s="32">
        <v>16</v>
      </c>
      <c r="I2003" s="25">
        <f t="shared" si="119"/>
        <v>3456</v>
      </c>
      <c r="J2003" s="40"/>
      <c r="K2003" s="39"/>
      <c r="L2003" s="39"/>
      <c r="M2003" s="39"/>
      <c r="N2003" s="23"/>
      <c r="O2003" s="39"/>
      <c r="P2003" s="39"/>
      <c r="Q2003" s="39"/>
      <c r="R2003" s="39"/>
    </row>
    <row r="2004" spans="1:18" s="2" customFormat="1" ht="14.4">
      <c r="A2004" s="20">
        <f t="shared" si="118"/>
        <v>1855</v>
      </c>
      <c r="B2004" s="17" t="s">
        <v>3013</v>
      </c>
      <c r="C2004" s="17" t="s">
        <v>3014</v>
      </c>
      <c r="D2004" s="20" t="s">
        <v>2274</v>
      </c>
      <c r="E2004" s="20" t="s">
        <v>2275</v>
      </c>
      <c r="F2004" s="18">
        <v>1</v>
      </c>
      <c r="G2004" s="19">
        <v>32.01</v>
      </c>
      <c r="H2004" s="32">
        <v>7</v>
      </c>
      <c r="I2004" s="25">
        <f t="shared" si="119"/>
        <v>224.07</v>
      </c>
      <c r="J2004" s="40"/>
      <c r="K2004" s="39"/>
      <c r="L2004" s="39"/>
      <c r="M2004" s="39"/>
      <c r="N2004" s="23"/>
      <c r="O2004" s="39"/>
      <c r="P2004" s="39"/>
      <c r="Q2004" s="39"/>
      <c r="R2004" s="39"/>
    </row>
    <row r="2005" spans="1:18" s="2" customFormat="1" ht="14.4">
      <c r="A2005" s="20">
        <f t="shared" si="118"/>
        <v>1856</v>
      </c>
      <c r="B2005" s="17" t="s">
        <v>3015</v>
      </c>
      <c r="C2005" s="17" t="s">
        <v>3016</v>
      </c>
      <c r="D2005" s="20" t="s">
        <v>2274</v>
      </c>
      <c r="E2005" s="20" t="s">
        <v>2275</v>
      </c>
      <c r="F2005" s="18">
        <v>1</v>
      </c>
      <c r="G2005" s="19">
        <v>60</v>
      </c>
      <c r="H2005" s="32">
        <v>7</v>
      </c>
      <c r="I2005" s="25">
        <f t="shared" si="119"/>
        <v>420</v>
      </c>
      <c r="J2005" s="40"/>
      <c r="K2005" s="39"/>
      <c r="L2005" s="39"/>
      <c r="M2005" s="39"/>
      <c r="N2005" s="23"/>
      <c r="O2005" s="39"/>
      <c r="P2005" s="39"/>
      <c r="Q2005" s="39"/>
      <c r="R2005" s="39"/>
    </row>
    <row r="2006" spans="1:18" s="2" customFormat="1" ht="14.4">
      <c r="A2006" s="20">
        <f t="shared" si="118"/>
        <v>1857</v>
      </c>
      <c r="B2006" s="17" t="s">
        <v>1077</v>
      </c>
      <c r="C2006" s="17" t="s">
        <v>219</v>
      </c>
      <c r="D2006" s="20" t="s">
        <v>48</v>
      </c>
      <c r="E2006" s="20" t="s">
        <v>49</v>
      </c>
      <c r="F2006" s="18">
        <v>1</v>
      </c>
      <c r="G2006" s="19"/>
      <c r="H2006" s="32">
        <v>1</v>
      </c>
      <c r="I2006" s="25">
        <f>SUM(I1965:I2005)*0.05</f>
        <v>40262.035796699325</v>
      </c>
      <c r="J2006" s="40"/>
      <c r="K2006" s="39"/>
      <c r="L2006" s="39"/>
      <c r="M2006" s="39"/>
      <c r="N2006" s="23"/>
      <c r="O2006" s="39"/>
      <c r="P2006" s="39"/>
      <c r="Q2006" s="39"/>
      <c r="R2006" s="39"/>
    </row>
    <row r="2007" spans="1:18" ht="39.6">
      <c r="A2007" s="9" t="s">
        <v>61</v>
      </c>
      <c r="B2007" s="13" t="s">
        <v>3017</v>
      </c>
      <c r="C2007" s="13" t="s">
        <v>3018</v>
      </c>
      <c r="D2007" s="14"/>
      <c r="E2007" s="14"/>
      <c r="F2007" s="18"/>
      <c r="G2007" s="19"/>
      <c r="H2007" s="15"/>
      <c r="I2007" s="25"/>
      <c r="J2007" s="24"/>
      <c r="K2007" s="22"/>
      <c r="L2007" s="22"/>
      <c r="M2007" s="22"/>
      <c r="N2007" s="23"/>
      <c r="O2007" s="22"/>
      <c r="P2007" s="22"/>
      <c r="Q2007" s="22"/>
      <c r="R2007" s="22"/>
    </row>
    <row r="2008" spans="1:18" ht="14.4">
      <c r="A2008" s="9"/>
      <c r="B2008" s="13" t="s">
        <v>3019</v>
      </c>
      <c r="C2008" s="13" t="s">
        <v>3020</v>
      </c>
      <c r="D2008" s="14"/>
      <c r="E2008" s="14"/>
      <c r="F2008" s="18"/>
      <c r="G2008" s="19"/>
      <c r="H2008" s="15"/>
      <c r="I2008" s="25"/>
      <c r="J2008" s="24"/>
      <c r="K2008" s="22"/>
      <c r="L2008" s="22"/>
      <c r="M2008" s="22"/>
      <c r="N2008" s="23"/>
      <c r="O2008" s="22"/>
      <c r="P2008" s="22"/>
      <c r="Q2008" s="22"/>
      <c r="R2008" s="22"/>
    </row>
    <row r="2009" spans="1:18" s="2" customFormat="1" ht="14.4">
      <c r="A2009" s="20">
        <f>A2005+1</f>
        <v>1857</v>
      </c>
      <c r="B2009" s="17" t="s">
        <v>3021</v>
      </c>
      <c r="C2009" s="17" t="s">
        <v>3022</v>
      </c>
      <c r="D2009" s="20" t="s">
        <v>5</v>
      </c>
      <c r="E2009" s="20" t="s">
        <v>6</v>
      </c>
      <c r="F2009" s="18">
        <v>1</v>
      </c>
      <c r="G2009" s="19">
        <f>9997</f>
        <v>9997</v>
      </c>
      <c r="H2009" s="32">
        <v>1</v>
      </c>
      <c r="I2009" s="25">
        <f t="shared" si="119"/>
        <v>9997</v>
      </c>
      <c r="J2009" s="40"/>
      <c r="K2009" s="39"/>
      <c r="L2009" s="39"/>
      <c r="M2009" s="39"/>
      <c r="N2009" s="23"/>
      <c r="O2009" s="39"/>
      <c r="P2009" s="39"/>
      <c r="Q2009" s="39"/>
      <c r="R2009" s="39"/>
    </row>
    <row r="2010" spans="1:18" s="2" customFormat="1" ht="14.4">
      <c r="A2010" s="20">
        <f t="shared" ref="A2010:A2016" si="120">A2009+1</f>
        <v>1858</v>
      </c>
      <c r="B2010" s="17" t="s">
        <v>3023</v>
      </c>
      <c r="C2010" s="17" t="s">
        <v>3024</v>
      </c>
      <c r="D2010" s="20" t="s">
        <v>5</v>
      </c>
      <c r="E2010" s="20" t="s">
        <v>6</v>
      </c>
      <c r="F2010" s="18">
        <v>1</v>
      </c>
      <c r="G2010" s="19">
        <f>980</f>
        <v>980</v>
      </c>
      <c r="H2010" s="32">
        <v>4</v>
      </c>
      <c r="I2010" s="25">
        <f t="shared" si="119"/>
        <v>3920</v>
      </c>
      <c r="J2010" s="40"/>
      <c r="K2010" s="39"/>
      <c r="L2010" s="39"/>
      <c r="M2010" s="39"/>
      <c r="N2010" s="23"/>
      <c r="O2010" s="39"/>
      <c r="P2010" s="39"/>
      <c r="Q2010" s="39"/>
      <c r="R2010" s="39"/>
    </row>
    <row r="2011" spans="1:18" s="2" customFormat="1" ht="14.4">
      <c r="A2011" s="20">
        <f t="shared" si="120"/>
        <v>1859</v>
      </c>
      <c r="B2011" s="17" t="s">
        <v>3025</v>
      </c>
      <c r="C2011" s="17" t="s">
        <v>3026</v>
      </c>
      <c r="D2011" s="20" t="s">
        <v>5</v>
      </c>
      <c r="E2011" s="20" t="s">
        <v>6</v>
      </c>
      <c r="F2011" s="18">
        <v>1</v>
      </c>
      <c r="G2011" s="19">
        <f>4836</f>
        <v>4836</v>
      </c>
      <c r="H2011" s="32">
        <v>1</v>
      </c>
      <c r="I2011" s="25">
        <f t="shared" si="119"/>
        <v>4836</v>
      </c>
      <c r="J2011" s="40"/>
      <c r="K2011" s="39"/>
      <c r="L2011" s="39"/>
      <c r="M2011" s="39"/>
      <c r="N2011" s="23"/>
      <c r="O2011" s="39"/>
      <c r="P2011" s="39"/>
      <c r="Q2011" s="39"/>
      <c r="R2011" s="39"/>
    </row>
    <row r="2012" spans="1:18" s="2" customFormat="1" ht="14.4">
      <c r="A2012" s="20">
        <f t="shared" si="120"/>
        <v>1860</v>
      </c>
      <c r="B2012" s="17" t="s">
        <v>3027</v>
      </c>
      <c r="C2012" s="17" t="s">
        <v>3028</v>
      </c>
      <c r="D2012" s="20" t="s">
        <v>5</v>
      </c>
      <c r="E2012" s="20" t="s">
        <v>6</v>
      </c>
      <c r="F2012" s="18">
        <v>1</v>
      </c>
      <c r="G2012" s="19">
        <f>5520</f>
        <v>5520</v>
      </c>
      <c r="H2012" s="32">
        <v>1</v>
      </c>
      <c r="I2012" s="25">
        <f t="shared" si="119"/>
        <v>5520</v>
      </c>
      <c r="J2012" s="40"/>
      <c r="K2012" s="39"/>
      <c r="L2012" s="39"/>
      <c r="M2012" s="39"/>
      <c r="N2012" s="23"/>
      <c r="O2012" s="39"/>
      <c r="P2012" s="39"/>
      <c r="Q2012" s="39"/>
      <c r="R2012" s="39"/>
    </row>
    <row r="2013" spans="1:18" s="2" customFormat="1" ht="52.8">
      <c r="A2013" s="20">
        <f t="shared" si="120"/>
        <v>1861</v>
      </c>
      <c r="B2013" s="17" t="s">
        <v>3029</v>
      </c>
      <c r="C2013" s="17" t="s">
        <v>3030</v>
      </c>
      <c r="D2013" s="20" t="s">
        <v>5</v>
      </c>
      <c r="E2013" s="20" t="s">
        <v>6</v>
      </c>
      <c r="F2013" s="18">
        <v>1</v>
      </c>
      <c r="G2013" s="19">
        <f>912</f>
        <v>912</v>
      </c>
      <c r="H2013" s="32">
        <v>4</v>
      </c>
      <c r="I2013" s="25">
        <f t="shared" si="119"/>
        <v>3648</v>
      </c>
      <c r="J2013" s="40"/>
      <c r="K2013" s="39"/>
      <c r="L2013" s="39"/>
      <c r="M2013" s="39"/>
      <c r="N2013" s="23"/>
      <c r="O2013" s="39"/>
      <c r="P2013" s="39"/>
      <c r="Q2013" s="39"/>
      <c r="R2013" s="39"/>
    </row>
    <row r="2014" spans="1:18" s="2" customFormat="1" ht="52.8">
      <c r="A2014" s="20">
        <f t="shared" si="120"/>
        <v>1862</v>
      </c>
      <c r="B2014" s="17" t="s">
        <v>3031</v>
      </c>
      <c r="C2014" s="17" t="s">
        <v>3032</v>
      </c>
      <c r="D2014" s="20" t="s">
        <v>5</v>
      </c>
      <c r="E2014" s="20" t="s">
        <v>6</v>
      </c>
      <c r="F2014" s="18">
        <v>1</v>
      </c>
      <c r="G2014" s="19">
        <f>912</f>
        <v>912</v>
      </c>
      <c r="H2014" s="32">
        <v>9</v>
      </c>
      <c r="I2014" s="25">
        <f t="shared" si="119"/>
        <v>8208</v>
      </c>
      <c r="J2014" s="40"/>
      <c r="K2014" s="39"/>
      <c r="L2014" s="39"/>
      <c r="M2014" s="39"/>
      <c r="N2014" s="23"/>
      <c r="O2014" s="39"/>
      <c r="P2014" s="39"/>
      <c r="Q2014" s="39"/>
      <c r="R2014" s="39"/>
    </row>
    <row r="2015" spans="1:18" s="2" customFormat="1" ht="14.4">
      <c r="A2015" s="20">
        <f t="shared" si="120"/>
        <v>1863</v>
      </c>
      <c r="B2015" s="17" t="s">
        <v>3033</v>
      </c>
      <c r="C2015" s="17" t="s">
        <v>3034</v>
      </c>
      <c r="D2015" s="20" t="s">
        <v>5</v>
      </c>
      <c r="E2015" s="20" t="s">
        <v>6</v>
      </c>
      <c r="F2015" s="18">
        <v>1</v>
      </c>
      <c r="G2015" s="19">
        <f>4800</f>
        <v>4800</v>
      </c>
      <c r="H2015" s="32">
        <v>1</v>
      </c>
      <c r="I2015" s="25">
        <f t="shared" si="119"/>
        <v>4800</v>
      </c>
      <c r="J2015" s="40"/>
      <c r="K2015" s="39"/>
      <c r="L2015" s="39"/>
      <c r="M2015" s="39"/>
      <c r="N2015" s="23"/>
      <c r="O2015" s="39"/>
      <c r="P2015" s="39"/>
      <c r="Q2015" s="39"/>
      <c r="R2015" s="39"/>
    </row>
    <row r="2016" spans="1:18" s="2" customFormat="1" ht="14.4">
      <c r="A2016" s="20">
        <f t="shared" si="120"/>
        <v>1864</v>
      </c>
      <c r="B2016" s="17" t="s">
        <v>3035</v>
      </c>
      <c r="C2016" s="17" t="s">
        <v>3036</v>
      </c>
      <c r="D2016" s="20" t="s">
        <v>5</v>
      </c>
      <c r="E2016" s="20" t="s">
        <v>6</v>
      </c>
      <c r="F2016" s="18">
        <v>1</v>
      </c>
      <c r="G2016" s="19">
        <f>5400</f>
        <v>5400</v>
      </c>
      <c r="H2016" s="32">
        <v>2</v>
      </c>
      <c r="I2016" s="25">
        <f t="shared" si="119"/>
        <v>10800</v>
      </c>
      <c r="J2016" s="40"/>
      <c r="K2016" s="39"/>
      <c r="L2016" s="39"/>
      <c r="M2016" s="39"/>
      <c r="N2016" s="23"/>
      <c r="O2016" s="39"/>
      <c r="P2016" s="39"/>
      <c r="Q2016" s="39"/>
      <c r="R2016" s="39"/>
    </row>
    <row r="2017" spans="1:18" ht="26.4">
      <c r="A2017" s="9" t="s">
        <v>61</v>
      </c>
      <c r="B2017" s="13" t="s">
        <v>3037</v>
      </c>
      <c r="C2017" s="13" t="s">
        <v>3038</v>
      </c>
      <c r="D2017" s="14"/>
      <c r="E2017" s="14"/>
      <c r="F2017" s="18"/>
      <c r="G2017" s="19"/>
      <c r="H2017" s="15"/>
      <c r="I2017" s="25"/>
      <c r="J2017" s="24"/>
      <c r="K2017" s="22"/>
      <c r="L2017" s="22"/>
      <c r="M2017" s="22"/>
      <c r="N2017" s="23"/>
      <c r="O2017" s="22"/>
      <c r="P2017" s="22"/>
      <c r="Q2017" s="22"/>
      <c r="R2017" s="22"/>
    </row>
    <row r="2018" spans="1:18" s="2" customFormat="1" ht="39.6">
      <c r="A2018" s="20">
        <f>A2016+1</f>
        <v>1865</v>
      </c>
      <c r="B2018" s="17" t="s">
        <v>3039</v>
      </c>
      <c r="C2018" s="17" t="s">
        <v>3040</v>
      </c>
      <c r="D2018" s="9" t="s">
        <v>25</v>
      </c>
      <c r="E2018" s="20" t="s">
        <v>26</v>
      </c>
      <c r="F2018" s="18">
        <v>1</v>
      </c>
      <c r="G2018" s="19">
        <f>1.633198857*40.48</f>
        <v>66.111889731359994</v>
      </c>
      <c r="H2018" s="32">
        <v>768</v>
      </c>
      <c r="I2018" s="25">
        <f t="shared" si="119"/>
        <v>50773.931313684472</v>
      </c>
      <c r="J2018" s="40"/>
      <c r="K2018" s="39"/>
      <c r="L2018" s="39"/>
      <c r="M2018" s="39"/>
      <c r="N2018" s="23"/>
      <c r="O2018" s="39"/>
      <c r="P2018" s="39"/>
      <c r="Q2018" s="39"/>
      <c r="R2018" s="39"/>
    </row>
    <row r="2019" spans="1:18" s="2" customFormat="1" ht="14.4">
      <c r="A2019" s="20">
        <f>A2018+1</f>
        <v>1866</v>
      </c>
      <c r="B2019" s="17" t="s">
        <v>3041</v>
      </c>
      <c r="C2019" s="17" t="s">
        <v>3042</v>
      </c>
      <c r="D2019" s="9" t="s">
        <v>25</v>
      </c>
      <c r="E2019" s="20" t="s">
        <v>26</v>
      </c>
      <c r="F2019" s="18">
        <v>1</v>
      </c>
      <c r="G2019" s="19">
        <f>47.21</f>
        <v>47.21</v>
      </c>
      <c r="H2019" s="32">
        <v>768</v>
      </c>
      <c r="I2019" s="25">
        <f t="shared" si="119"/>
        <v>36257.279999999999</v>
      </c>
      <c r="J2019" s="40"/>
      <c r="K2019" s="39"/>
      <c r="L2019" s="39"/>
      <c r="M2019" s="39"/>
      <c r="N2019" s="23"/>
      <c r="O2019" s="39"/>
      <c r="P2019" s="39"/>
      <c r="Q2019" s="39"/>
      <c r="R2019" s="39"/>
    </row>
    <row r="2020" spans="1:18" s="2" customFormat="1" ht="14.4">
      <c r="A2020" s="20">
        <f t="shared" ref="A2020:A2042" si="121">A2019+1</f>
        <v>1867</v>
      </c>
      <c r="B2020" s="17" t="s">
        <v>3043</v>
      </c>
      <c r="C2020" s="17" t="s">
        <v>3044</v>
      </c>
      <c r="D2020" s="20" t="s">
        <v>5</v>
      </c>
      <c r="E2020" s="20" t="s">
        <v>6</v>
      </c>
      <c r="F2020" s="18">
        <v>1</v>
      </c>
      <c r="G2020" s="19">
        <f>29.58</f>
        <v>29.58</v>
      </c>
      <c r="H2020" s="32">
        <v>75</v>
      </c>
      <c r="I2020" s="25">
        <f t="shared" si="119"/>
        <v>2218.5</v>
      </c>
      <c r="J2020" s="40"/>
      <c r="K2020" s="39"/>
      <c r="L2020" s="39"/>
      <c r="M2020" s="39"/>
      <c r="N2020" s="23"/>
      <c r="O2020" s="39"/>
      <c r="P2020" s="39"/>
      <c r="Q2020" s="39"/>
      <c r="R2020" s="39"/>
    </row>
    <row r="2021" spans="1:18" s="2" customFormat="1" ht="14.4">
      <c r="A2021" s="20">
        <f t="shared" si="121"/>
        <v>1868</v>
      </c>
      <c r="B2021" s="30" t="s">
        <v>3045</v>
      </c>
      <c r="C2021" s="30" t="s">
        <v>3046</v>
      </c>
      <c r="D2021" s="20" t="s">
        <v>5</v>
      </c>
      <c r="E2021" s="20" t="s">
        <v>6</v>
      </c>
      <c r="F2021" s="18">
        <v>1</v>
      </c>
      <c r="G2021" s="19">
        <f>112.71</f>
        <v>112.71</v>
      </c>
      <c r="H2021" s="32">
        <v>260</v>
      </c>
      <c r="I2021" s="25">
        <f t="shared" si="119"/>
        <v>29304.6</v>
      </c>
      <c r="J2021" s="40"/>
      <c r="K2021" s="39"/>
      <c r="L2021" s="39"/>
      <c r="M2021" s="39"/>
      <c r="N2021" s="23"/>
      <c r="O2021" s="39"/>
      <c r="P2021" s="39"/>
      <c r="Q2021" s="39"/>
      <c r="R2021" s="39"/>
    </row>
    <row r="2022" spans="1:18" s="2" customFormat="1" ht="26.4">
      <c r="A2022" s="20">
        <f t="shared" si="121"/>
        <v>1869</v>
      </c>
      <c r="B2022" s="30" t="s">
        <v>3047</v>
      </c>
      <c r="C2022" s="30" t="s">
        <v>3048</v>
      </c>
      <c r="D2022" s="20" t="s">
        <v>5</v>
      </c>
      <c r="E2022" s="20" t="s">
        <v>6</v>
      </c>
      <c r="F2022" s="18">
        <v>1</v>
      </c>
      <c r="G2022" s="19">
        <f>133.11</f>
        <v>133.11000000000001</v>
      </c>
      <c r="H2022" s="32">
        <v>460</v>
      </c>
      <c r="I2022" s="25">
        <f t="shared" si="119"/>
        <v>61230.600000000006</v>
      </c>
      <c r="J2022" s="40"/>
      <c r="K2022" s="39"/>
      <c r="L2022" s="39"/>
      <c r="M2022" s="39"/>
      <c r="N2022" s="23"/>
      <c r="O2022" s="39"/>
      <c r="P2022" s="39"/>
      <c r="Q2022" s="39"/>
      <c r="R2022" s="39"/>
    </row>
    <row r="2023" spans="1:18" s="2" customFormat="1" ht="14.4">
      <c r="A2023" s="20">
        <f t="shared" si="121"/>
        <v>1870</v>
      </c>
      <c r="B2023" s="30" t="s">
        <v>3049</v>
      </c>
      <c r="C2023" s="83" t="s">
        <v>3050</v>
      </c>
      <c r="D2023" s="20" t="s">
        <v>5</v>
      </c>
      <c r="E2023" s="20" t="s">
        <v>6</v>
      </c>
      <c r="F2023" s="18">
        <v>1</v>
      </c>
      <c r="G2023" s="19">
        <f>14.26</f>
        <v>14.26</v>
      </c>
      <c r="H2023" s="32">
        <v>150</v>
      </c>
      <c r="I2023" s="25">
        <f t="shared" si="119"/>
        <v>2139</v>
      </c>
      <c r="J2023" s="40"/>
      <c r="K2023" s="39"/>
      <c r="L2023" s="39"/>
      <c r="M2023" s="39"/>
      <c r="N2023" s="23"/>
      <c r="O2023" s="39"/>
      <c r="P2023" s="39"/>
      <c r="Q2023" s="39"/>
      <c r="R2023" s="39"/>
    </row>
    <row r="2024" spans="1:18" s="2" customFormat="1" ht="14.4">
      <c r="A2024" s="20">
        <f t="shared" si="121"/>
        <v>1871</v>
      </c>
      <c r="B2024" s="30" t="s">
        <v>3051</v>
      </c>
      <c r="C2024" s="30" t="s">
        <v>3052</v>
      </c>
      <c r="D2024" s="20" t="s">
        <v>5</v>
      </c>
      <c r="E2024" s="20" t="s">
        <v>6</v>
      </c>
      <c r="F2024" s="18">
        <v>1</v>
      </c>
      <c r="G2024" s="19">
        <f>5.71</f>
        <v>5.71</v>
      </c>
      <c r="H2024" s="32">
        <v>300</v>
      </c>
      <c r="I2024" s="25">
        <f t="shared" si="119"/>
        <v>1713</v>
      </c>
      <c r="J2024" s="40"/>
      <c r="K2024" s="39"/>
      <c r="L2024" s="39"/>
      <c r="M2024" s="39"/>
      <c r="N2024" s="23"/>
      <c r="O2024" s="39"/>
      <c r="P2024" s="39"/>
      <c r="Q2024" s="39"/>
      <c r="R2024" s="39"/>
    </row>
    <row r="2025" spans="1:18" s="2" customFormat="1" ht="14.4">
      <c r="A2025" s="20">
        <f t="shared" si="121"/>
        <v>1872</v>
      </c>
      <c r="B2025" s="30" t="s">
        <v>3053</v>
      </c>
      <c r="C2025" s="30" t="s">
        <v>3054</v>
      </c>
      <c r="D2025" s="20" t="s">
        <v>5</v>
      </c>
      <c r="E2025" s="20" t="s">
        <v>6</v>
      </c>
      <c r="F2025" s="18">
        <v>1</v>
      </c>
      <c r="G2025" s="19">
        <f>30.67</f>
        <v>30.67</v>
      </c>
      <c r="H2025" s="32">
        <v>18</v>
      </c>
      <c r="I2025" s="25">
        <f t="shared" si="119"/>
        <v>552.06000000000006</v>
      </c>
      <c r="J2025" s="40"/>
      <c r="K2025" s="39"/>
      <c r="L2025" s="39"/>
      <c r="M2025" s="39"/>
      <c r="N2025" s="23"/>
      <c r="O2025" s="39"/>
      <c r="P2025" s="39"/>
      <c r="Q2025" s="39"/>
      <c r="R2025" s="39"/>
    </row>
    <row r="2026" spans="1:18" s="2" customFormat="1" ht="39.6">
      <c r="A2026" s="20">
        <f t="shared" si="121"/>
        <v>1873</v>
      </c>
      <c r="B2026" s="30" t="s">
        <v>3055</v>
      </c>
      <c r="C2026" s="30" t="s">
        <v>3056</v>
      </c>
      <c r="D2026" s="9" t="s">
        <v>25</v>
      </c>
      <c r="E2026" s="20" t="s">
        <v>26</v>
      </c>
      <c r="F2026" s="18">
        <v>1</v>
      </c>
      <c r="G2026" s="19">
        <f>1.633198857*43.95</f>
        <v>71.779089765150005</v>
      </c>
      <c r="H2026" s="32">
        <v>15</v>
      </c>
      <c r="I2026" s="25">
        <f t="shared" si="119"/>
        <v>1076.68634647725</v>
      </c>
      <c r="J2026" s="40"/>
      <c r="K2026" s="39"/>
      <c r="L2026" s="39"/>
      <c r="M2026" s="39"/>
      <c r="N2026" s="23"/>
      <c r="O2026" s="39"/>
      <c r="P2026" s="39"/>
      <c r="Q2026" s="39"/>
      <c r="R2026" s="39"/>
    </row>
    <row r="2027" spans="1:18" s="2" customFormat="1" ht="26.4">
      <c r="A2027" s="20">
        <f t="shared" si="121"/>
        <v>1874</v>
      </c>
      <c r="B2027" s="30" t="s">
        <v>3057</v>
      </c>
      <c r="C2027" s="30" t="s">
        <v>3058</v>
      </c>
      <c r="D2027" s="20" t="s">
        <v>5</v>
      </c>
      <c r="E2027" s="20" t="s">
        <v>6</v>
      </c>
      <c r="F2027" s="18">
        <v>1</v>
      </c>
      <c r="G2027" s="19">
        <f>1604.37</f>
        <v>1604.37</v>
      </c>
      <c r="H2027" s="32">
        <v>5</v>
      </c>
      <c r="I2027" s="25">
        <f t="shared" si="119"/>
        <v>8021.8499999999995</v>
      </c>
      <c r="J2027" s="40"/>
      <c r="K2027" s="39"/>
      <c r="L2027" s="39"/>
      <c r="M2027" s="39"/>
      <c r="N2027" s="23"/>
      <c r="O2027" s="39"/>
      <c r="P2027" s="39"/>
      <c r="Q2027" s="39"/>
      <c r="R2027" s="39"/>
    </row>
    <row r="2028" spans="1:18" s="2" customFormat="1" ht="26.4">
      <c r="A2028" s="20">
        <f t="shared" si="121"/>
        <v>1875</v>
      </c>
      <c r="B2028" s="30" t="s">
        <v>3059</v>
      </c>
      <c r="C2028" s="30" t="s">
        <v>3060</v>
      </c>
      <c r="D2028" s="20" t="s">
        <v>5</v>
      </c>
      <c r="E2028" s="20" t="s">
        <v>6</v>
      </c>
      <c r="F2028" s="18">
        <v>1</v>
      </c>
      <c r="G2028" s="19">
        <f>395.94</f>
        <v>395.94</v>
      </c>
      <c r="H2028" s="32">
        <v>12</v>
      </c>
      <c r="I2028" s="25">
        <f t="shared" si="119"/>
        <v>4751.28</v>
      </c>
      <c r="J2028" s="40"/>
      <c r="K2028" s="39"/>
      <c r="L2028" s="39"/>
      <c r="M2028" s="39"/>
      <c r="N2028" s="23"/>
      <c r="O2028" s="39"/>
      <c r="P2028" s="39"/>
      <c r="Q2028" s="39"/>
      <c r="R2028" s="39"/>
    </row>
    <row r="2029" spans="1:18" s="2" customFormat="1" ht="39.6">
      <c r="A2029" s="20">
        <f t="shared" si="121"/>
        <v>1876</v>
      </c>
      <c r="B2029" s="30" t="s">
        <v>3061</v>
      </c>
      <c r="C2029" s="30" t="s">
        <v>3062</v>
      </c>
      <c r="D2029" s="9" t="s">
        <v>25</v>
      </c>
      <c r="E2029" s="20" t="s">
        <v>26</v>
      </c>
      <c r="F2029" s="18">
        <v>1</v>
      </c>
      <c r="G2029" s="19">
        <f>1.633198857*45.64</f>
        <v>74.539195833480008</v>
      </c>
      <c r="H2029" s="32">
        <v>270</v>
      </c>
      <c r="I2029" s="25">
        <f t="shared" si="119"/>
        <v>20125.582875039603</v>
      </c>
      <c r="J2029" s="40"/>
      <c r="K2029" s="39"/>
      <c r="L2029" s="39"/>
      <c r="M2029" s="39"/>
      <c r="N2029" s="23"/>
      <c r="O2029" s="39"/>
      <c r="P2029" s="39"/>
      <c r="Q2029" s="39"/>
      <c r="R2029" s="39"/>
    </row>
    <row r="2030" spans="1:18" s="2" customFormat="1" ht="14.4">
      <c r="A2030" s="20">
        <f t="shared" si="121"/>
        <v>1877</v>
      </c>
      <c r="B2030" s="30" t="s">
        <v>3063</v>
      </c>
      <c r="C2030" s="30" t="s">
        <v>3064</v>
      </c>
      <c r="D2030" s="9" t="s">
        <v>25</v>
      </c>
      <c r="E2030" s="20" t="s">
        <v>26</v>
      </c>
      <c r="F2030" s="18">
        <v>1</v>
      </c>
      <c r="G2030" s="19">
        <f>1.633198857</f>
        <v>1.633198857</v>
      </c>
      <c r="H2030" s="32">
        <v>270</v>
      </c>
      <c r="I2030" s="25">
        <f t="shared" si="119"/>
        <v>440.96369139000001</v>
      </c>
      <c r="J2030" s="40"/>
      <c r="K2030" s="39"/>
      <c r="L2030" s="39"/>
      <c r="M2030" s="39"/>
      <c r="N2030" s="23"/>
      <c r="O2030" s="39"/>
      <c r="P2030" s="39"/>
      <c r="Q2030" s="39"/>
      <c r="R2030" s="39"/>
    </row>
    <row r="2031" spans="1:18" s="2" customFormat="1" ht="26.4">
      <c r="A2031" s="20">
        <f t="shared" si="121"/>
        <v>1878</v>
      </c>
      <c r="B2031" s="30" t="s">
        <v>3065</v>
      </c>
      <c r="C2031" s="30" t="s">
        <v>3066</v>
      </c>
      <c r="D2031" s="9" t="s">
        <v>25</v>
      </c>
      <c r="E2031" s="20" t="s">
        <v>26</v>
      </c>
      <c r="F2031" s="18">
        <v>1</v>
      </c>
      <c r="G2031" s="19">
        <f>1.633198857*45.64</f>
        <v>74.539195833480008</v>
      </c>
      <c r="H2031" s="32">
        <v>270</v>
      </c>
      <c r="I2031" s="25">
        <f t="shared" si="119"/>
        <v>20125.582875039603</v>
      </c>
      <c r="J2031" s="40"/>
      <c r="K2031" s="39"/>
      <c r="L2031" s="39"/>
      <c r="M2031" s="39"/>
      <c r="N2031" s="23"/>
      <c r="O2031" s="39"/>
      <c r="P2031" s="39"/>
      <c r="Q2031" s="39"/>
      <c r="R2031" s="39"/>
    </row>
    <row r="2032" spans="1:18" s="2" customFormat="1" ht="14.4">
      <c r="A2032" s="20">
        <f t="shared" si="121"/>
        <v>1879</v>
      </c>
      <c r="B2032" s="30" t="s">
        <v>3067</v>
      </c>
      <c r="C2032" s="30" t="s">
        <v>3068</v>
      </c>
      <c r="D2032" s="20" t="s">
        <v>5</v>
      </c>
      <c r="E2032" s="20" t="s">
        <v>6</v>
      </c>
      <c r="F2032" s="18">
        <v>1</v>
      </c>
      <c r="G2032" s="19">
        <f>116.79</f>
        <v>116.79</v>
      </c>
      <c r="H2032" s="32">
        <v>10</v>
      </c>
      <c r="I2032" s="25">
        <f t="shared" si="119"/>
        <v>1167.9000000000001</v>
      </c>
      <c r="J2032" s="40"/>
      <c r="K2032" s="39"/>
      <c r="L2032" s="39"/>
      <c r="M2032" s="39"/>
      <c r="N2032" s="23"/>
      <c r="O2032" s="39"/>
      <c r="P2032" s="39"/>
      <c r="Q2032" s="39"/>
      <c r="R2032" s="39"/>
    </row>
    <row r="2033" spans="1:18" s="2" customFormat="1" ht="14.4">
      <c r="A2033" s="20">
        <f t="shared" si="121"/>
        <v>1880</v>
      </c>
      <c r="B2033" s="30" t="s">
        <v>3069</v>
      </c>
      <c r="C2033" s="30" t="s">
        <v>3070</v>
      </c>
      <c r="D2033" s="20" t="s">
        <v>5</v>
      </c>
      <c r="E2033" s="20" t="s">
        <v>6</v>
      </c>
      <c r="F2033" s="18">
        <v>1</v>
      </c>
      <c r="G2033" s="19">
        <v>111.69</v>
      </c>
      <c r="H2033" s="32">
        <v>12</v>
      </c>
      <c r="I2033" s="25">
        <f t="shared" si="119"/>
        <v>1340.28</v>
      </c>
      <c r="J2033" s="40"/>
      <c r="K2033" s="39"/>
      <c r="L2033" s="39"/>
      <c r="M2033" s="39"/>
      <c r="N2033" s="23"/>
      <c r="O2033" s="39"/>
      <c r="P2033" s="39"/>
      <c r="Q2033" s="39"/>
      <c r="R2033" s="39"/>
    </row>
    <row r="2034" spans="1:18" s="2" customFormat="1" ht="39.6">
      <c r="A2034" s="20">
        <f t="shared" si="121"/>
        <v>1881</v>
      </c>
      <c r="B2034" s="30" t="s">
        <v>3071</v>
      </c>
      <c r="C2034" s="30" t="s">
        <v>3072</v>
      </c>
      <c r="D2034" s="9" t="s">
        <v>25</v>
      </c>
      <c r="E2034" s="20" t="s">
        <v>26</v>
      </c>
      <c r="F2034" s="18">
        <v>1</v>
      </c>
      <c r="G2034" s="19">
        <f>1.633198857*43.95</f>
        <v>71.779089765150005</v>
      </c>
      <c r="H2034" s="32">
        <v>36</v>
      </c>
      <c r="I2034" s="25">
        <f t="shared" si="119"/>
        <v>2584.0472315454003</v>
      </c>
      <c r="J2034" s="40"/>
      <c r="K2034" s="39"/>
      <c r="L2034" s="39"/>
      <c r="M2034" s="39"/>
      <c r="N2034" s="23"/>
      <c r="O2034" s="39"/>
      <c r="P2034" s="39"/>
      <c r="Q2034" s="39"/>
      <c r="R2034" s="39"/>
    </row>
    <row r="2035" spans="1:18" s="2" customFormat="1" ht="26.4">
      <c r="A2035" s="20">
        <f t="shared" si="121"/>
        <v>1882</v>
      </c>
      <c r="B2035" s="30" t="s">
        <v>3073</v>
      </c>
      <c r="C2035" s="30" t="s">
        <v>3074</v>
      </c>
      <c r="D2035" s="20" t="s">
        <v>5</v>
      </c>
      <c r="E2035" s="20" t="s">
        <v>6</v>
      </c>
      <c r="F2035" s="18">
        <v>1</v>
      </c>
      <c r="G2035" s="19">
        <f>1301.21</f>
        <v>1301.21</v>
      </c>
      <c r="H2035" s="32">
        <v>12</v>
      </c>
      <c r="I2035" s="25">
        <f t="shared" si="119"/>
        <v>15614.52</v>
      </c>
      <c r="J2035" s="40"/>
      <c r="K2035" s="39"/>
      <c r="L2035" s="39"/>
      <c r="M2035" s="39"/>
      <c r="N2035" s="23"/>
      <c r="O2035" s="39"/>
      <c r="P2035" s="39"/>
      <c r="Q2035" s="39"/>
      <c r="R2035" s="39"/>
    </row>
    <row r="2036" spans="1:18" s="2" customFormat="1" ht="14.4">
      <c r="A2036" s="20">
        <f t="shared" si="121"/>
        <v>1883</v>
      </c>
      <c r="B2036" s="30" t="s">
        <v>3075</v>
      </c>
      <c r="C2036" s="30" t="s">
        <v>3076</v>
      </c>
      <c r="D2036" s="20" t="s">
        <v>5</v>
      </c>
      <c r="E2036" s="20" t="s">
        <v>6</v>
      </c>
      <c r="F2036" s="18">
        <v>1</v>
      </c>
      <c r="G2036" s="19">
        <f>461.22</f>
        <v>461.22</v>
      </c>
      <c r="H2036" s="32">
        <v>1</v>
      </c>
      <c r="I2036" s="25">
        <f t="shared" si="119"/>
        <v>461.22</v>
      </c>
      <c r="J2036" s="40"/>
      <c r="K2036" s="39"/>
      <c r="L2036" s="39"/>
      <c r="M2036" s="39"/>
      <c r="N2036" s="23"/>
      <c r="O2036" s="39"/>
      <c r="P2036" s="39"/>
      <c r="Q2036" s="39"/>
      <c r="R2036" s="39"/>
    </row>
    <row r="2037" spans="1:18" s="2" customFormat="1" ht="14.4">
      <c r="A2037" s="20">
        <f t="shared" si="121"/>
        <v>1884</v>
      </c>
      <c r="B2037" s="30" t="s">
        <v>3077</v>
      </c>
      <c r="C2037" s="30" t="s">
        <v>3078</v>
      </c>
      <c r="D2037" s="20" t="s">
        <v>5</v>
      </c>
      <c r="E2037" s="20" t="s">
        <v>6</v>
      </c>
      <c r="F2037" s="18">
        <v>1</v>
      </c>
      <c r="G2037" s="19">
        <f>254.04</f>
        <v>254.04</v>
      </c>
      <c r="H2037" s="32">
        <v>2</v>
      </c>
      <c r="I2037" s="25">
        <f t="shared" si="119"/>
        <v>508.08</v>
      </c>
      <c r="J2037" s="40"/>
      <c r="K2037" s="39"/>
      <c r="L2037" s="39"/>
      <c r="M2037" s="39"/>
      <c r="N2037" s="23"/>
      <c r="O2037" s="39"/>
      <c r="P2037" s="39"/>
      <c r="Q2037" s="39"/>
      <c r="R2037" s="39"/>
    </row>
    <row r="2038" spans="1:18" s="2" customFormat="1" ht="14.4">
      <c r="A2038" s="20">
        <f t="shared" si="121"/>
        <v>1885</v>
      </c>
      <c r="B2038" s="30" t="s">
        <v>3079</v>
      </c>
      <c r="C2038" s="30" t="s">
        <v>3080</v>
      </c>
      <c r="D2038" s="20" t="s">
        <v>5</v>
      </c>
      <c r="E2038" s="20" t="s">
        <v>6</v>
      </c>
      <c r="F2038" s="18">
        <v>1</v>
      </c>
      <c r="G2038" s="19">
        <f>68.06</f>
        <v>68.06</v>
      </c>
      <c r="H2038" s="32">
        <v>24</v>
      </c>
      <c r="I2038" s="25">
        <f t="shared" si="119"/>
        <v>1633.44</v>
      </c>
      <c r="J2038" s="40"/>
      <c r="K2038" s="39"/>
      <c r="L2038" s="39"/>
      <c r="M2038" s="39"/>
      <c r="N2038" s="23"/>
      <c r="O2038" s="39"/>
      <c r="P2038" s="39"/>
      <c r="Q2038" s="39"/>
      <c r="R2038" s="39"/>
    </row>
    <row r="2039" spans="1:18" s="2" customFormat="1" ht="14.4">
      <c r="A2039" s="20">
        <f t="shared" si="121"/>
        <v>1886</v>
      </c>
      <c r="B2039" s="30" t="s">
        <v>3081</v>
      </c>
      <c r="C2039" s="30" t="s">
        <v>3082</v>
      </c>
      <c r="D2039" s="20" t="s">
        <v>5</v>
      </c>
      <c r="E2039" s="20" t="s">
        <v>6</v>
      </c>
      <c r="F2039" s="18">
        <v>1</v>
      </c>
      <c r="G2039" s="19">
        <f>356.04</f>
        <v>356.04</v>
      </c>
      <c r="H2039" s="32">
        <v>2</v>
      </c>
      <c r="I2039" s="25">
        <f t="shared" si="119"/>
        <v>712.08</v>
      </c>
      <c r="J2039" s="40"/>
      <c r="K2039" s="39"/>
      <c r="L2039" s="39"/>
      <c r="M2039" s="39"/>
      <c r="N2039" s="23"/>
      <c r="O2039" s="39"/>
      <c r="P2039" s="39"/>
      <c r="Q2039" s="39"/>
      <c r="R2039" s="39"/>
    </row>
    <row r="2040" spans="1:18" s="2" customFormat="1" ht="14.4">
      <c r="A2040" s="20">
        <f t="shared" si="121"/>
        <v>1887</v>
      </c>
      <c r="B2040" s="30" t="s">
        <v>3083</v>
      </c>
      <c r="C2040" s="30" t="s">
        <v>3084</v>
      </c>
      <c r="D2040" s="20" t="s">
        <v>5</v>
      </c>
      <c r="E2040" s="20" t="s">
        <v>6</v>
      </c>
      <c r="F2040" s="18">
        <v>1</v>
      </c>
      <c r="G2040" s="19">
        <f>343.26</f>
        <v>343.26</v>
      </c>
      <c r="H2040" s="32">
        <v>2</v>
      </c>
      <c r="I2040" s="25">
        <f t="shared" si="119"/>
        <v>686.52</v>
      </c>
      <c r="J2040" s="40"/>
      <c r="K2040" s="39"/>
      <c r="L2040" s="39"/>
      <c r="M2040" s="39"/>
      <c r="N2040" s="23"/>
      <c r="O2040" s="39"/>
      <c r="P2040" s="39"/>
      <c r="Q2040" s="39"/>
      <c r="R2040" s="39"/>
    </row>
    <row r="2041" spans="1:18" s="2" customFormat="1" ht="14.4">
      <c r="A2041" s="20">
        <f t="shared" si="121"/>
        <v>1888</v>
      </c>
      <c r="B2041" s="30" t="s">
        <v>3085</v>
      </c>
      <c r="C2041" s="30" t="s">
        <v>3086</v>
      </c>
      <c r="D2041" s="20" t="s">
        <v>5</v>
      </c>
      <c r="E2041" s="20" t="s">
        <v>6</v>
      </c>
      <c r="F2041" s="18">
        <v>1</v>
      </c>
      <c r="G2041" s="19">
        <f>1020</f>
        <v>1020</v>
      </c>
      <c r="H2041" s="32">
        <v>16</v>
      </c>
      <c r="I2041" s="25">
        <f t="shared" si="119"/>
        <v>16320</v>
      </c>
      <c r="J2041" s="40"/>
      <c r="K2041" s="39"/>
      <c r="L2041" s="39"/>
      <c r="M2041" s="39"/>
      <c r="N2041" s="23"/>
      <c r="O2041" s="39"/>
      <c r="P2041" s="39"/>
      <c r="Q2041" s="39"/>
      <c r="R2041" s="39"/>
    </row>
    <row r="2042" spans="1:18" s="2" customFormat="1" ht="14.4">
      <c r="A2042" s="20">
        <f t="shared" si="121"/>
        <v>1889</v>
      </c>
      <c r="B2042" s="17" t="s">
        <v>1077</v>
      </c>
      <c r="C2042" s="17" t="s">
        <v>219</v>
      </c>
      <c r="D2042" s="20" t="s">
        <v>48</v>
      </c>
      <c r="E2042" s="20" t="s">
        <v>49</v>
      </c>
      <c r="F2042" s="18">
        <v>1</v>
      </c>
      <c r="G2042" s="19"/>
      <c r="H2042" s="32">
        <v>1</v>
      </c>
      <c r="I2042" s="25">
        <f>SUM(I2009:I2041)*0.05</f>
        <v>16574.400216658822</v>
      </c>
      <c r="J2042" s="40"/>
      <c r="K2042" s="39"/>
      <c r="L2042" s="39"/>
      <c r="M2042" s="39"/>
      <c r="N2042" s="23"/>
      <c r="O2042" s="39"/>
      <c r="P2042" s="39"/>
      <c r="Q2042" s="39"/>
      <c r="R2042" s="39"/>
    </row>
    <row r="2043" spans="1:18" s="2" customFormat="1" ht="14.4">
      <c r="A2043" s="20"/>
      <c r="B2043" s="13" t="s">
        <v>3087</v>
      </c>
      <c r="C2043" s="13" t="s">
        <v>3088</v>
      </c>
      <c r="D2043" s="20"/>
      <c r="E2043" s="20"/>
      <c r="F2043" s="18"/>
      <c r="G2043" s="19"/>
      <c r="H2043" s="32"/>
      <c r="I2043" s="25"/>
      <c r="J2043" s="40"/>
      <c r="K2043" s="39"/>
      <c r="L2043" s="39"/>
      <c r="M2043" s="39"/>
      <c r="N2043" s="23"/>
      <c r="O2043" s="39"/>
      <c r="P2043" s="39"/>
      <c r="Q2043" s="39"/>
      <c r="R2043" s="39"/>
    </row>
    <row r="2044" spans="1:18" s="2" customFormat="1" ht="14.4">
      <c r="A2044" s="20"/>
      <c r="B2044" s="13" t="s">
        <v>3089</v>
      </c>
      <c r="C2044" s="13" t="s">
        <v>3090</v>
      </c>
      <c r="D2044" s="20"/>
      <c r="E2044" s="20"/>
      <c r="F2044" s="18"/>
      <c r="G2044" s="19"/>
      <c r="H2044" s="32"/>
      <c r="I2044" s="25"/>
      <c r="J2044" s="40"/>
      <c r="K2044" s="39"/>
      <c r="L2044" s="39"/>
      <c r="M2044" s="39"/>
      <c r="N2044" s="23"/>
      <c r="O2044" s="39"/>
      <c r="P2044" s="39"/>
      <c r="Q2044" s="39"/>
      <c r="R2044" s="39"/>
    </row>
    <row r="2045" spans="1:18" s="2" customFormat="1" ht="26.4">
      <c r="A2045" s="20">
        <f>A2041+1</f>
        <v>1889</v>
      </c>
      <c r="B2045" s="17" t="s">
        <v>3091</v>
      </c>
      <c r="C2045" s="17" t="s">
        <v>3092</v>
      </c>
      <c r="D2045" s="20" t="s">
        <v>5</v>
      </c>
      <c r="E2045" s="20" t="s">
        <v>6</v>
      </c>
      <c r="F2045" s="18">
        <v>1</v>
      </c>
      <c r="G2045" s="19">
        <f>1.633198857*3640</f>
        <v>5944.8438394799996</v>
      </c>
      <c r="H2045" s="32">
        <v>1</v>
      </c>
      <c r="I2045" s="25">
        <f t="shared" si="119"/>
        <v>5944.8438394799996</v>
      </c>
      <c r="J2045" s="40"/>
      <c r="K2045" s="39"/>
      <c r="L2045" s="39"/>
      <c r="M2045" s="39"/>
      <c r="N2045" s="23"/>
      <c r="O2045" s="39"/>
      <c r="P2045" s="39"/>
      <c r="Q2045" s="39"/>
      <c r="R2045" s="39"/>
    </row>
    <row r="2046" spans="1:18" s="2" customFormat="1" ht="26.4">
      <c r="A2046" s="20">
        <f t="shared" ref="A2046:A2059" si="122">A2045+1</f>
        <v>1890</v>
      </c>
      <c r="B2046" s="30" t="s">
        <v>3093</v>
      </c>
      <c r="C2046" s="30" t="s">
        <v>3094</v>
      </c>
      <c r="D2046" s="20" t="s">
        <v>5</v>
      </c>
      <c r="E2046" s="20" t="s">
        <v>6</v>
      </c>
      <c r="F2046" s="18">
        <v>1</v>
      </c>
      <c r="G2046" s="19">
        <v>6396</v>
      </c>
      <c r="H2046" s="32">
        <v>1</v>
      </c>
      <c r="I2046" s="25">
        <f t="shared" si="119"/>
        <v>6396</v>
      </c>
      <c r="J2046" s="40"/>
      <c r="K2046" s="39"/>
      <c r="L2046" s="39"/>
      <c r="M2046" s="39"/>
      <c r="N2046" s="23"/>
      <c r="O2046" s="39"/>
      <c r="P2046" s="39"/>
      <c r="Q2046" s="39"/>
      <c r="R2046" s="39"/>
    </row>
    <row r="2047" spans="1:18" s="2" customFormat="1" ht="14.4">
      <c r="A2047" s="20">
        <f t="shared" si="122"/>
        <v>1891</v>
      </c>
      <c r="B2047" s="30" t="s">
        <v>3095</v>
      </c>
      <c r="C2047" s="30" t="s">
        <v>3096</v>
      </c>
      <c r="D2047" s="20" t="s">
        <v>5</v>
      </c>
      <c r="E2047" s="20" t="s">
        <v>6</v>
      </c>
      <c r="F2047" s="18">
        <v>1</v>
      </c>
      <c r="G2047" s="19">
        <v>894</v>
      </c>
      <c r="H2047" s="32">
        <v>2</v>
      </c>
      <c r="I2047" s="25">
        <f t="shared" si="119"/>
        <v>1788</v>
      </c>
      <c r="J2047" s="40"/>
      <c r="K2047" s="39"/>
      <c r="L2047" s="39"/>
      <c r="M2047" s="39"/>
      <c r="N2047" s="23"/>
      <c r="O2047" s="39"/>
      <c r="P2047" s="39"/>
      <c r="Q2047" s="39"/>
      <c r="R2047" s="39"/>
    </row>
    <row r="2048" spans="1:18" s="2" customFormat="1" ht="14.4">
      <c r="A2048" s="20">
        <f t="shared" si="122"/>
        <v>1892</v>
      </c>
      <c r="B2048" s="30" t="s">
        <v>3097</v>
      </c>
      <c r="C2048" s="30" t="s">
        <v>3098</v>
      </c>
      <c r="D2048" s="20" t="s">
        <v>5</v>
      </c>
      <c r="E2048" s="20" t="s">
        <v>6</v>
      </c>
      <c r="F2048" s="18">
        <v>1</v>
      </c>
      <c r="G2048" s="19">
        <v>745</v>
      </c>
      <c r="H2048" s="32">
        <v>1</v>
      </c>
      <c r="I2048" s="25">
        <f t="shared" si="119"/>
        <v>745</v>
      </c>
      <c r="J2048" s="40"/>
      <c r="K2048" s="39"/>
      <c r="L2048" s="39"/>
      <c r="M2048" s="39"/>
      <c r="N2048" s="23"/>
      <c r="O2048" s="39"/>
      <c r="P2048" s="39"/>
      <c r="Q2048" s="39"/>
      <c r="R2048" s="39"/>
    </row>
    <row r="2049" spans="1:18" s="2" customFormat="1" ht="14.4">
      <c r="A2049" s="20">
        <f t="shared" si="122"/>
        <v>1893</v>
      </c>
      <c r="B2049" s="30" t="s">
        <v>3099</v>
      </c>
      <c r="C2049" s="30" t="s">
        <v>3100</v>
      </c>
      <c r="D2049" s="20" t="s">
        <v>5</v>
      </c>
      <c r="E2049" s="20" t="s">
        <v>6</v>
      </c>
      <c r="F2049" s="18">
        <v>1</v>
      </c>
      <c r="G2049" s="19">
        <f>1.633198857*273.48</f>
        <v>446.64722341236001</v>
      </c>
      <c r="H2049" s="32">
        <v>1</v>
      </c>
      <c r="I2049" s="25">
        <f t="shared" si="119"/>
        <v>446.64722341236001</v>
      </c>
      <c r="J2049" s="40"/>
      <c r="K2049" s="39"/>
      <c r="L2049" s="39"/>
      <c r="M2049" s="39"/>
      <c r="N2049" s="23"/>
      <c r="O2049" s="39"/>
      <c r="P2049" s="39"/>
      <c r="Q2049" s="39"/>
      <c r="R2049" s="39"/>
    </row>
    <row r="2050" spans="1:18" s="2" customFormat="1" ht="14.4">
      <c r="A2050" s="20">
        <f t="shared" si="122"/>
        <v>1894</v>
      </c>
      <c r="B2050" s="30" t="s">
        <v>3101</v>
      </c>
      <c r="C2050" s="30" t="s">
        <v>3102</v>
      </c>
      <c r="D2050" s="20" t="s">
        <v>5</v>
      </c>
      <c r="E2050" s="20" t="s">
        <v>6</v>
      </c>
      <c r="F2050" s="18">
        <v>1</v>
      </c>
      <c r="G2050" s="19">
        <v>428</v>
      </c>
      <c r="H2050" s="32">
        <v>1</v>
      </c>
      <c r="I2050" s="25">
        <f t="shared" si="119"/>
        <v>428</v>
      </c>
      <c r="J2050" s="40"/>
      <c r="K2050" s="39"/>
      <c r="L2050" s="39"/>
      <c r="M2050" s="39"/>
      <c r="N2050" s="23"/>
      <c r="O2050" s="39"/>
      <c r="P2050" s="39"/>
      <c r="Q2050" s="39"/>
      <c r="R2050" s="39"/>
    </row>
    <row r="2051" spans="1:18" s="2" customFormat="1" ht="14.4">
      <c r="A2051" s="20">
        <f t="shared" si="122"/>
        <v>1895</v>
      </c>
      <c r="B2051" s="30" t="s">
        <v>3103</v>
      </c>
      <c r="C2051" s="30" t="s">
        <v>3104</v>
      </c>
      <c r="D2051" s="20" t="s">
        <v>5</v>
      </c>
      <c r="E2051" s="20" t="s">
        <v>6</v>
      </c>
      <c r="F2051" s="18">
        <v>1</v>
      </c>
      <c r="G2051" s="19">
        <f>1.633198857*905.17</f>
        <v>1478.3226093906899</v>
      </c>
      <c r="H2051" s="32">
        <v>3</v>
      </c>
      <c r="I2051" s="25">
        <f t="shared" si="119"/>
        <v>4434.9678281720699</v>
      </c>
      <c r="J2051" s="40"/>
      <c r="K2051" s="39"/>
      <c r="L2051" s="39"/>
      <c r="M2051" s="39"/>
      <c r="N2051" s="23"/>
      <c r="O2051" s="39"/>
      <c r="P2051" s="39"/>
      <c r="Q2051" s="39"/>
      <c r="R2051" s="39"/>
    </row>
    <row r="2052" spans="1:18" s="2" customFormat="1" ht="66">
      <c r="A2052" s="20">
        <f t="shared" si="122"/>
        <v>1896</v>
      </c>
      <c r="B2052" s="30" t="s">
        <v>3105</v>
      </c>
      <c r="C2052" s="30" t="s">
        <v>3106</v>
      </c>
      <c r="D2052" s="20" t="s">
        <v>5</v>
      </c>
      <c r="E2052" s="20" t="s">
        <v>6</v>
      </c>
      <c r="F2052" s="18">
        <v>1</v>
      </c>
      <c r="G2052" s="19">
        <v>1747.06</v>
      </c>
      <c r="H2052" s="32">
        <v>3</v>
      </c>
      <c r="I2052" s="25">
        <f t="shared" si="119"/>
        <v>5241.18</v>
      </c>
      <c r="J2052" s="40"/>
      <c r="K2052" s="39"/>
      <c r="L2052" s="39"/>
      <c r="M2052" s="39"/>
      <c r="N2052" s="23"/>
      <c r="O2052" s="39"/>
      <c r="P2052" s="39"/>
      <c r="Q2052" s="39"/>
      <c r="R2052" s="39"/>
    </row>
    <row r="2053" spans="1:18" s="2" customFormat="1" ht="14.4">
      <c r="A2053" s="20">
        <f t="shared" si="122"/>
        <v>1897</v>
      </c>
      <c r="B2053" s="30" t="s">
        <v>3107</v>
      </c>
      <c r="C2053" s="30" t="s">
        <v>3108</v>
      </c>
      <c r="D2053" s="20" t="s">
        <v>5</v>
      </c>
      <c r="E2053" s="20" t="s">
        <v>6</v>
      </c>
      <c r="F2053" s="18">
        <v>1</v>
      </c>
      <c r="G2053" s="19">
        <f>1.633198857*905.17</f>
        <v>1478.3226093906899</v>
      </c>
      <c r="H2053" s="32">
        <v>3</v>
      </c>
      <c r="I2053" s="25">
        <f t="shared" si="119"/>
        <v>4434.9678281720699</v>
      </c>
      <c r="J2053" s="40"/>
      <c r="K2053" s="39"/>
      <c r="L2053" s="39"/>
      <c r="M2053" s="39"/>
      <c r="N2053" s="23"/>
      <c r="O2053" s="39"/>
      <c r="P2053" s="39"/>
      <c r="Q2053" s="39"/>
      <c r="R2053" s="39"/>
    </row>
    <row r="2054" spans="1:18" s="2" customFormat="1" ht="26.4">
      <c r="A2054" s="20">
        <f t="shared" si="122"/>
        <v>1898</v>
      </c>
      <c r="B2054" s="30" t="s">
        <v>3109</v>
      </c>
      <c r="C2054" s="30" t="s">
        <v>3110</v>
      </c>
      <c r="D2054" s="20" t="s">
        <v>5</v>
      </c>
      <c r="E2054" s="20" t="s">
        <v>6</v>
      </c>
      <c r="F2054" s="18">
        <v>1</v>
      </c>
      <c r="G2054" s="19">
        <v>2956</v>
      </c>
      <c r="H2054" s="32">
        <v>3</v>
      </c>
      <c r="I2054" s="25">
        <f t="shared" si="119"/>
        <v>8868</v>
      </c>
      <c r="J2054" s="40"/>
      <c r="K2054" s="39"/>
      <c r="L2054" s="39"/>
      <c r="M2054" s="39"/>
      <c r="N2054" s="23"/>
      <c r="O2054" s="39"/>
      <c r="P2054" s="39"/>
      <c r="Q2054" s="39"/>
      <c r="R2054" s="39"/>
    </row>
    <row r="2055" spans="1:18" s="2" customFormat="1" ht="14.4">
      <c r="A2055" s="20">
        <f t="shared" si="122"/>
        <v>1899</v>
      </c>
      <c r="B2055" s="30" t="s">
        <v>978</v>
      </c>
      <c r="C2055" s="30" t="s">
        <v>3111</v>
      </c>
      <c r="D2055" s="20" t="s">
        <v>5</v>
      </c>
      <c r="E2055" s="20" t="s">
        <v>6</v>
      </c>
      <c r="F2055" s="18">
        <v>1</v>
      </c>
      <c r="G2055" s="19">
        <f>1.633198857*282.99</f>
        <v>462.17894454243003</v>
      </c>
      <c r="H2055" s="32">
        <v>1</v>
      </c>
      <c r="I2055" s="25">
        <f t="shared" si="119"/>
        <v>462.17894454243003</v>
      </c>
      <c r="J2055" s="40"/>
      <c r="K2055" s="39"/>
      <c r="L2055" s="39"/>
      <c r="M2055" s="39"/>
      <c r="N2055" s="23"/>
      <c r="O2055" s="39"/>
      <c r="P2055" s="39"/>
      <c r="Q2055" s="39"/>
      <c r="R2055" s="39"/>
    </row>
    <row r="2056" spans="1:18" s="2" customFormat="1" ht="14.4">
      <c r="A2056" s="20">
        <f t="shared" si="122"/>
        <v>1900</v>
      </c>
      <c r="B2056" s="30" t="s">
        <v>3112</v>
      </c>
      <c r="C2056" s="30" t="s">
        <v>3113</v>
      </c>
      <c r="D2056" s="20" t="s">
        <v>5</v>
      </c>
      <c r="E2056" s="20" t="s">
        <v>6</v>
      </c>
      <c r="F2056" s="18">
        <v>1</v>
      </c>
      <c r="G2056" s="19">
        <f>1089</f>
        <v>1089</v>
      </c>
      <c r="H2056" s="32">
        <v>1</v>
      </c>
      <c r="I2056" s="25">
        <f t="shared" si="119"/>
        <v>1089</v>
      </c>
      <c r="J2056" s="40"/>
      <c r="K2056" s="39"/>
      <c r="L2056" s="39"/>
      <c r="M2056" s="39"/>
      <c r="N2056" s="23"/>
      <c r="O2056" s="39"/>
      <c r="P2056" s="39"/>
      <c r="Q2056" s="39"/>
      <c r="R2056" s="39"/>
    </row>
    <row r="2057" spans="1:18" s="2" customFormat="1" ht="26.4">
      <c r="A2057" s="20">
        <f t="shared" si="122"/>
        <v>1901</v>
      </c>
      <c r="B2057" s="30" t="s">
        <v>3114</v>
      </c>
      <c r="C2057" s="30" t="s">
        <v>3115</v>
      </c>
      <c r="D2057" s="20" t="s">
        <v>8</v>
      </c>
      <c r="E2057" s="20" t="s">
        <v>9</v>
      </c>
      <c r="F2057" s="18">
        <v>1</v>
      </c>
      <c r="G2057" s="19">
        <f>1.633198857*1014.12</f>
        <v>1656.2596248608399</v>
      </c>
      <c r="H2057" s="32">
        <v>5.2</v>
      </c>
      <c r="I2057" s="25">
        <f t="shared" si="119"/>
        <v>8612.5500492763676</v>
      </c>
      <c r="J2057" s="40"/>
      <c r="K2057" s="39"/>
      <c r="L2057" s="39"/>
      <c r="M2057" s="39"/>
      <c r="N2057" s="23"/>
      <c r="O2057" s="39"/>
      <c r="P2057" s="39"/>
      <c r="Q2057" s="39"/>
      <c r="R2057" s="39"/>
    </row>
    <row r="2058" spans="1:18" s="2" customFormat="1" ht="26.4">
      <c r="A2058" s="20">
        <f t="shared" si="122"/>
        <v>1902</v>
      </c>
      <c r="B2058" s="30" t="s">
        <v>3116</v>
      </c>
      <c r="C2058" s="30" t="s">
        <v>3117</v>
      </c>
      <c r="D2058" s="20" t="s">
        <v>8</v>
      </c>
      <c r="E2058" s="20" t="s">
        <v>9</v>
      </c>
      <c r="F2058" s="18">
        <v>1</v>
      </c>
      <c r="G2058" s="19">
        <f>1.633198857*1188.53</f>
        <v>1941.10583751021</v>
      </c>
      <c r="H2058" s="32">
        <v>2.35</v>
      </c>
      <c r="I2058" s="25">
        <f t="shared" si="119"/>
        <v>4561.5987181489936</v>
      </c>
      <c r="J2058" s="40"/>
      <c r="K2058" s="39"/>
      <c r="L2058" s="39"/>
      <c r="M2058" s="39"/>
      <c r="N2058" s="23"/>
      <c r="O2058" s="39"/>
      <c r="P2058" s="39"/>
      <c r="Q2058" s="39"/>
      <c r="R2058" s="39"/>
    </row>
    <row r="2059" spans="1:18" s="2" customFormat="1" ht="14.4">
      <c r="A2059" s="20">
        <f t="shared" si="122"/>
        <v>1903</v>
      </c>
      <c r="B2059" s="17" t="s">
        <v>1077</v>
      </c>
      <c r="C2059" s="17" t="s">
        <v>219</v>
      </c>
      <c r="D2059" s="20" t="s">
        <v>48</v>
      </c>
      <c r="E2059" s="20" t="s">
        <v>49</v>
      </c>
      <c r="F2059" s="18">
        <v>1</v>
      </c>
      <c r="G2059" s="19"/>
      <c r="H2059" s="32">
        <v>1</v>
      </c>
      <c r="I2059" s="25">
        <f>SUM(I2045:I2058)*0.05</f>
        <v>2672.6467215602147</v>
      </c>
      <c r="J2059" s="40"/>
      <c r="K2059" s="39"/>
      <c r="L2059" s="39"/>
      <c r="M2059" s="39"/>
      <c r="N2059" s="23"/>
      <c r="O2059" s="39"/>
      <c r="P2059" s="39"/>
      <c r="Q2059" s="39"/>
      <c r="R2059" s="39"/>
    </row>
    <row r="2060" spans="1:18" s="2" customFormat="1" ht="14.4">
      <c r="A2060" s="20"/>
      <c r="B2060" s="13" t="s">
        <v>3118</v>
      </c>
      <c r="C2060" s="13" t="s">
        <v>3119</v>
      </c>
      <c r="D2060" s="20"/>
      <c r="E2060" s="20"/>
      <c r="F2060" s="18"/>
      <c r="G2060" s="19"/>
      <c r="H2060" s="32"/>
      <c r="I2060" s="25"/>
      <c r="J2060" s="40"/>
      <c r="K2060" s="39"/>
      <c r="L2060" s="39"/>
      <c r="M2060" s="39"/>
      <c r="N2060" s="23"/>
      <c r="O2060" s="39"/>
      <c r="P2060" s="39"/>
      <c r="Q2060" s="39"/>
      <c r="R2060" s="39"/>
    </row>
    <row r="2061" spans="1:18" s="2" customFormat="1" ht="26.4">
      <c r="A2061" s="20">
        <f>A2058+1</f>
        <v>1903</v>
      </c>
      <c r="B2061" s="30" t="s">
        <v>3091</v>
      </c>
      <c r="C2061" s="17" t="s">
        <v>3092</v>
      </c>
      <c r="D2061" s="20" t="s">
        <v>5</v>
      </c>
      <c r="E2061" s="20" t="s">
        <v>6</v>
      </c>
      <c r="F2061" s="18">
        <v>1</v>
      </c>
      <c r="G2061" s="19">
        <f>1.633198857*3640</f>
        <v>5944.8438394799996</v>
      </c>
      <c r="H2061" s="32">
        <v>1</v>
      </c>
      <c r="I2061" s="25">
        <f t="shared" ref="I2061:I2122" si="123">G2061*H2061</f>
        <v>5944.8438394799996</v>
      </c>
      <c r="J2061" s="40"/>
      <c r="K2061" s="39"/>
      <c r="L2061" s="39"/>
      <c r="M2061" s="39"/>
      <c r="N2061" s="23"/>
      <c r="O2061" s="39"/>
      <c r="P2061" s="39"/>
      <c r="Q2061" s="39"/>
      <c r="R2061" s="39"/>
    </row>
    <row r="2062" spans="1:18" s="2" customFormat="1" ht="26.4">
      <c r="A2062" s="20">
        <f t="shared" ref="A2062:A2072" si="124">A2061+1</f>
        <v>1904</v>
      </c>
      <c r="B2062" s="30" t="s">
        <v>3120</v>
      </c>
      <c r="C2062" s="30" t="s">
        <v>3121</v>
      </c>
      <c r="D2062" s="20" t="s">
        <v>5</v>
      </c>
      <c r="E2062" s="20" t="s">
        <v>6</v>
      </c>
      <c r="F2062" s="18">
        <v>1</v>
      </c>
      <c r="G2062" s="19">
        <v>5748</v>
      </c>
      <c r="H2062" s="32">
        <v>1</v>
      </c>
      <c r="I2062" s="25">
        <f t="shared" si="123"/>
        <v>5748</v>
      </c>
      <c r="J2062" s="40"/>
      <c r="K2062" s="39"/>
      <c r="L2062" s="39"/>
      <c r="M2062" s="39"/>
      <c r="N2062" s="23"/>
      <c r="O2062" s="39"/>
      <c r="P2062" s="39"/>
      <c r="Q2062" s="39"/>
      <c r="R2062" s="39"/>
    </row>
    <row r="2063" spans="1:18" s="2" customFormat="1" ht="14.4">
      <c r="A2063" s="20">
        <f t="shared" si="124"/>
        <v>1905</v>
      </c>
      <c r="B2063" s="30" t="s">
        <v>3122</v>
      </c>
      <c r="C2063" s="30" t="s">
        <v>3123</v>
      </c>
      <c r="D2063" s="20" t="s">
        <v>5</v>
      </c>
      <c r="E2063" s="20" t="s">
        <v>6</v>
      </c>
      <c r="F2063" s="18">
        <v>1</v>
      </c>
      <c r="G2063" s="19">
        <v>1332</v>
      </c>
      <c r="H2063" s="32">
        <v>2</v>
      </c>
      <c r="I2063" s="25">
        <f t="shared" si="123"/>
        <v>2664</v>
      </c>
      <c r="J2063" s="40"/>
      <c r="K2063" s="39"/>
      <c r="L2063" s="39"/>
      <c r="M2063" s="39"/>
      <c r="N2063" s="23"/>
      <c r="O2063" s="39"/>
      <c r="P2063" s="39"/>
      <c r="Q2063" s="39"/>
      <c r="R2063" s="39"/>
    </row>
    <row r="2064" spans="1:18" s="2" customFormat="1" ht="14.4">
      <c r="A2064" s="20">
        <f t="shared" si="124"/>
        <v>1906</v>
      </c>
      <c r="B2064" s="30" t="s">
        <v>3124</v>
      </c>
      <c r="C2064" s="30" t="s">
        <v>3125</v>
      </c>
      <c r="D2064" s="20" t="s">
        <v>5</v>
      </c>
      <c r="E2064" s="20" t="s">
        <v>6</v>
      </c>
      <c r="F2064" s="18">
        <v>1</v>
      </c>
      <c r="G2064" s="19">
        <f>3589/1.2</f>
        <v>2990.8333333333335</v>
      </c>
      <c r="H2064" s="32">
        <v>1</v>
      </c>
      <c r="I2064" s="25">
        <f t="shared" si="123"/>
        <v>2990.8333333333335</v>
      </c>
      <c r="J2064" s="40"/>
      <c r="K2064" s="39"/>
      <c r="L2064" s="39"/>
      <c r="M2064" s="39"/>
      <c r="N2064" s="23"/>
      <c r="O2064" s="39"/>
      <c r="P2064" s="39"/>
      <c r="Q2064" s="39"/>
      <c r="R2064" s="39"/>
    </row>
    <row r="2065" spans="1:18" s="2" customFormat="1" ht="14.4">
      <c r="A2065" s="20">
        <f t="shared" si="124"/>
        <v>1907</v>
      </c>
      <c r="B2065" s="30" t="s">
        <v>3126</v>
      </c>
      <c r="C2065" s="30" t="s">
        <v>3127</v>
      </c>
      <c r="D2065" s="20" t="s">
        <v>5</v>
      </c>
      <c r="E2065" s="20" t="s">
        <v>6</v>
      </c>
      <c r="F2065" s="18">
        <v>1</v>
      </c>
      <c r="G2065" s="19">
        <f>1.633198857*273.48</f>
        <v>446.64722341236001</v>
      </c>
      <c r="H2065" s="32">
        <v>1</v>
      </c>
      <c r="I2065" s="25">
        <f t="shared" si="123"/>
        <v>446.64722341236001</v>
      </c>
      <c r="J2065" s="40"/>
      <c r="K2065" s="39"/>
      <c r="L2065" s="39"/>
      <c r="M2065" s="39"/>
      <c r="N2065" s="23"/>
      <c r="O2065" s="39"/>
      <c r="P2065" s="39"/>
      <c r="Q2065" s="39"/>
      <c r="R2065" s="39"/>
    </row>
    <row r="2066" spans="1:18" s="2" customFormat="1" ht="14.4">
      <c r="A2066" s="20">
        <f t="shared" si="124"/>
        <v>1908</v>
      </c>
      <c r="B2066" s="30" t="s">
        <v>3128</v>
      </c>
      <c r="C2066" s="30" t="s">
        <v>3129</v>
      </c>
      <c r="D2066" s="20" t="s">
        <v>5</v>
      </c>
      <c r="E2066" s="20" t="s">
        <v>6</v>
      </c>
      <c r="F2066" s="18">
        <v>1</v>
      </c>
      <c r="G2066" s="19">
        <v>500</v>
      </c>
      <c r="H2066" s="32">
        <v>1</v>
      </c>
      <c r="I2066" s="25">
        <f t="shared" si="123"/>
        <v>500</v>
      </c>
      <c r="J2066" s="40"/>
      <c r="K2066" s="39"/>
      <c r="L2066" s="39"/>
      <c r="M2066" s="39"/>
      <c r="N2066" s="23"/>
      <c r="O2066" s="39"/>
      <c r="P2066" s="39"/>
      <c r="Q2066" s="39"/>
      <c r="R2066" s="39"/>
    </row>
    <row r="2067" spans="1:18" s="2" customFormat="1" ht="14.4">
      <c r="A2067" s="20">
        <f t="shared" si="124"/>
        <v>1909</v>
      </c>
      <c r="B2067" s="30" t="s">
        <v>3107</v>
      </c>
      <c r="C2067" s="30" t="s">
        <v>3108</v>
      </c>
      <c r="D2067" s="20" t="s">
        <v>5</v>
      </c>
      <c r="E2067" s="20" t="s">
        <v>6</v>
      </c>
      <c r="F2067" s="18">
        <v>1</v>
      </c>
      <c r="G2067" s="19">
        <f>1.633198857*905.17</f>
        <v>1478.3226093906899</v>
      </c>
      <c r="H2067" s="32">
        <v>1</v>
      </c>
      <c r="I2067" s="25">
        <f t="shared" si="123"/>
        <v>1478.3226093906899</v>
      </c>
      <c r="J2067" s="40"/>
      <c r="K2067" s="39"/>
      <c r="L2067" s="39"/>
      <c r="M2067" s="39"/>
      <c r="N2067" s="23"/>
      <c r="O2067" s="39"/>
      <c r="P2067" s="39"/>
      <c r="Q2067" s="39"/>
      <c r="R2067" s="39"/>
    </row>
    <row r="2068" spans="1:18" s="2" customFormat="1" ht="26.4">
      <c r="A2068" s="20">
        <f t="shared" si="124"/>
        <v>1910</v>
      </c>
      <c r="B2068" s="30" t="s">
        <v>3130</v>
      </c>
      <c r="C2068" s="30" t="s">
        <v>3131</v>
      </c>
      <c r="D2068" s="20" t="s">
        <v>5</v>
      </c>
      <c r="E2068" s="20" t="s">
        <v>6</v>
      </c>
      <c r="F2068" s="18">
        <v>1</v>
      </c>
      <c r="G2068" s="19">
        <f>3828</f>
        <v>3828</v>
      </c>
      <c r="H2068" s="32">
        <v>1</v>
      </c>
      <c r="I2068" s="25">
        <f t="shared" si="123"/>
        <v>3828</v>
      </c>
      <c r="J2068" s="40"/>
      <c r="K2068" s="39"/>
      <c r="L2068" s="39"/>
      <c r="M2068" s="39"/>
      <c r="N2068" s="23"/>
      <c r="O2068" s="39"/>
      <c r="P2068" s="39"/>
      <c r="Q2068" s="39"/>
      <c r="R2068" s="39"/>
    </row>
    <row r="2069" spans="1:18" s="2" customFormat="1" ht="14.4">
      <c r="A2069" s="20">
        <f t="shared" si="124"/>
        <v>1911</v>
      </c>
      <c r="B2069" s="30" t="s">
        <v>3132</v>
      </c>
      <c r="C2069" s="30" t="s">
        <v>3133</v>
      </c>
      <c r="D2069" s="20" t="s">
        <v>5</v>
      </c>
      <c r="E2069" s="20" t="s">
        <v>6</v>
      </c>
      <c r="F2069" s="18">
        <v>1</v>
      </c>
      <c r="G2069" s="19">
        <f>829.42/1.2</f>
        <v>691.18333333333328</v>
      </c>
      <c r="H2069" s="32">
        <v>1</v>
      </c>
      <c r="I2069" s="25">
        <f t="shared" si="123"/>
        <v>691.18333333333328</v>
      </c>
      <c r="J2069" s="40"/>
      <c r="K2069" s="39"/>
      <c r="L2069" s="39"/>
      <c r="M2069" s="39"/>
      <c r="N2069" s="23"/>
      <c r="O2069" s="39"/>
      <c r="P2069" s="39"/>
      <c r="Q2069" s="39"/>
      <c r="R2069" s="39"/>
    </row>
    <row r="2070" spans="1:18" s="2" customFormat="1" ht="26.4">
      <c r="A2070" s="20">
        <f t="shared" si="124"/>
        <v>1912</v>
      </c>
      <c r="B2070" s="30" t="s">
        <v>3134</v>
      </c>
      <c r="C2070" s="30" t="s">
        <v>3135</v>
      </c>
      <c r="D2070" s="20" t="s">
        <v>8</v>
      </c>
      <c r="E2070" s="20" t="s">
        <v>9</v>
      </c>
      <c r="F2070" s="18">
        <v>1</v>
      </c>
      <c r="G2070" s="19">
        <f>1.633198857*1014.12</f>
        <v>1656.2596248608399</v>
      </c>
      <c r="H2070" s="32">
        <v>7.2</v>
      </c>
      <c r="I2070" s="25">
        <f t="shared" si="123"/>
        <v>11925.069298998047</v>
      </c>
      <c r="J2070" s="40"/>
      <c r="K2070" s="39"/>
      <c r="L2070" s="39"/>
      <c r="M2070" s="39"/>
      <c r="N2070" s="23"/>
      <c r="O2070" s="39"/>
      <c r="P2070" s="39"/>
      <c r="Q2070" s="39"/>
      <c r="R2070" s="39"/>
    </row>
    <row r="2071" spans="1:18" s="2" customFormat="1" ht="26.4">
      <c r="A2071" s="20">
        <f t="shared" si="124"/>
        <v>1913</v>
      </c>
      <c r="B2071" s="30" t="s">
        <v>3136</v>
      </c>
      <c r="C2071" s="30" t="s">
        <v>3137</v>
      </c>
      <c r="D2071" s="20" t="s">
        <v>8</v>
      </c>
      <c r="E2071" s="20" t="s">
        <v>9</v>
      </c>
      <c r="F2071" s="18">
        <v>1</v>
      </c>
      <c r="G2071" s="19">
        <f>1.633198857*1188.53</f>
        <v>1941.10583751021</v>
      </c>
      <c r="H2071" s="32">
        <v>2.96</v>
      </c>
      <c r="I2071" s="25">
        <f t="shared" si="123"/>
        <v>5745.6732790302212</v>
      </c>
      <c r="J2071" s="40"/>
      <c r="K2071" s="39"/>
      <c r="L2071" s="39"/>
      <c r="M2071" s="39"/>
      <c r="N2071" s="23"/>
      <c r="O2071" s="39"/>
      <c r="P2071" s="39"/>
      <c r="Q2071" s="39"/>
      <c r="R2071" s="39"/>
    </row>
    <row r="2072" spans="1:18" s="2" customFormat="1" ht="14.4">
      <c r="A2072" s="20">
        <f t="shared" si="124"/>
        <v>1914</v>
      </c>
      <c r="B2072" s="17" t="s">
        <v>1077</v>
      </c>
      <c r="C2072" s="17" t="s">
        <v>219</v>
      </c>
      <c r="D2072" s="20" t="s">
        <v>48</v>
      </c>
      <c r="E2072" s="20" t="s">
        <v>49</v>
      </c>
      <c r="F2072" s="18">
        <v>1</v>
      </c>
      <c r="G2072" s="19"/>
      <c r="H2072" s="32">
        <v>1</v>
      </c>
      <c r="I2072" s="25">
        <f>SUM(I2061:I2071)*0.05</f>
        <v>2098.1286458488989</v>
      </c>
      <c r="J2072" s="40"/>
      <c r="K2072" s="39"/>
      <c r="L2072" s="39"/>
      <c r="M2072" s="39"/>
      <c r="N2072" s="23"/>
      <c r="O2072" s="39"/>
      <c r="P2072" s="39"/>
      <c r="Q2072" s="39"/>
      <c r="R2072" s="39"/>
    </row>
    <row r="2073" spans="1:18" s="2" customFormat="1" ht="14.4">
      <c r="A2073" s="20"/>
      <c r="B2073" s="13" t="s">
        <v>3138</v>
      </c>
      <c r="C2073" s="13" t="s">
        <v>3139</v>
      </c>
      <c r="D2073" s="20"/>
      <c r="E2073" s="20"/>
      <c r="F2073" s="18"/>
      <c r="G2073" s="19"/>
      <c r="H2073" s="32"/>
      <c r="I2073" s="25"/>
      <c r="J2073" s="40"/>
      <c r="K2073" s="39"/>
      <c r="L2073" s="39"/>
      <c r="M2073" s="39"/>
      <c r="N2073" s="23"/>
      <c r="O2073" s="39"/>
      <c r="P2073" s="39"/>
      <c r="Q2073" s="39"/>
      <c r="R2073" s="39"/>
    </row>
    <row r="2074" spans="1:18" s="2" customFormat="1" ht="26.4">
      <c r="A2074" s="20">
        <f>A2071+1</f>
        <v>1914</v>
      </c>
      <c r="B2074" s="17" t="s">
        <v>3091</v>
      </c>
      <c r="C2074" s="17" t="s">
        <v>3092</v>
      </c>
      <c r="D2074" s="20" t="s">
        <v>5</v>
      </c>
      <c r="E2074" s="20" t="s">
        <v>6</v>
      </c>
      <c r="F2074" s="18">
        <v>1</v>
      </c>
      <c r="G2074" s="19">
        <f>1.633198857*3640</f>
        <v>5944.8438394799996</v>
      </c>
      <c r="H2074" s="32">
        <v>1</v>
      </c>
      <c r="I2074" s="25">
        <f t="shared" si="123"/>
        <v>5944.8438394799996</v>
      </c>
      <c r="J2074" s="40"/>
      <c r="K2074" s="39"/>
      <c r="L2074" s="39"/>
      <c r="M2074" s="39"/>
      <c r="N2074" s="23"/>
      <c r="O2074" s="39"/>
      <c r="P2074" s="39"/>
      <c r="Q2074" s="39"/>
      <c r="R2074" s="39"/>
    </row>
    <row r="2075" spans="1:18" s="2" customFormat="1" ht="26.4">
      <c r="A2075" s="20">
        <f t="shared" ref="A2075:A2087" si="125">A2074+1</f>
        <v>1915</v>
      </c>
      <c r="B2075" s="30" t="s">
        <v>3140</v>
      </c>
      <c r="C2075" s="30" t="s">
        <v>3141</v>
      </c>
      <c r="D2075" s="20" t="s">
        <v>5</v>
      </c>
      <c r="E2075" s="20" t="s">
        <v>6</v>
      </c>
      <c r="F2075" s="18">
        <v>1</v>
      </c>
      <c r="G2075" s="19">
        <v>7248</v>
      </c>
      <c r="H2075" s="32">
        <v>1</v>
      </c>
      <c r="I2075" s="25">
        <f t="shared" si="123"/>
        <v>7248</v>
      </c>
      <c r="J2075" s="40"/>
      <c r="K2075" s="39"/>
      <c r="L2075" s="39"/>
      <c r="M2075" s="39"/>
      <c r="N2075" s="23"/>
      <c r="O2075" s="39"/>
      <c r="P2075" s="39"/>
      <c r="Q2075" s="39"/>
      <c r="R2075" s="39"/>
    </row>
    <row r="2076" spans="1:18" s="2" customFormat="1" ht="14.4">
      <c r="A2076" s="20">
        <f t="shared" si="125"/>
        <v>1916</v>
      </c>
      <c r="B2076" s="30" t="s">
        <v>3095</v>
      </c>
      <c r="C2076" s="30" t="s">
        <v>3096</v>
      </c>
      <c r="D2076" s="20" t="s">
        <v>5</v>
      </c>
      <c r="E2076" s="20" t="s">
        <v>6</v>
      </c>
      <c r="F2076" s="18">
        <v>1</v>
      </c>
      <c r="G2076" s="19">
        <v>745</v>
      </c>
      <c r="H2076" s="32">
        <v>2</v>
      </c>
      <c r="I2076" s="25">
        <f t="shared" si="123"/>
        <v>1490</v>
      </c>
      <c r="J2076" s="40"/>
      <c r="K2076" s="39"/>
      <c r="L2076" s="39"/>
      <c r="M2076" s="39"/>
      <c r="N2076" s="23"/>
      <c r="O2076" s="39"/>
      <c r="P2076" s="39"/>
      <c r="Q2076" s="39"/>
      <c r="R2076" s="39"/>
    </row>
    <row r="2077" spans="1:18" s="2" customFormat="1" ht="14.4">
      <c r="A2077" s="20">
        <f t="shared" si="125"/>
        <v>1917</v>
      </c>
      <c r="B2077" s="30" t="s">
        <v>3097</v>
      </c>
      <c r="C2077" s="30" t="s">
        <v>3098</v>
      </c>
      <c r="D2077" s="20" t="s">
        <v>5</v>
      </c>
      <c r="E2077" s="20" t="s">
        <v>6</v>
      </c>
      <c r="F2077" s="18">
        <v>1</v>
      </c>
      <c r="G2077" s="19">
        <v>210</v>
      </c>
      <c r="H2077" s="32">
        <v>1</v>
      </c>
      <c r="I2077" s="25">
        <f t="shared" si="123"/>
        <v>210</v>
      </c>
      <c r="J2077" s="40"/>
      <c r="K2077" s="39"/>
      <c r="L2077" s="39"/>
      <c r="M2077" s="39"/>
      <c r="N2077" s="23"/>
      <c r="O2077" s="39"/>
      <c r="P2077" s="39"/>
      <c r="Q2077" s="39"/>
      <c r="R2077" s="39"/>
    </row>
    <row r="2078" spans="1:18" s="2" customFormat="1" ht="14.4">
      <c r="A2078" s="20">
        <f t="shared" si="125"/>
        <v>1918</v>
      </c>
      <c r="B2078" s="30" t="s">
        <v>3126</v>
      </c>
      <c r="C2078" s="30" t="s">
        <v>3127</v>
      </c>
      <c r="D2078" s="20" t="s">
        <v>5</v>
      </c>
      <c r="E2078" s="20" t="s">
        <v>6</v>
      </c>
      <c r="F2078" s="18">
        <v>1</v>
      </c>
      <c r="G2078" s="19">
        <f>1.633198857*273.48</f>
        <v>446.64722341236001</v>
      </c>
      <c r="H2078" s="32">
        <v>1</v>
      </c>
      <c r="I2078" s="25">
        <f t="shared" si="123"/>
        <v>446.64722341236001</v>
      </c>
      <c r="J2078" s="40"/>
      <c r="K2078" s="39"/>
      <c r="L2078" s="39"/>
      <c r="M2078" s="39"/>
      <c r="N2078" s="23"/>
      <c r="O2078" s="39"/>
      <c r="P2078" s="39"/>
      <c r="Q2078" s="39"/>
      <c r="R2078" s="39"/>
    </row>
    <row r="2079" spans="1:18" s="2" customFormat="1" ht="14.4">
      <c r="A2079" s="20">
        <f t="shared" si="125"/>
        <v>1919</v>
      </c>
      <c r="B2079" s="30" t="s">
        <v>3101</v>
      </c>
      <c r="C2079" s="30" t="s">
        <v>3102</v>
      </c>
      <c r="D2079" s="20" t="s">
        <v>5</v>
      </c>
      <c r="E2079" s="20" t="s">
        <v>6</v>
      </c>
      <c r="F2079" s="18">
        <v>1</v>
      </c>
      <c r="G2079" s="19">
        <v>428</v>
      </c>
      <c r="H2079" s="32">
        <v>1</v>
      </c>
      <c r="I2079" s="25">
        <f t="shared" si="123"/>
        <v>428</v>
      </c>
      <c r="J2079" s="40"/>
      <c r="K2079" s="39"/>
      <c r="L2079" s="39"/>
      <c r="M2079" s="39"/>
      <c r="N2079" s="23"/>
      <c r="O2079" s="39"/>
      <c r="P2079" s="39"/>
      <c r="Q2079" s="39"/>
      <c r="R2079" s="39"/>
    </row>
    <row r="2080" spans="1:18" s="2" customFormat="1" ht="14.4">
      <c r="A2080" s="20">
        <f t="shared" si="125"/>
        <v>1920</v>
      </c>
      <c r="B2080" s="30" t="s">
        <v>3107</v>
      </c>
      <c r="C2080" s="30" t="s">
        <v>3108</v>
      </c>
      <c r="D2080" s="20" t="s">
        <v>5</v>
      </c>
      <c r="E2080" s="20" t="s">
        <v>6</v>
      </c>
      <c r="F2080" s="18">
        <v>1</v>
      </c>
      <c r="G2080" s="19">
        <f>1.633198857*273.48</f>
        <v>446.64722341236001</v>
      </c>
      <c r="H2080" s="32">
        <v>1</v>
      </c>
      <c r="I2080" s="25">
        <f t="shared" si="123"/>
        <v>446.64722341236001</v>
      </c>
      <c r="J2080" s="40"/>
      <c r="K2080" s="39"/>
      <c r="L2080" s="39"/>
      <c r="M2080" s="39"/>
      <c r="N2080" s="23"/>
      <c r="O2080" s="39"/>
      <c r="P2080" s="39"/>
      <c r="Q2080" s="39"/>
      <c r="R2080" s="39"/>
    </row>
    <row r="2081" spans="1:18" s="2" customFormat="1" ht="26.4">
      <c r="A2081" s="20">
        <f t="shared" si="125"/>
        <v>1921</v>
      </c>
      <c r="B2081" s="30" t="s">
        <v>3109</v>
      </c>
      <c r="C2081" s="30" t="s">
        <v>3110</v>
      </c>
      <c r="D2081" s="20" t="s">
        <v>5</v>
      </c>
      <c r="E2081" s="20" t="s">
        <v>6</v>
      </c>
      <c r="F2081" s="18">
        <v>1</v>
      </c>
      <c r="G2081" s="19">
        <f>3126</f>
        <v>3126</v>
      </c>
      <c r="H2081" s="32">
        <v>3</v>
      </c>
      <c r="I2081" s="25">
        <f t="shared" si="123"/>
        <v>9378</v>
      </c>
      <c r="J2081" s="40"/>
      <c r="K2081" s="39"/>
      <c r="L2081" s="39"/>
      <c r="M2081" s="39"/>
      <c r="N2081" s="23"/>
      <c r="O2081" s="39"/>
      <c r="P2081" s="39"/>
      <c r="Q2081" s="39"/>
      <c r="R2081" s="39"/>
    </row>
    <row r="2082" spans="1:18" s="2" customFormat="1" ht="14.4">
      <c r="A2082" s="20">
        <f t="shared" si="125"/>
        <v>1922</v>
      </c>
      <c r="B2082" s="30" t="s">
        <v>978</v>
      </c>
      <c r="C2082" s="30" t="s">
        <v>3111</v>
      </c>
      <c r="D2082" s="20" t="s">
        <v>5</v>
      </c>
      <c r="E2082" s="20" t="s">
        <v>6</v>
      </c>
      <c r="F2082" s="18">
        <v>1</v>
      </c>
      <c r="G2082" s="19">
        <f>1.633198857*282.99</f>
        <v>462.17894454243003</v>
      </c>
      <c r="H2082" s="32">
        <v>1</v>
      </c>
      <c r="I2082" s="25">
        <f t="shared" si="123"/>
        <v>462.17894454243003</v>
      </c>
      <c r="J2082" s="40"/>
      <c r="K2082" s="39"/>
      <c r="L2082" s="39"/>
      <c r="M2082" s="39"/>
      <c r="N2082" s="23"/>
      <c r="O2082" s="39"/>
      <c r="P2082" s="39"/>
      <c r="Q2082" s="39"/>
      <c r="R2082" s="39"/>
    </row>
    <row r="2083" spans="1:18" s="2" customFormat="1" ht="14.4">
      <c r="A2083" s="20">
        <f t="shared" si="125"/>
        <v>1923</v>
      </c>
      <c r="B2083" s="30" t="s">
        <v>3142</v>
      </c>
      <c r="C2083" s="30" t="s">
        <v>3143</v>
      </c>
      <c r="D2083" s="20" t="s">
        <v>5</v>
      </c>
      <c r="E2083" s="20" t="s">
        <v>6</v>
      </c>
      <c r="F2083" s="18">
        <v>1</v>
      </c>
      <c r="G2083" s="19">
        <f>696</f>
        <v>696</v>
      </c>
      <c r="H2083" s="32">
        <v>1</v>
      </c>
      <c r="I2083" s="25">
        <f t="shared" si="123"/>
        <v>696</v>
      </c>
      <c r="J2083" s="40"/>
      <c r="K2083" s="39"/>
      <c r="L2083" s="39"/>
      <c r="M2083" s="39"/>
      <c r="N2083" s="23"/>
      <c r="O2083" s="39"/>
      <c r="P2083" s="39"/>
      <c r="Q2083" s="39"/>
      <c r="R2083" s="39"/>
    </row>
    <row r="2084" spans="1:18" s="2" customFormat="1" ht="26.4">
      <c r="A2084" s="20">
        <f t="shared" si="125"/>
        <v>1924</v>
      </c>
      <c r="B2084" s="30" t="s">
        <v>3144</v>
      </c>
      <c r="C2084" s="30" t="s">
        <v>3145</v>
      </c>
      <c r="D2084" s="20" t="s">
        <v>8</v>
      </c>
      <c r="E2084" s="20" t="s">
        <v>9</v>
      </c>
      <c r="F2084" s="18">
        <v>1</v>
      </c>
      <c r="G2084" s="19">
        <f>1.633198857*948</f>
        <v>1548.2725164359999</v>
      </c>
      <c r="H2084" s="32">
        <v>3.6</v>
      </c>
      <c r="I2084" s="25">
        <f t="shared" si="123"/>
        <v>5573.7810591695998</v>
      </c>
      <c r="J2084" s="40"/>
      <c r="K2084" s="39"/>
      <c r="L2084" s="39"/>
      <c r="M2084" s="39"/>
      <c r="N2084" s="23"/>
      <c r="O2084" s="39"/>
      <c r="P2084" s="39"/>
      <c r="Q2084" s="39"/>
      <c r="R2084" s="39"/>
    </row>
    <row r="2085" spans="1:18" s="2" customFormat="1" ht="26.4">
      <c r="A2085" s="20">
        <f t="shared" si="125"/>
        <v>1925</v>
      </c>
      <c r="B2085" s="30" t="s">
        <v>3146</v>
      </c>
      <c r="C2085" s="30" t="s">
        <v>3147</v>
      </c>
      <c r="D2085" s="20" t="s">
        <v>8</v>
      </c>
      <c r="E2085" s="20" t="s">
        <v>9</v>
      </c>
      <c r="F2085" s="18">
        <v>1</v>
      </c>
      <c r="G2085" s="19">
        <f>1.633198857*837</f>
        <v>1366.9874433089999</v>
      </c>
      <c r="H2085" s="32">
        <v>23</v>
      </c>
      <c r="I2085" s="25">
        <f t="shared" si="123"/>
        <v>31440.711196106997</v>
      </c>
      <c r="J2085" s="40"/>
      <c r="K2085" s="39"/>
      <c r="L2085" s="39"/>
      <c r="M2085" s="39"/>
      <c r="N2085" s="23"/>
      <c r="O2085" s="39"/>
      <c r="P2085" s="39"/>
      <c r="Q2085" s="39"/>
      <c r="R2085" s="39"/>
    </row>
    <row r="2086" spans="1:18" s="2" customFormat="1" ht="26.4">
      <c r="A2086" s="20">
        <f t="shared" si="125"/>
        <v>1926</v>
      </c>
      <c r="B2086" s="30" t="s">
        <v>3116</v>
      </c>
      <c r="C2086" s="30" t="s">
        <v>3117</v>
      </c>
      <c r="D2086" s="20" t="s">
        <v>8</v>
      </c>
      <c r="E2086" s="20" t="s">
        <v>9</v>
      </c>
      <c r="F2086" s="18">
        <v>1</v>
      </c>
      <c r="G2086" s="19">
        <f>1.633198857*1008</f>
        <v>1646.2644478560001</v>
      </c>
      <c r="H2086" s="32">
        <v>2.35</v>
      </c>
      <c r="I2086" s="25">
        <f t="shared" si="123"/>
        <v>3868.7214524616002</v>
      </c>
      <c r="J2086" s="40"/>
      <c r="K2086" s="39"/>
      <c r="L2086" s="39"/>
      <c r="M2086" s="39"/>
      <c r="N2086" s="23"/>
      <c r="O2086" s="39"/>
      <c r="P2086" s="39"/>
      <c r="Q2086" s="39"/>
      <c r="R2086" s="39"/>
    </row>
    <row r="2087" spans="1:18" s="2" customFormat="1" ht="14.4">
      <c r="A2087" s="20">
        <f t="shared" si="125"/>
        <v>1927</v>
      </c>
      <c r="B2087" s="17" t="s">
        <v>1077</v>
      </c>
      <c r="C2087" s="17" t="s">
        <v>219</v>
      </c>
      <c r="D2087" s="20" t="s">
        <v>48</v>
      </c>
      <c r="E2087" s="20" t="s">
        <v>49</v>
      </c>
      <c r="F2087" s="18">
        <v>1</v>
      </c>
      <c r="G2087" s="19"/>
      <c r="H2087" s="32">
        <v>1</v>
      </c>
      <c r="I2087" s="25">
        <f>SUM(I2074:I2086)*0.05</f>
        <v>3381.6765469292677</v>
      </c>
      <c r="J2087" s="40"/>
      <c r="K2087" s="39"/>
      <c r="L2087" s="39"/>
      <c r="M2087" s="39"/>
      <c r="N2087" s="23"/>
      <c r="O2087" s="39"/>
      <c r="P2087" s="39"/>
      <c r="Q2087" s="39"/>
      <c r="R2087" s="39"/>
    </row>
    <row r="2088" spans="1:18" s="2" customFormat="1" ht="14.4">
      <c r="A2088" s="20"/>
      <c r="B2088" s="13" t="s">
        <v>68</v>
      </c>
      <c r="C2088" s="13" t="s">
        <v>69</v>
      </c>
      <c r="D2088" s="20"/>
      <c r="E2088" s="20"/>
      <c r="F2088" s="18"/>
      <c r="G2088" s="19"/>
      <c r="H2088" s="32"/>
      <c r="I2088" s="25"/>
      <c r="J2088" s="40"/>
      <c r="K2088" s="39"/>
      <c r="L2088" s="39"/>
      <c r="M2088" s="39"/>
      <c r="N2088" s="23"/>
      <c r="O2088" s="39"/>
      <c r="P2088" s="39"/>
      <c r="Q2088" s="39"/>
      <c r="R2088" s="39"/>
    </row>
    <row r="2089" spans="1:18" s="2" customFormat="1" ht="14.4">
      <c r="A2089" s="20">
        <f>A2086+1</f>
        <v>1927</v>
      </c>
      <c r="B2089" s="30" t="s">
        <v>3148</v>
      </c>
      <c r="C2089" s="30" t="s">
        <v>3149</v>
      </c>
      <c r="D2089" s="20" t="s">
        <v>8</v>
      </c>
      <c r="E2089" s="20" t="s">
        <v>9</v>
      </c>
      <c r="F2089" s="18">
        <v>1</v>
      </c>
      <c r="G2089" s="19">
        <v>350</v>
      </c>
      <c r="H2089" s="32">
        <v>50</v>
      </c>
      <c r="I2089" s="25">
        <f t="shared" si="123"/>
        <v>17500</v>
      </c>
      <c r="J2089" s="40"/>
      <c r="K2089" s="39"/>
      <c r="L2089" s="39"/>
      <c r="M2089" s="39"/>
      <c r="N2089" s="23"/>
      <c r="O2089" s="39"/>
      <c r="P2089" s="39"/>
      <c r="Q2089" s="39"/>
      <c r="R2089" s="39"/>
    </row>
    <row r="2090" spans="1:18" s="2" customFormat="1" ht="14.4">
      <c r="A2090" s="20">
        <f t="shared" ref="A2090:A2100" si="126">A2089+1</f>
        <v>1928</v>
      </c>
      <c r="B2090" s="30" t="s">
        <v>3150</v>
      </c>
      <c r="C2090" s="30" t="s">
        <v>3151</v>
      </c>
      <c r="D2090" s="20" t="s">
        <v>44</v>
      </c>
      <c r="E2090" s="20" t="s">
        <v>45</v>
      </c>
      <c r="F2090" s="18">
        <v>1</v>
      </c>
      <c r="G2090" s="19">
        <v>108</v>
      </c>
      <c r="H2090" s="32">
        <v>140</v>
      </c>
      <c r="I2090" s="25">
        <f t="shared" si="123"/>
        <v>15120</v>
      </c>
      <c r="J2090" s="40"/>
      <c r="K2090" s="39"/>
      <c r="L2090" s="39"/>
      <c r="M2090" s="39"/>
      <c r="N2090" s="23"/>
      <c r="O2090" s="39"/>
      <c r="P2090" s="39"/>
      <c r="Q2090" s="39"/>
      <c r="R2090" s="39"/>
    </row>
    <row r="2091" spans="1:18" s="2" customFormat="1" ht="26.4">
      <c r="A2091" s="20">
        <f t="shared" si="126"/>
        <v>1929</v>
      </c>
      <c r="B2091" s="30" t="s">
        <v>3152</v>
      </c>
      <c r="C2091" s="30" t="s">
        <v>3153</v>
      </c>
      <c r="D2091" s="20" t="s">
        <v>48</v>
      </c>
      <c r="E2091" s="20" t="s">
        <v>49</v>
      </c>
      <c r="F2091" s="18">
        <v>1</v>
      </c>
      <c r="G2091" s="19">
        <v>330.55</v>
      </c>
      <c r="H2091" s="32">
        <v>10</v>
      </c>
      <c r="I2091" s="25">
        <f t="shared" si="123"/>
        <v>3305.5</v>
      </c>
      <c r="J2091" s="40"/>
      <c r="K2091" s="39"/>
      <c r="L2091" s="39"/>
      <c r="M2091" s="39"/>
      <c r="N2091" s="23"/>
      <c r="O2091" s="39"/>
      <c r="P2091" s="39"/>
      <c r="Q2091" s="39"/>
      <c r="R2091" s="39"/>
    </row>
    <row r="2092" spans="1:18" s="2" customFormat="1" ht="14.4">
      <c r="A2092" s="20">
        <f t="shared" si="126"/>
        <v>1930</v>
      </c>
      <c r="B2092" s="30" t="s">
        <v>3154</v>
      </c>
      <c r="C2092" s="30" t="s">
        <v>3155</v>
      </c>
      <c r="D2092" s="20" t="s">
        <v>25</v>
      </c>
      <c r="E2092" s="20" t="s">
        <v>26</v>
      </c>
      <c r="F2092" s="18">
        <v>1</v>
      </c>
      <c r="G2092" s="19">
        <v>100</v>
      </c>
      <c r="H2092" s="32">
        <v>50</v>
      </c>
      <c r="I2092" s="25">
        <f t="shared" si="123"/>
        <v>5000</v>
      </c>
      <c r="J2092" s="40"/>
      <c r="K2092" s="39"/>
      <c r="L2092" s="39"/>
      <c r="M2092" s="39"/>
      <c r="N2092" s="23"/>
      <c r="O2092" s="39"/>
      <c r="P2092" s="39"/>
      <c r="Q2092" s="39"/>
      <c r="R2092" s="39"/>
    </row>
    <row r="2093" spans="1:18" s="2" customFormat="1" ht="14.4">
      <c r="A2093" s="20">
        <f t="shared" si="126"/>
        <v>1931</v>
      </c>
      <c r="B2093" s="30" t="s">
        <v>3156</v>
      </c>
      <c r="C2093" s="30" t="s">
        <v>3157</v>
      </c>
      <c r="D2093" s="20" t="s">
        <v>5</v>
      </c>
      <c r="E2093" s="20" t="s">
        <v>6</v>
      </c>
      <c r="F2093" s="18">
        <v>1</v>
      </c>
      <c r="G2093" s="19">
        <v>0.32</v>
      </c>
      <c r="H2093" s="32">
        <v>500</v>
      </c>
      <c r="I2093" s="25">
        <f t="shared" si="123"/>
        <v>160</v>
      </c>
      <c r="J2093" s="40"/>
      <c r="K2093" s="39"/>
      <c r="L2093" s="39"/>
      <c r="M2093" s="39"/>
      <c r="N2093" s="23"/>
      <c r="O2093" s="39"/>
      <c r="P2093" s="39"/>
      <c r="Q2093" s="39"/>
      <c r="R2093" s="39"/>
    </row>
    <row r="2094" spans="1:18" s="2" customFormat="1" ht="14.4">
      <c r="A2094" s="20">
        <f t="shared" si="126"/>
        <v>1932</v>
      </c>
      <c r="B2094" s="30" t="s">
        <v>3158</v>
      </c>
      <c r="C2094" s="30" t="s">
        <v>3159</v>
      </c>
      <c r="D2094" s="20" t="s">
        <v>5</v>
      </c>
      <c r="E2094" s="20" t="s">
        <v>6</v>
      </c>
      <c r="F2094" s="18">
        <v>1</v>
      </c>
      <c r="G2094" s="19">
        <v>26</v>
      </c>
      <c r="H2094" s="32">
        <v>150</v>
      </c>
      <c r="I2094" s="25">
        <f t="shared" si="123"/>
        <v>3900</v>
      </c>
      <c r="J2094" s="40"/>
      <c r="K2094" s="39"/>
      <c r="L2094" s="39"/>
      <c r="M2094" s="39"/>
      <c r="N2094" s="23"/>
      <c r="O2094" s="39"/>
      <c r="P2094" s="39"/>
      <c r="Q2094" s="39"/>
      <c r="R2094" s="39"/>
    </row>
    <row r="2095" spans="1:18" s="2" customFormat="1" ht="14.4">
      <c r="A2095" s="20">
        <f t="shared" si="126"/>
        <v>1933</v>
      </c>
      <c r="B2095" s="30" t="s">
        <v>3160</v>
      </c>
      <c r="C2095" s="30" t="s">
        <v>3161</v>
      </c>
      <c r="D2095" s="20" t="s">
        <v>3162</v>
      </c>
      <c r="E2095" s="20" t="s">
        <v>463</v>
      </c>
      <c r="F2095" s="18">
        <v>1</v>
      </c>
      <c r="G2095" s="19">
        <v>400</v>
      </c>
      <c r="H2095" s="32">
        <v>3</v>
      </c>
      <c r="I2095" s="25">
        <f t="shared" si="123"/>
        <v>1200</v>
      </c>
      <c r="J2095" s="40"/>
      <c r="K2095" s="39"/>
      <c r="L2095" s="39"/>
      <c r="M2095" s="39"/>
      <c r="N2095" s="23"/>
      <c r="O2095" s="39"/>
      <c r="P2095" s="39"/>
      <c r="Q2095" s="39"/>
      <c r="R2095" s="39"/>
    </row>
    <row r="2096" spans="1:18" s="2" customFormat="1" ht="14.4">
      <c r="A2096" s="20">
        <f t="shared" si="126"/>
        <v>1934</v>
      </c>
      <c r="B2096" s="30" t="s">
        <v>3163</v>
      </c>
      <c r="C2096" s="30" t="s">
        <v>3164</v>
      </c>
      <c r="D2096" s="20" t="s">
        <v>3162</v>
      </c>
      <c r="E2096" s="20" t="s">
        <v>463</v>
      </c>
      <c r="F2096" s="18">
        <v>1</v>
      </c>
      <c r="G2096" s="19">
        <v>414</v>
      </c>
      <c r="H2096" s="32">
        <v>3</v>
      </c>
      <c r="I2096" s="25">
        <f t="shared" si="123"/>
        <v>1242</v>
      </c>
      <c r="J2096" s="40"/>
      <c r="K2096" s="39"/>
      <c r="L2096" s="39"/>
      <c r="M2096" s="39"/>
      <c r="N2096" s="23"/>
      <c r="O2096" s="39"/>
      <c r="P2096" s="39"/>
      <c r="Q2096" s="39"/>
      <c r="R2096" s="39"/>
    </row>
    <row r="2097" spans="1:18" s="2" customFormat="1" ht="14.4">
      <c r="A2097" s="20">
        <f t="shared" si="126"/>
        <v>1935</v>
      </c>
      <c r="B2097" s="30" t="s">
        <v>3165</v>
      </c>
      <c r="C2097" s="30" t="s">
        <v>3166</v>
      </c>
      <c r="D2097" s="20" t="s">
        <v>8</v>
      </c>
      <c r="E2097" s="20" t="s">
        <v>9</v>
      </c>
      <c r="F2097" s="18">
        <v>1</v>
      </c>
      <c r="G2097" s="19">
        <v>229</v>
      </c>
      <c r="H2097" s="32">
        <v>40</v>
      </c>
      <c r="I2097" s="25">
        <f t="shared" si="123"/>
        <v>9160</v>
      </c>
      <c r="J2097" s="40"/>
      <c r="K2097" s="39"/>
      <c r="L2097" s="39"/>
      <c r="M2097" s="39"/>
      <c r="N2097" s="23"/>
      <c r="O2097" s="39"/>
      <c r="P2097" s="39"/>
      <c r="Q2097" s="39"/>
      <c r="R2097" s="39"/>
    </row>
    <row r="2098" spans="1:18" s="2" customFormat="1" ht="14.4">
      <c r="A2098" s="20">
        <f t="shared" si="126"/>
        <v>1936</v>
      </c>
      <c r="B2098" s="30" t="s">
        <v>3167</v>
      </c>
      <c r="C2098" s="30" t="s">
        <v>3168</v>
      </c>
      <c r="D2098" s="20" t="s">
        <v>44</v>
      </c>
      <c r="E2098" s="20" t="s">
        <v>45</v>
      </c>
      <c r="F2098" s="18">
        <v>1</v>
      </c>
      <c r="G2098" s="19">
        <f>199.99/1.2</f>
        <v>166.65833333333336</v>
      </c>
      <c r="H2098" s="32">
        <v>15</v>
      </c>
      <c r="I2098" s="25">
        <f t="shared" si="123"/>
        <v>2499.8750000000005</v>
      </c>
      <c r="J2098" s="40"/>
      <c r="K2098" s="39"/>
      <c r="L2098" s="39"/>
      <c r="M2098" s="39"/>
      <c r="N2098" s="23"/>
      <c r="O2098" s="39"/>
      <c r="P2098" s="39"/>
      <c r="Q2098" s="39"/>
      <c r="R2098" s="39"/>
    </row>
    <row r="2099" spans="1:18" s="2" customFormat="1" ht="14.4">
      <c r="A2099" s="20">
        <f t="shared" si="126"/>
        <v>1937</v>
      </c>
      <c r="B2099" s="30" t="s">
        <v>3169</v>
      </c>
      <c r="C2099" s="30" t="s">
        <v>3170</v>
      </c>
      <c r="D2099" s="20" t="s">
        <v>48</v>
      </c>
      <c r="E2099" s="20" t="s">
        <v>49</v>
      </c>
      <c r="F2099" s="18">
        <v>1</v>
      </c>
      <c r="G2099" s="19">
        <v>1775</v>
      </c>
      <c r="H2099" s="32">
        <v>3</v>
      </c>
      <c r="I2099" s="25">
        <f t="shared" si="123"/>
        <v>5325</v>
      </c>
      <c r="J2099" s="40"/>
      <c r="K2099" s="39"/>
      <c r="L2099" s="39"/>
      <c r="M2099" s="39"/>
      <c r="N2099" s="23"/>
      <c r="O2099" s="39"/>
      <c r="P2099" s="39"/>
      <c r="Q2099" s="39"/>
      <c r="R2099" s="39"/>
    </row>
    <row r="2100" spans="1:18" s="2" customFormat="1" ht="14.4">
      <c r="A2100" s="20">
        <f t="shared" si="126"/>
        <v>1938</v>
      </c>
      <c r="B2100" s="17" t="s">
        <v>1077</v>
      </c>
      <c r="C2100" s="17" t="s">
        <v>219</v>
      </c>
      <c r="D2100" s="20" t="s">
        <v>48</v>
      </c>
      <c r="E2100" s="20" t="s">
        <v>49</v>
      </c>
      <c r="F2100" s="18">
        <v>1</v>
      </c>
      <c r="G2100" s="19"/>
      <c r="H2100" s="32">
        <v>1</v>
      </c>
      <c r="I2100" s="25">
        <f>SUM(I2089:I2099)*0.05</f>
        <v>3220.6187500000001</v>
      </c>
      <c r="J2100" s="40"/>
      <c r="K2100" s="39"/>
      <c r="L2100" s="39"/>
      <c r="M2100" s="39"/>
      <c r="N2100" s="23"/>
      <c r="O2100" s="39"/>
      <c r="P2100" s="39"/>
      <c r="Q2100" s="39"/>
      <c r="R2100" s="39"/>
    </row>
    <row r="2101" spans="1:18" s="2" customFormat="1" ht="26.4">
      <c r="A2101" s="20"/>
      <c r="B2101" s="13" t="s">
        <v>3171</v>
      </c>
      <c r="C2101" s="13" t="s">
        <v>3172</v>
      </c>
      <c r="D2101" s="20"/>
      <c r="E2101" s="20"/>
      <c r="F2101" s="18"/>
      <c r="G2101" s="19"/>
      <c r="H2101" s="32"/>
      <c r="I2101" s="25"/>
      <c r="J2101" s="40"/>
      <c r="K2101" s="39"/>
      <c r="L2101" s="39"/>
      <c r="M2101" s="39"/>
      <c r="N2101" s="23"/>
      <c r="O2101" s="39"/>
      <c r="P2101" s="39"/>
      <c r="Q2101" s="39"/>
      <c r="R2101" s="39"/>
    </row>
    <row r="2102" spans="1:18" s="2" customFormat="1" ht="14.4">
      <c r="A2102" s="20">
        <f>A2099+1</f>
        <v>1938</v>
      </c>
      <c r="B2102" s="30" t="s">
        <v>3173</v>
      </c>
      <c r="C2102" s="30" t="s">
        <v>3174</v>
      </c>
      <c r="D2102" s="20" t="s">
        <v>48</v>
      </c>
      <c r="E2102" s="20" t="s">
        <v>49</v>
      </c>
      <c r="F2102" s="18">
        <v>1</v>
      </c>
      <c r="G2102" s="19">
        <f>52626/1.2</f>
        <v>43855</v>
      </c>
      <c r="H2102" s="32">
        <v>1</v>
      </c>
      <c r="I2102" s="25">
        <f t="shared" si="123"/>
        <v>43855</v>
      </c>
      <c r="J2102" s="40"/>
      <c r="K2102" s="39"/>
      <c r="L2102" s="39"/>
      <c r="M2102" s="39"/>
      <c r="N2102" s="23"/>
      <c r="O2102" s="39"/>
      <c r="P2102" s="39"/>
      <c r="Q2102" s="39"/>
      <c r="R2102" s="39"/>
    </row>
    <row r="2103" spans="1:18" s="2" customFormat="1" ht="14.4">
      <c r="A2103" s="20">
        <f t="shared" ref="A2103:A2128" si="127">A2102+1</f>
        <v>1939</v>
      </c>
      <c r="B2103" s="30" t="s">
        <v>3175</v>
      </c>
      <c r="C2103" s="30" t="s">
        <v>3176</v>
      </c>
      <c r="D2103" s="20" t="s">
        <v>48</v>
      </c>
      <c r="E2103" s="20" t="s">
        <v>49</v>
      </c>
      <c r="F2103" s="18">
        <v>1</v>
      </c>
      <c r="G2103" s="19">
        <f>14256/1.2</f>
        <v>11880</v>
      </c>
      <c r="H2103" s="32">
        <v>1</v>
      </c>
      <c r="I2103" s="25">
        <f t="shared" si="123"/>
        <v>11880</v>
      </c>
      <c r="J2103" s="40"/>
      <c r="K2103" s="39"/>
      <c r="L2103" s="39"/>
      <c r="M2103" s="39"/>
      <c r="N2103" s="23"/>
      <c r="O2103" s="39"/>
      <c r="P2103" s="39"/>
      <c r="Q2103" s="39"/>
      <c r="R2103" s="39"/>
    </row>
    <row r="2104" spans="1:18" s="2" customFormat="1" ht="14.4">
      <c r="A2104" s="20">
        <f t="shared" si="127"/>
        <v>1940</v>
      </c>
      <c r="B2104" s="30" t="s">
        <v>3177</v>
      </c>
      <c r="C2104" s="30" t="s">
        <v>3178</v>
      </c>
      <c r="D2104" s="20" t="s">
        <v>5</v>
      </c>
      <c r="E2104" s="20" t="s">
        <v>6</v>
      </c>
      <c r="F2104" s="18">
        <v>1</v>
      </c>
      <c r="G2104" s="19">
        <v>588</v>
      </c>
      <c r="H2104" s="32">
        <v>3</v>
      </c>
      <c r="I2104" s="25">
        <f t="shared" si="123"/>
        <v>1764</v>
      </c>
      <c r="J2104" s="40"/>
      <c r="K2104" s="39"/>
      <c r="L2104" s="39"/>
      <c r="M2104" s="39"/>
      <c r="N2104" s="23"/>
      <c r="O2104" s="39"/>
      <c r="P2104" s="39"/>
      <c r="Q2104" s="39"/>
      <c r="R2104" s="39"/>
    </row>
    <row r="2105" spans="1:18" s="2" customFormat="1" ht="14.4">
      <c r="A2105" s="20">
        <f t="shared" si="127"/>
        <v>1941</v>
      </c>
      <c r="B2105" s="30" t="s">
        <v>3179</v>
      </c>
      <c r="C2105" s="30" t="s">
        <v>3180</v>
      </c>
      <c r="D2105" s="20" t="s">
        <v>5</v>
      </c>
      <c r="E2105" s="20" t="s">
        <v>6</v>
      </c>
      <c r="F2105" s="18">
        <v>1</v>
      </c>
      <c r="G2105" s="19">
        <v>978</v>
      </c>
      <c r="H2105" s="32">
        <v>13</v>
      </c>
      <c r="I2105" s="25">
        <f t="shared" si="123"/>
        <v>12714</v>
      </c>
      <c r="J2105" s="40"/>
      <c r="K2105" s="39"/>
      <c r="L2105" s="39"/>
      <c r="M2105" s="39"/>
      <c r="N2105" s="23"/>
      <c r="O2105" s="39"/>
      <c r="P2105" s="39"/>
      <c r="Q2105" s="39"/>
      <c r="R2105" s="39"/>
    </row>
    <row r="2106" spans="1:18" s="2" customFormat="1" ht="39.6">
      <c r="A2106" s="20">
        <f t="shared" si="127"/>
        <v>1942</v>
      </c>
      <c r="B2106" s="30" t="s">
        <v>3181</v>
      </c>
      <c r="C2106" s="30" t="s">
        <v>3182</v>
      </c>
      <c r="D2106" s="20" t="s">
        <v>48</v>
      </c>
      <c r="E2106" s="20" t="s">
        <v>49</v>
      </c>
      <c r="F2106" s="18">
        <v>1</v>
      </c>
      <c r="G2106" s="19">
        <f>5280/1.2</f>
        <v>4400</v>
      </c>
      <c r="H2106" s="32">
        <v>1</v>
      </c>
      <c r="I2106" s="25">
        <f t="shared" si="123"/>
        <v>4400</v>
      </c>
      <c r="J2106" s="40"/>
      <c r="K2106" s="39"/>
      <c r="L2106" s="39"/>
      <c r="M2106" s="39"/>
      <c r="N2106" s="23"/>
      <c r="O2106" s="39"/>
      <c r="P2106" s="39"/>
      <c r="Q2106" s="39"/>
      <c r="R2106" s="39"/>
    </row>
    <row r="2107" spans="1:18" s="2" customFormat="1" ht="39.6">
      <c r="A2107" s="20">
        <f t="shared" si="127"/>
        <v>1943</v>
      </c>
      <c r="B2107" s="30" t="s">
        <v>3183</v>
      </c>
      <c r="C2107" s="30" t="s">
        <v>3184</v>
      </c>
      <c r="D2107" s="20" t="s">
        <v>48</v>
      </c>
      <c r="E2107" s="20" t="s">
        <v>49</v>
      </c>
      <c r="F2107" s="18">
        <v>1</v>
      </c>
      <c r="G2107" s="19">
        <v>5280</v>
      </c>
      <c r="H2107" s="32">
        <v>2</v>
      </c>
      <c r="I2107" s="25">
        <f t="shared" si="123"/>
        <v>10560</v>
      </c>
      <c r="J2107" s="40"/>
      <c r="K2107" s="39"/>
      <c r="L2107" s="39"/>
      <c r="M2107" s="39"/>
      <c r="N2107" s="23"/>
      <c r="O2107" s="39"/>
      <c r="P2107" s="39"/>
      <c r="Q2107" s="39"/>
      <c r="R2107" s="39"/>
    </row>
    <row r="2108" spans="1:18" s="2" customFormat="1" ht="14.4">
      <c r="A2108" s="20">
        <f t="shared" si="127"/>
        <v>1944</v>
      </c>
      <c r="B2108" s="30" t="s">
        <v>3185</v>
      </c>
      <c r="C2108" s="30" t="s">
        <v>3186</v>
      </c>
      <c r="D2108" s="20" t="s">
        <v>5</v>
      </c>
      <c r="E2108" s="20" t="s">
        <v>6</v>
      </c>
      <c r="F2108" s="18">
        <v>1</v>
      </c>
      <c r="G2108" s="19">
        <f>767/1.2</f>
        <v>639.16666666666674</v>
      </c>
      <c r="H2108" s="32">
        <v>16</v>
      </c>
      <c r="I2108" s="25">
        <f t="shared" si="123"/>
        <v>10226.666666666668</v>
      </c>
      <c r="J2108" s="40"/>
      <c r="K2108" s="39"/>
      <c r="L2108" s="39"/>
      <c r="M2108" s="39"/>
      <c r="N2108" s="23"/>
      <c r="O2108" s="39"/>
      <c r="P2108" s="39"/>
      <c r="Q2108" s="39"/>
      <c r="R2108" s="39"/>
    </row>
    <row r="2109" spans="1:18" s="2" customFormat="1" ht="14.4">
      <c r="A2109" s="20">
        <f t="shared" si="127"/>
        <v>1945</v>
      </c>
      <c r="B2109" s="30" t="s">
        <v>3187</v>
      </c>
      <c r="C2109" s="30" t="s">
        <v>2253</v>
      </c>
      <c r="D2109" s="20" t="s">
        <v>5</v>
      </c>
      <c r="E2109" s="20" t="s">
        <v>6</v>
      </c>
      <c r="F2109" s="18">
        <v>1</v>
      </c>
      <c r="G2109" s="19">
        <v>48.1</v>
      </c>
      <c r="H2109" s="32">
        <v>16</v>
      </c>
      <c r="I2109" s="25">
        <f t="shared" si="123"/>
        <v>769.6</v>
      </c>
      <c r="J2109" s="40"/>
      <c r="K2109" s="39"/>
      <c r="L2109" s="39"/>
      <c r="M2109" s="39"/>
      <c r="N2109" s="23"/>
      <c r="O2109" s="39"/>
      <c r="P2109" s="39"/>
      <c r="Q2109" s="39"/>
      <c r="R2109" s="39"/>
    </row>
    <row r="2110" spans="1:18" s="2" customFormat="1" ht="14.4">
      <c r="A2110" s="20">
        <f t="shared" si="127"/>
        <v>1946</v>
      </c>
      <c r="B2110" s="30" t="s">
        <v>3188</v>
      </c>
      <c r="C2110" s="30" t="s">
        <v>3189</v>
      </c>
      <c r="D2110" s="20" t="s">
        <v>5</v>
      </c>
      <c r="E2110" s="20" t="s">
        <v>6</v>
      </c>
      <c r="F2110" s="18">
        <v>1</v>
      </c>
      <c r="G2110" s="19">
        <v>89.09</v>
      </c>
      <c r="H2110" s="32">
        <v>16</v>
      </c>
      <c r="I2110" s="25">
        <f t="shared" si="123"/>
        <v>1425.44</v>
      </c>
      <c r="J2110" s="40"/>
      <c r="K2110" s="39"/>
      <c r="L2110" s="39"/>
      <c r="M2110" s="39"/>
      <c r="N2110" s="23"/>
      <c r="O2110" s="39"/>
      <c r="P2110" s="39"/>
      <c r="Q2110" s="39"/>
      <c r="R2110" s="39"/>
    </row>
    <row r="2111" spans="1:18" s="2" customFormat="1" ht="14.4">
      <c r="A2111" s="20">
        <f t="shared" si="127"/>
        <v>1947</v>
      </c>
      <c r="B2111" s="30" t="s">
        <v>3190</v>
      </c>
      <c r="C2111" s="30" t="s">
        <v>3191</v>
      </c>
      <c r="D2111" s="20" t="s">
        <v>25</v>
      </c>
      <c r="E2111" s="20" t="s">
        <v>26</v>
      </c>
      <c r="F2111" s="18">
        <v>1</v>
      </c>
      <c r="G2111" s="19">
        <v>9.74</v>
      </c>
      <c r="H2111" s="32">
        <v>40</v>
      </c>
      <c r="I2111" s="25">
        <f t="shared" si="123"/>
        <v>389.6</v>
      </c>
      <c r="J2111" s="40"/>
      <c r="K2111" s="39"/>
      <c r="L2111" s="39"/>
      <c r="M2111" s="39"/>
      <c r="N2111" s="23"/>
      <c r="O2111" s="39"/>
      <c r="P2111" s="39"/>
      <c r="Q2111" s="39"/>
      <c r="R2111" s="39"/>
    </row>
    <row r="2112" spans="1:18" s="2" customFormat="1" ht="14.4">
      <c r="A2112" s="20">
        <f t="shared" si="127"/>
        <v>1948</v>
      </c>
      <c r="B2112" s="30" t="s">
        <v>3192</v>
      </c>
      <c r="C2112" s="30" t="s">
        <v>3193</v>
      </c>
      <c r="D2112" s="20" t="s">
        <v>25</v>
      </c>
      <c r="E2112" s="20" t="s">
        <v>26</v>
      </c>
      <c r="F2112" s="18">
        <v>1</v>
      </c>
      <c r="G2112" s="19">
        <v>13.28</v>
      </c>
      <c r="H2112" s="32">
        <v>570</v>
      </c>
      <c r="I2112" s="25">
        <f t="shared" si="123"/>
        <v>7569.5999999999995</v>
      </c>
      <c r="J2112" s="40"/>
      <c r="K2112" s="39"/>
      <c r="L2112" s="39"/>
      <c r="M2112" s="39"/>
      <c r="N2112" s="23"/>
      <c r="O2112" s="39"/>
      <c r="P2112" s="39"/>
      <c r="Q2112" s="39"/>
      <c r="R2112" s="39"/>
    </row>
    <row r="2113" spans="1:18" s="2" customFormat="1" ht="14.4">
      <c r="A2113" s="20">
        <f t="shared" si="127"/>
        <v>1949</v>
      </c>
      <c r="B2113" s="30" t="s">
        <v>3194</v>
      </c>
      <c r="C2113" s="30" t="s">
        <v>3195</v>
      </c>
      <c r="D2113" s="20" t="s">
        <v>25</v>
      </c>
      <c r="E2113" s="20" t="s">
        <v>26</v>
      </c>
      <c r="F2113" s="18">
        <v>1</v>
      </c>
      <c r="G2113" s="19">
        <v>27</v>
      </c>
      <c r="H2113" s="32">
        <v>70</v>
      </c>
      <c r="I2113" s="25">
        <f t="shared" si="123"/>
        <v>1890</v>
      </c>
      <c r="J2113" s="40"/>
      <c r="K2113" s="39"/>
      <c r="L2113" s="39"/>
      <c r="M2113" s="39"/>
      <c r="N2113" s="23"/>
      <c r="O2113" s="39"/>
      <c r="P2113" s="39"/>
      <c r="Q2113" s="39"/>
      <c r="R2113" s="39"/>
    </row>
    <row r="2114" spans="1:18" s="2" customFormat="1" ht="14.4">
      <c r="A2114" s="20">
        <f t="shared" si="127"/>
        <v>1950</v>
      </c>
      <c r="B2114" s="30" t="s">
        <v>3196</v>
      </c>
      <c r="C2114" s="30" t="s">
        <v>3197</v>
      </c>
      <c r="D2114" s="20" t="s">
        <v>25</v>
      </c>
      <c r="E2114" s="20" t="s">
        <v>26</v>
      </c>
      <c r="F2114" s="18">
        <v>1</v>
      </c>
      <c r="G2114" s="19">
        <v>40.6</v>
      </c>
      <c r="H2114" s="32">
        <v>330</v>
      </c>
      <c r="I2114" s="25">
        <f t="shared" si="123"/>
        <v>13398</v>
      </c>
      <c r="J2114" s="40"/>
      <c r="K2114" s="39"/>
      <c r="L2114" s="39"/>
      <c r="M2114" s="39"/>
      <c r="N2114" s="23"/>
      <c r="O2114" s="39"/>
      <c r="P2114" s="39"/>
      <c r="Q2114" s="39"/>
      <c r="R2114" s="39"/>
    </row>
    <row r="2115" spans="1:18" s="2" customFormat="1" ht="14.4">
      <c r="A2115" s="20">
        <f t="shared" si="127"/>
        <v>1951</v>
      </c>
      <c r="B2115" s="30" t="s">
        <v>2335</v>
      </c>
      <c r="C2115" s="30" t="s">
        <v>3198</v>
      </c>
      <c r="D2115" s="20" t="s">
        <v>25</v>
      </c>
      <c r="E2115" s="20" t="s">
        <v>26</v>
      </c>
      <c r="F2115" s="18">
        <v>1</v>
      </c>
      <c r="G2115" s="19">
        <v>54.94</v>
      </c>
      <c r="H2115" s="32">
        <v>890</v>
      </c>
      <c r="I2115" s="25">
        <f t="shared" si="123"/>
        <v>48896.6</v>
      </c>
      <c r="J2115" s="40"/>
      <c r="K2115" s="39"/>
      <c r="L2115" s="39"/>
      <c r="M2115" s="39"/>
      <c r="N2115" s="23"/>
      <c r="O2115" s="39"/>
      <c r="P2115" s="39"/>
      <c r="Q2115" s="39"/>
      <c r="R2115" s="39"/>
    </row>
    <row r="2116" spans="1:18" s="2" customFormat="1" ht="14.4">
      <c r="A2116" s="20">
        <f t="shared" si="127"/>
        <v>1952</v>
      </c>
      <c r="B2116" s="30" t="s">
        <v>3199</v>
      </c>
      <c r="C2116" s="30" t="s">
        <v>3200</v>
      </c>
      <c r="D2116" s="20" t="s">
        <v>25</v>
      </c>
      <c r="E2116" s="20" t="s">
        <v>26</v>
      </c>
      <c r="F2116" s="18">
        <v>1</v>
      </c>
      <c r="G2116" s="19">
        <v>12</v>
      </c>
      <c r="H2116" s="32">
        <v>120</v>
      </c>
      <c r="I2116" s="25">
        <f t="shared" si="123"/>
        <v>1440</v>
      </c>
      <c r="J2116" s="40"/>
      <c r="K2116" s="39"/>
      <c r="L2116" s="39"/>
      <c r="M2116" s="39"/>
      <c r="N2116" s="23"/>
      <c r="O2116" s="39"/>
      <c r="P2116" s="39"/>
      <c r="Q2116" s="39"/>
      <c r="R2116" s="39"/>
    </row>
    <row r="2117" spans="1:18" s="2" customFormat="1" ht="14.4">
      <c r="A2117" s="20">
        <f t="shared" si="127"/>
        <v>1953</v>
      </c>
      <c r="B2117" s="30" t="s">
        <v>2272</v>
      </c>
      <c r="C2117" s="30" t="s">
        <v>2273</v>
      </c>
      <c r="D2117" s="20" t="s">
        <v>2274</v>
      </c>
      <c r="E2117" s="20" t="s">
        <v>2275</v>
      </c>
      <c r="F2117" s="18">
        <v>1</v>
      </c>
      <c r="G2117" s="19">
        <v>121.79</v>
      </c>
      <c r="H2117" s="32">
        <v>4</v>
      </c>
      <c r="I2117" s="25">
        <f t="shared" si="123"/>
        <v>487.16</v>
      </c>
      <c r="J2117" s="40"/>
      <c r="K2117" s="39"/>
      <c r="L2117" s="39"/>
      <c r="M2117" s="39"/>
      <c r="N2117" s="23"/>
      <c r="O2117" s="39"/>
      <c r="P2117" s="39"/>
      <c r="Q2117" s="39"/>
      <c r="R2117" s="39"/>
    </row>
    <row r="2118" spans="1:18" s="2" customFormat="1" ht="14.4">
      <c r="A2118" s="20">
        <f t="shared" si="127"/>
        <v>1954</v>
      </c>
      <c r="B2118" s="30" t="s">
        <v>3201</v>
      </c>
      <c r="C2118" s="30" t="s">
        <v>3202</v>
      </c>
      <c r="D2118" s="20" t="s">
        <v>2274</v>
      </c>
      <c r="E2118" s="20" t="s">
        <v>2275</v>
      </c>
      <c r="F2118" s="18">
        <v>1</v>
      </c>
      <c r="G2118" s="19">
        <v>180</v>
      </c>
      <c r="H2118" s="32">
        <v>4</v>
      </c>
      <c r="I2118" s="25">
        <f t="shared" si="123"/>
        <v>720</v>
      </c>
      <c r="J2118" s="40"/>
      <c r="K2118" s="39"/>
      <c r="L2118" s="39"/>
      <c r="M2118" s="39"/>
      <c r="N2118" s="23"/>
      <c r="O2118" s="39"/>
      <c r="P2118" s="39"/>
      <c r="Q2118" s="39"/>
      <c r="R2118" s="39"/>
    </row>
    <row r="2119" spans="1:18" s="2" customFormat="1" ht="14.4">
      <c r="A2119" s="20">
        <f t="shared" si="127"/>
        <v>1955</v>
      </c>
      <c r="B2119" s="30" t="s">
        <v>3009</v>
      </c>
      <c r="C2119" s="30" t="s">
        <v>3010</v>
      </c>
      <c r="D2119" s="20" t="s">
        <v>2274</v>
      </c>
      <c r="E2119" s="20" t="s">
        <v>2275</v>
      </c>
      <c r="F2119" s="18">
        <v>1</v>
      </c>
      <c r="G2119" s="19">
        <v>286</v>
      </c>
      <c r="H2119" s="32">
        <v>29</v>
      </c>
      <c r="I2119" s="25">
        <f t="shared" si="123"/>
        <v>8294</v>
      </c>
      <c r="J2119" s="40"/>
      <c r="K2119" s="39"/>
      <c r="L2119" s="39"/>
      <c r="M2119" s="39"/>
      <c r="N2119" s="23"/>
      <c r="O2119" s="39"/>
      <c r="P2119" s="39"/>
      <c r="Q2119" s="39"/>
      <c r="R2119" s="39"/>
    </row>
    <row r="2120" spans="1:18" s="2" customFormat="1" ht="14.4">
      <c r="A2120" s="20">
        <f t="shared" si="127"/>
        <v>1956</v>
      </c>
      <c r="B2120" s="30" t="s">
        <v>2276</v>
      </c>
      <c r="C2120" s="30" t="s">
        <v>3203</v>
      </c>
      <c r="D2120" s="20" t="s">
        <v>2274</v>
      </c>
      <c r="E2120" s="20" t="s">
        <v>2275</v>
      </c>
      <c r="F2120" s="18">
        <v>1</v>
      </c>
      <c r="G2120" s="19">
        <v>203</v>
      </c>
      <c r="H2120" s="32">
        <v>29</v>
      </c>
      <c r="I2120" s="25">
        <f t="shared" si="123"/>
        <v>5887</v>
      </c>
      <c r="J2120" s="40"/>
      <c r="K2120" s="39"/>
      <c r="L2120" s="39"/>
      <c r="M2120" s="39"/>
      <c r="N2120" s="23"/>
      <c r="O2120" s="39"/>
      <c r="P2120" s="39"/>
      <c r="Q2120" s="39"/>
      <c r="R2120" s="39"/>
    </row>
    <row r="2121" spans="1:18" s="2" customFormat="1" ht="14.4">
      <c r="A2121" s="20">
        <f t="shared" si="127"/>
        <v>1957</v>
      </c>
      <c r="B2121" s="30" t="s">
        <v>3204</v>
      </c>
      <c r="C2121" s="30" t="s">
        <v>3205</v>
      </c>
      <c r="D2121" s="20" t="s">
        <v>5</v>
      </c>
      <c r="E2121" s="20" t="s">
        <v>6</v>
      </c>
      <c r="F2121" s="18">
        <v>1</v>
      </c>
      <c r="G2121" s="19">
        <v>2500</v>
      </c>
      <c r="H2121" s="32">
        <v>1</v>
      </c>
      <c r="I2121" s="25">
        <f t="shared" si="123"/>
        <v>2500</v>
      </c>
      <c r="J2121" s="40"/>
      <c r="K2121" s="39"/>
      <c r="L2121" s="39"/>
      <c r="M2121" s="39"/>
      <c r="N2121" s="23"/>
      <c r="O2121" s="39"/>
      <c r="P2121" s="39"/>
      <c r="Q2121" s="39"/>
      <c r="R2121" s="39"/>
    </row>
    <row r="2122" spans="1:18" s="2" customFormat="1" ht="14.4">
      <c r="A2122" s="20">
        <f t="shared" si="127"/>
        <v>1958</v>
      </c>
      <c r="B2122" s="30" t="s">
        <v>3206</v>
      </c>
      <c r="C2122" s="30" t="s">
        <v>3207</v>
      </c>
      <c r="D2122" s="20" t="s">
        <v>5</v>
      </c>
      <c r="E2122" s="20" t="s">
        <v>6</v>
      </c>
      <c r="F2122" s="18">
        <v>1</v>
      </c>
      <c r="G2122" s="19">
        <v>360</v>
      </c>
      <c r="H2122" s="32">
        <v>1</v>
      </c>
      <c r="I2122" s="25">
        <f t="shared" si="123"/>
        <v>360</v>
      </c>
      <c r="J2122" s="40"/>
      <c r="K2122" s="39"/>
      <c r="L2122" s="39"/>
      <c r="M2122" s="39"/>
      <c r="N2122" s="23"/>
      <c r="O2122" s="39"/>
      <c r="P2122" s="39"/>
      <c r="Q2122" s="39"/>
      <c r="R2122" s="39"/>
    </row>
    <row r="2123" spans="1:18" s="2" customFormat="1" ht="14.4">
      <c r="A2123" s="20">
        <f t="shared" si="127"/>
        <v>1959</v>
      </c>
      <c r="B2123" s="30" t="s">
        <v>3208</v>
      </c>
      <c r="C2123" s="30" t="s">
        <v>3209</v>
      </c>
      <c r="D2123" s="20" t="s">
        <v>5</v>
      </c>
      <c r="E2123" s="20" t="s">
        <v>6</v>
      </c>
      <c r="F2123" s="18">
        <v>1</v>
      </c>
      <c r="G2123" s="19">
        <v>498</v>
      </c>
      <c r="H2123" s="32">
        <v>3</v>
      </c>
      <c r="I2123" s="25">
        <f t="shared" ref="I2123:I2186" si="128">G2123*H2123</f>
        <v>1494</v>
      </c>
      <c r="J2123" s="40"/>
      <c r="K2123" s="39"/>
      <c r="L2123" s="39"/>
      <c r="M2123" s="39"/>
      <c r="N2123" s="23"/>
      <c r="O2123" s="39"/>
      <c r="P2123" s="39"/>
      <c r="Q2123" s="39"/>
      <c r="R2123" s="39"/>
    </row>
    <row r="2124" spans="1:18" s="2" customFormat="1" ht="14.4">
      <c r="A2124" s="20">
        <f t="shared" si="127"/>
        <v>1960</v>
      </c>
      <c r="B2124" s="30" t="s">
        <v>3210</v>
      </c>
      <c r="C2124" s="30" t="s">
        <v>3211</v>
      </c>
      <c r="D2124" s="20" t="s">
        <v>5</v>
      </c>
      <c r="E2124" s="20" t="s">
        <v>6</v>
      </c>
      <c r="F2124" s="18">
        <v>1</v>
      </c>
      <c r="G2124" s="19">
        <v>498</v>
      </c>
      <c r="H2124" s="32">
        <v>13</v>
      </c>
      <c r="I2124" s="25">
        <f t="shared" si="128"/>
        <v>6474</v>
      </c>
      <c r="J2124" s="40"/>
      <c r="K2124" s="39"/>
      <c r="L2124" s="39"/>
      <c r="M2124" s="39"/>
      <c r="N2124" s="23"/>
      <c r="O2124" s="39"/>
      <c r="P2124" s="39"/>
      <c r="Q2124" s="39"/>
      <c r="R2124" s="39"/>
    </row>
    <row r="2125" spans="1:18" s="2" customFormat="1" ht="26.4">
      <c r="A2125" s="20">
        <f t="shared" si="127"/>
        <v>1961</v>
      </c>
      <c r="B2125" s="30" t="s">
        <v>3212</v>
      </c>
      <c r="C2125" s="30" t="s">
        <v>3213</v>
      </c>
      <c r="D2125" s="20" t="s">
        <v>5</v>
      </c>
      <c r="E2125" s="20" t="s">
        <v>6</v>
      </c>
      <c r="F2125" s="18">
        <v>1</v>
      </c>
      <c r="G2125" s="19">
        <f>3710/1.2</f>
        <v>3091.666666666667</v>
      </c>
      <c r="H2125" s="32">
        <v>3</v>
      </c>
      <c r="I2125" s="25">
        <f t="shared" si="128"/>
        <v>9275</v>
      </c>
      <c r="J2125" s="40"/>
      <c r="K2125" s="39"/>
      <c r="L2125" s="39"/>
      <c r="M2125" s="39"/>
      <c r="N2125" s="23"/>
      <c r="O2125" s="39"/>
      <c r="P2125" s="39"/>
      <c r="Q2125" s="39"/>
      <c r="R2125" s="39"/>
    </row>
    <row r="2126" spans="1:18" s="2" customFormat="1" ht="14.4">
      <c r="A2126" s="20">
        <f t="shared" si="127"/>
        <v>1962</v>
      </c>
      <c r="B2126" s="30" t="s">
        <v>3214</v>
      </c>
      <c r="C2126" s="30" t="s">
        <v>3215</v>
      </c>
      <c r="D2126" s="20" t="s">
        <v>5</v>
      </c>
      <c r="E2126" s="20" t="s">
        <v>6</v>
      </c>
      <c r="F2126" s="18">
        <v>1</v>
      </c>
      <c r="G2126" s="19">
        <v>54.13</v>
      </c>
      <c r="H2126" s="32">
        <f>H2108+H2109</f>
        <v>32</v>
      </c>
      <c r="I2126" s="25">
        <f t="shared" si="128"/>
        <v>1732.16</v>
      </c>
      <c r="J2126" s="40"/>
      <c r="K2126" s="39"/>
      <c r="L2126" s="39"/>
      <c r="M2126" s="39"/>
      <c r="N2126" s="23"/>
      <c r="O2126" s="39"/>
      <c r="P2126" s="39"/>
      <c r="Q2126" s="39"/>
      <c r="R2126" s="39"/>
    </row>
    <row r="2127" spans="1:18" s="2" customFormat="1" ht="26.4">
      <c r="A2127" s="20">
        <f t="shared" si="127"/>
        <v>1963</v>
      </c>
      <c r="B2127" s="17" t="s">
        <v>1418</v>
      </c>
      <c r="C2127" s="17" t="s">
        <v>1419</v>
      </c>
      <c r="D2127" s="20" t="s">
        <v>25</v>
      </c>
      <c r="E2127" s="20" t="s">
        <v>26</v>
      </c>
      <c r="F2127" s="18">
        <v>1</v>
      </c>
      <c r="G2127" s="19">
        <v>237.07</v>
      </c>
      <c r="H2127" s="32">
        <f>H2114+H2113+H2112+H2111</f>
        <v>1010</v>
      </c>
      <c r="I2127" s="25">
        <f t="shared" si="128"/>
        <v>239440.69999999998</v>
      </c>
      <c r="J2127" s="40"/>
      <c r="K2127" s="39"/>
      <c r="L2127" s="39"/>
      <c r="M2127" s="39"/>
      <c r="N2127" s="23"/>
      <c r="O2127" s="39"/>
      <c r="P2127" s="39"/>
      <c r="Q2127" s="39"/>
      <c r="R2127" s="39"/>
    </row>
    <row r="2128" spans="1:18" s="2" customFormat="1" ht="14.4">
      <c r="A2128" s="20">
        <f t="shared" si="127"/>
        <v>1964</v>
      </c>
      <c r="B2128" s="17" t="s">
        <v>1077</v>
      </c>
      <c r="C2128" s="17" t="s">
        <v>219</v>
      </c>
      <c r="D2128" s="20" t="s">
        <v>48</v>
      </c>
      <c r="E2128" s="20" t="s">
        <v>49</v>
      </c>
      <c r="F2128" s="18">
        <v>1</v>
      </c>
      <c r="G2128" s="19"/>
      <c r="H2128" s="32">
        <v>1</v>
      </c>
      <c r="I2128" s="25">
        <f>SUM(I2102:I2127)*0.05</f>
        <v>22392.126333333334</v>
      </c>
      <c r="J2128" s="40"/>
      <c r="K2128" s="39"/>
      <c r="L2128" s="39"/>
      <c r="M2128" s="39"/>
      <c r="N2128" s="23"/>
      <c r="O2128" s="39"/>
      <c r="P2128" s="39"/>
      <c r="Q2128" s="39"/>
      <c r="R2128" s="39"/>
    </row>
    <row r="2129" spans="1:18" ht="26.4">
      <c r="A2129" s="9" t="s">
        <v>61</v>
      </c>
      <c r="B2129" s="13" t="s">
        <v>3216</v>
      </c>
      <c r="C2129" s="13" t="s">
        <v>3217</v>
      </c>
      <c r="D2129" s="14"/>
      <c r="E2129" s="14"/>
      <c r="F2129" s="18"/>
      <c r="G2129" s="19"/>
      <c r="H2129" s="15"/>
      <c r="I2129" s="25"/>
      <c r="J2129" s="24"/>
      <c r="K2129" s="22"/>
      <c r="L2129" s="22"/>
      <c r="M2129" s="22"/>
      <c r="N2129" s="23"/>
      <c r="O2129" s="22"/>
      <c r="P2129" s="22"/>
      <c r="Q2129" s="22"/>
      <c r="R2129" s="22"/>
    </row>
    <row r="2130" spans="1:18" ht="14.4">
      <c r="A2130" s="9"/>
      <c r="B2130" s="13" t="s">
        <v>2965</v>
      </c>
      <c r="C2130" s="13" t="s">
        <v>3218</v>
      </c>
      <c r="D2130" s="14"/>
      <c r="E2130" s="14"/>
      <c r="F2130" s="18"/>
      <c r="G2130" s="19"/>
      <c r="H2130" s="15"/>
      <c r="I2130" s="25"/>
      <c r="J2130" s="24"/>
      <c r="K2130" s="22"/>
      <c r="L2130" s="22"/>
      <c r="M2130" s="22"/>
      <c r="N2130" s="23"/>
      <c r="O2130" s="22"/>
      <c r="P2130" s="22"/>
      <c r="Q2130" s="22"/>
      <c r="R2130" s="22"/>
    </row>
    <row r="2131" spans="1:18" s="2" customFormat="1" ht="26.4">
      <c r="A2131" s="20">
        <f>A2127+1</f>
        <v>1964</v>
      </c>
      <c r="B2131" s="30" t="s">
        <v>3219</v>
      </c>
      <c r="C2131" s="30" t="s">
        <v>3220</v>
      </c>
      <c r="D2131" s="20" t="s">
        <v>5</v>
      </c>
      <c r="E2131" s="20" t="s">
        <v>6</v>
      </c>
      <c r="F2131" s="18">
        <v>1</v>
      </c>
      <c r="G2131" s="19">
        <f>1.633198857*24618.06</f>
        <v>40206.187453557424</v>
      </c>
      <c r="H2131" s="32">
        <v>1</v>
      </c>
      <c r="I2131" s="25">
        <f t="shared" si="128"/>
        <v>40206.187453557424</v>
      </c>
      <c r="J2131" s="40"/>
      <c r="K2131" s="39"/>
      <c r="L2131" s="39"/>
      <c r="M2131" s="39"/>
      <c r="N2131" s="23"/>
      <c r="O2131" s="39"/>
      <c r="P2131" s="39"/>
      <c r="Q2131" s="39"/>
      <c r="R2131" s="39"/>
    </row>
    <row r="2132" spans="1:18" ht="39.6">
      <c r="A2132" s="9" t="s">
        <v>61</v>
      </c>
      <c r="B2132" s="13" t="s">
        <v>3221</v>
      </c>
      <c r="C2132" s="13" t="s">
        <v>3222</v>
      </c>
      <c r="D2132" s="14"/>
      <c r="E2132" s="14"/>
      <c r="F2132" s="18"/>
      <c r="G2132" s="19"/>
      <c r="H2132" s="15"/>
      <c r="I2132" s="25"/>
      <c r="J2132" s="24"/>
      <c r="K2132" s="22"/>
      <c r="L2132" s="22"/>
      <c r="M2132" s="22"/>
      <c r="N2132" s="23"/>
      <c r="O2132" s="22"/>
      <c r="P2132" s="22"/>
      <c r="Q2132" s="22"/>
      <c r="R2132" s="22"/>
    </row>
    <row r="2133" spans="1:18" ht="14.4">
      <c r="A2133" s="9"/>
      <c r="B2133" s="13" t="s">
        <v>3019</v>
      </c>
      <c r="C2133" s="13" t="s">
        <v>3223</v>
      </c>
      <c r="D2133" s="14"/>
      <c r="E2133" s="14"/>
      <c r="F2133" s="18"/>
      <c r="G2133" s="19"/>
      <c r="H2133" s="15"/>
      <c r="I2133" s="25"/>
      <c r="J2133" s="24"/>
      <c r="K2133" s="22"/>
      <c r="L2133" s="22"/>
      <c r="M2133" s="22"/>
      <c r="N2133" s="23"/>
      <c r="O2133" s="22"/>
      <c r="P2133" s="22"/>
      <c r="Q2133" s="22"/>
      <c r="R2133" s="22"/>
    </row>
    <row r="2134" spans="1:18" s="2" customFormat="1" ht="26.4">
      <c r="A2134" s="20">
        <f>A2131+1</f>
        <v>1965</v>
      </c>
      <c r="B2134" s="30" t="s">
        <v>3224</v>
      </c>
      <c r="C2134" s="30" t="s">
        <v>3225</v>
      </c>
      <c r="D2134" s="20" t="s">
        <v>5</v>
      </c>
      <c r="E2134" s="20" t="s">
        <v>6</v>
      </c>
      <c r="F2134" s="18">
        <v>1</v>
      </c>
      <c r="G2134" s="19">
        <f>75000</f>
        <v>75000</v>
      </c>
      <c r="H2134" s="32">
        <v>1</v>
      </c>
      <c r="I2134" s="25">
        <f t="shared" si="128"/>
        <v>75000</v>
      </c>
      <c r="J2134" s="40"/>
      <c r="K2134" s="39"/>
      <c r="L2134" s="39"/>
      <c r="M2134" s="39"/>
      <c r="N2134" s="23"/>
      <c r="O2134" s="39"/>
      <c r="P2134" s="39"/>
      <c r="Q2134" s="39"/>
      <c r="R2134" s="39"/>
    </row>
    <row r="2135" spans="1:18" ht="26.4">
      <c r="A2135" s="9" t="s">
        <v>61</v>
      </c>
      <c r="B2135" s="13" t="s">
        <v>3226</v>
      </c>
      <c r="C2135" s="13" t="s">
        <v>3227</v>
      </c>
      <c r="D2135" s="14"/>
      <c r="E2135" s="14"/>
      <c r="F2135" s="18"/>
      <c r="G2135" s="19"/>
      <c r="H2135" s="15"/>
      <c r="I2135" s="25"/>
      <c r="J2135" s="24"/>
      <c r="K2135" s="22"/>
      <c r="L2135" s="22"/>
      <c r="M2135" s="22"/>
      <c r="N2135" s="23"/>
      <c r="O2135" s="22"/>
      <c r="P2135" s="22"/>
      <c r="Q2135" s="22"/>
      <c r="R2135" s="22"/>
    </row>
    <row r="2136" spans="1:18" s="2" customFormat="1" ht="26.4">
      <c r="A2136" s="20">
        <f>A2134+1</f>
        <v>1966</v>
      </c>
      <c r="B2136" s="30" t="s">
        <v>3228</v>
      </c>
      <c r="C2136" s="30" t="s">
        <v>3229</v>
      </c>
      <c r="D2136" s="20" t="s">
        <v>5</v>
      </c>
      <c r="E2136" s="20" t="s">
        <v>6</v>
      </c>
      <c r="F2136" s="18">
        <v>1</v>
      </c>
      <c r="G2136" s="19">
        <f>1294090.83*1.15</f>
        <v>1488204.4545</v>
      </c>
      <c r="H2136" s="32">
        <v>1</v>
      </c>
      <c r="I2136" s="25">
        <f t="shared" si="128"/>
        <v>1488204.4545</v>
      </c>
      <c r="J2136" s="40"/>
      <c r="K2136" s="39"/>
      <c r="L2136" s="39"/>
      <c r="M2136" s="39"/>
      <c r="N2136" s="23"/>
      <c r="O2136" s="39"/>
      <c r="P2136" s="39"/>
      <c r="Q2136" s="39"/>
      <c r="R2136" s="39"/>
    </row>
    <row r="2137" spans="1:18" ht="26.4">
      <c r="A2137" s="9" t="s">
        <v>61</v>
      </c>
      <c r="B2137" s="13" t="s">
        <v>3230</v>
      </c>
      <c r="C2137" s="13" t="s">
        <v>3231</v>
      </c>
      <c r="D2137" s="14"/>
      <c r="E2137" s="14"/>
      <c r="F2137" s="18"/>
      <c r="G2137" s="19"/>
      <c r="H2137" s="15"/>
      <c r="I2137" s="25"/>
      <c r="J2137" s="24"/>
      <c r="K2137" s="22"/>
      <c r="L2137" s="22"/>
      <c r="M2137" s="22"/>
      <c r="N2137" s="23"/>
      <c r="O2137" s="22"/>
      <c r="P2137" s="22"/>
      <c r="Q2137" s="22"/>
      <c r="R2137" s="22"/>
    </row>
    <row r="2138" spans="1:18" ht="14.4">
      <c r="A2138" s="9"/>
      <c r="B2138" s="13" t="s">
        <v>2156</v>
      </c>
      <c r="C2138" s="13" t="s">
        <v>2157</v>
      </c>
      <c r="D2138" s="14"/>
      <c r="E2138" s="14"/>
      <c r="F2138" s="18"/>
      <c r="G2138" s="19"/>
      <c r="H2138" s="15"/>
      <c r="I2138" s="25"/>
      <c r="J2138" s="24"/>
      <c r="K2138" s="22"/>
      <c r="L2138" s="22"/>
      <c r="M2138" s="22"/>
      <c r="N2138" s="23"/>
      <c r="O2138" s="22"/>
      <c r="P2138" s="22"/>
      <c r="Q2138" s="22"/>
      <c r="R2138" s="22"/>
    </row>
    <row r="2139" spans="1:18" s="2" customFormat="1" ht="26.4">
      <c r="A2139" s="20">
        <f>A2136+1</f>
        <v>1967</v>
      </c>
      <c r="B2139" s="30" t="s">
        <v>3232</v>
      </c>
      <c r="C2139" s="83" t="s">
        <v>3233</v>
      </c>
      <c r="D2139" s="9" t="s">
        <v>2196</v>
      </c>
      <c r="E2139" s="20" t="s">
        <v>3234</v>
      </c>
      <c r="F2139" s="18">
        <v>1</v>
      </c>
      <c r="G2139" s="19">
        <f>1.633198857*24694.3</f>
        <v>40330.702534415097</v>
      </c>
      <c r="H2139" s="32">
        <v>0.4</v>
      </c>
      <c r="I2139" s="25">
        <f t="shared" si="128"/>
        <v>16132.28101376604</v>
      </c>
      <c r="J2139" s="40"/>
      <c r="K2139" s="39"/>
      <c r="L2139" s="39"/>
      <c r="M2139" s="39"/>
      <c r="N2139" s="23"/>
      <c r="O2139" s="39"/>
      <c r="P2139" s="39"/>
      <c r="Q2139" s="39"/>
      <c r="R2139" s="39"/>
    </row>
    <row r="2140" spans="1:18" ht="14.4">
      <c r="A2140" s="9"/>
      <c r="B2140" s="13" t="s">
        <v>3235</v>
      </c>
      <c r="C2140" s="13" t="s">
        <v>3236</v>
      </c>
      <c r="D2140" s="14"/>
      <c r="E2140" s="13"/>
      <c r="F2140" s="18"/>
      <c r="G2140" s="19"/>
      <c r="H2140" s="84"/>
      <c r="I2140" s="25"/>
      <c r="J2140" s="24"/>
      <c r="K2140" s="22"/>
      <c r="L2140" s="22"/>
      <c r="M2140" s="22"/>
      <c r="N2140" s="23"/>
      <c r="O2140" s="22"/>
      <c r="P2140" s="22"/>
      <c r="Q2140" s="22"/>
      <c r="R2140" s="22"/>
    </row>
    <row r="2141" spans="1:18" s="2" customFormat="1" ht="14.4">
      <c r="A2141" s="20">
        <f>A2139+1</f>
        <v>1968</v>
      </c>
      <c r="B2141" s="30" t="s">
        <v>3237</v>
      </c>
      <c r="C2141" s="30" t="s">
        <v>3238</v>
      </c>
      <c r="D2141" s="20" t="s">
        <v>2160</v>
      </c>
      <c r="E2141" s="20" t="s">
        <v>3239</v>
      </c>
      <c r="F2141" s="18">
        <v>1</v>
      </c>
      <c r="G2141" s="19">
        <f>1.633198857*767.07</f>
        <v>1252.77784723899</v>
      </c>
      <c r="H2141" s="32">
        <v>7.6999999999999999E-2</v>
      </c>
      <c r="I2141" s="25">
        <f t="shared" si="128"/>
        <v>96.463894237402229</v>
      </c>
      <c r="J2141" s="40"/>
      <c r="K2141" s="39"/>
      <c r="L2141" s="39"/>
      <c r="M2141" s="39"/>
      <c r="N2141" s="23"/>
      <c r="O2141" s="39"/>
      <c r="P2141" s="39"/>
      <c r="Q2141" s="39"/>
      <c r="R2141" s="39"/>
    </row>
    <row r="2142" spans="1:18" s="2" customFormat="1" ht="26.4">
      <c r="A2142" s="20">
        <f>A2141+1</f>
        <v>1969</v>
      </c>
      <c r="B2142" s="30" t="s">
        <v>3240</v>
      </c>
      <c r="C2142" s="30" t="s">
        <v>3241</v>
      </c>
      <c r="D2142" s="20" t="s">
        <v>17</v>
      </c>
      <c r="E2142" s="20" t="s">
        <v>43</v>
      </c>
      <c r="F2142" s="18">
        <v>1</v>
      </c>
      <c r="G2142" s="19">
        <f>1.633198857*4202.65</f>
        <v>6863.7631763710497</v>
      </c>
      <c r="H2142" s="32">
        <v>2.2999999999999998</v>
      </c>
      <c r="I2142" s="25">
        <f t="shared" si="128"/>
        <v>15786.655305653412</v>
      </c>
      <c r="J2142" s="40"/>
      <c r="K2142" s="39"/>
      <c r="L2142" s="39"/>
      <c r="M2142" s="39"/>
      <c r="N2142" s="23"/>
      <c r="O2142" s="39"/>
      <c r="P2142" s="39"/>
      <c r="Q2142" s="39"/>
      <c r="R2142" s="39"/>
    </row>
    <row r="2143" spans="1:18" s="2" customFormat="1" ht="14.4">
      <c r="A2143" s="20">
        <f t="shared" ref="A2143:A2150" si="129">A2142+1</f>
        <v>1970</v>
      </c>
      <c r="B2143" s="30" t="s">
        <v>182</v>
      </c>
      <c r="C2143" s="30" t="s">
        <v>183</v>
      </c>
      <c r="D2143" s="9" t="s">
        <v>2160</v>
      </c>
      <c r="E2143" s="20" t="s">
        <v>2161</v>
      </c>
      <c r="F2143" s="18">
        <v>1</v>
      </c>
      <c r="G2143" s="19">
        <f>1.633198857*26556.47</f>
        <v>43371.996449954793</v>
      </c>
      <c r="H2143" s="32">
        <v>6.0000000000000001E-3</v>
      </c>
      <c r="I2143" s="25">
        <f t="shared" si="128"/>
        <v>260.23197869972876</v>
      </c>
      <c r="J2143" s="40"/>
      <c r="K2143" s="39"/>
      <c r="L2143" s="39"/>
      <c r="M2143" s="39"/>
      <c r="N2143" s="23"/>
      <c r="O2143" s="39"/>
      <c r="P2143" s="39"/>
      <c r="Q2143" s="39"/>
      <c r="R2143" s="39"/>
    </row>
    <row r="2144" spans="1:18" s="2" customFormat="1" ht="26.4">
      <c r="A2144" s="20">
        <f t="shared" si="129"/>
        <v>1971</v>
      </c>
      <c r="B2144" s="30" t="s">
        <v>3242</v>
      </c>
      <c r="C2144" s="30" t="s">
        <v>3243</v>
      </c>
      <c r="D2144" s="20" t="s">
        <v>17</v>
      </c>
      <c r="E2144" s="20" t="s">
        <v>43</v>
      </c>
      <c r="F2144" s="18">
        <v>1</v>
      </c>
      <c r="G2144" s="19">
        <f>1361.7</f>
        <v>1361.7</v>
      </c>
      <c r="H2144" s="32">
        <v>0.61199999999999999</v>
      </c>
      <c r="I2144" s="25">
        <f t="shared" si="128"/>
        <v>833.36040000000003</v>
      </c>
      <c r="J2144" s="40"/>
      <c r="K2144" s="39"/>
      <c r="L2144" s="39"/>
      <c r="M2144" s="39"/>
      <c r="N2144" s="23"/>
      <c r="O2144" s="39"/>
      <c r="P2144" s="39"/>
      <c r="Q2144" s="39"/>
      <c r="R2144" s="39"/>
    </row>
    <row r="2145" spans="1:18" s="2" customFormat="1" ht="26.4">
      <c r="A2145" s="20">
        <f t="shared" si="129"/>
        <v>1972</v>
      </c>
      <c r="B2145" s="30" t="s">
        <v>3244</v>
      </c>
      <c r="C2145" s="30" t="s">
        <v>3245</v>
      </c>
      <c r="D2145" s="9" t="s">
        <v>2160</v>
      </c>
      <c r="E2145" s="20" t="s">
        <v>2161</v>
      </c>
      <c r="F2145" s="18">
        <v>1</v>
      </c>
      <c r="G2145" s="19">
        <f>1.633198857*63130.5</f>
        <v>103104.6604418385</v>
      </c>
      <c r="H2145" s="32">
        <v>7.0999999999999994E-2</v>
      </c>
      <c r="I2145" s="25">
        <f t="shared" si="128"/>
        <v>7320.4308913705327</v>
      </c>
      <c r="J2145" s="40"/>
      <c r="K2145" s="39"/>
      <c r="L2145" s="39"/>
      <c r="M2145" s="39"/>
      <c r="N2145" s="23"/>
      <c r="O2145" s="39"/>
      <c r="P2145" s="39"/>
      <c r="Q2145" s="39"/>
      <c r="R2145" s="39"/>
    </row>
    <row r="2146" spans="1:18" s="2" customFormat="1" ht="26.4">
      <c r="A2146" s="20">
        <f t="shared" si="129"/>
        <v>1973</v>
      </c>
      <c r="B2146" s="30" t="s">
        <v>3246</v>
      </c>
      <c r="C2146" s="30" t="s">
        <v>3247</v>
      </c>
      <c r="D2146" s="20" t="s">
        <v>17</v>
      </c>
      <c r="E2146" s="20" t="s">
        <v>43</v>
      </c>
      <c r="F2146" s="18">
        <v>1</v>
      </c>
      <c r="G2146" s="19">
        <f>2958</f>
        <v>2958</v>
      </c>
      <c r="H2146" s="32">
        <v>7.2065000000000001</v>
      </c>
      <c r="I2146" s="25">
        <f t="shared" si="128"/>
        <v>21316.827000000001</v>
      </c>
      <c r="J2146" s="40"/>
      <c r="K2146" s="39"/>
      <c r="L2146" s="39"/>
      <c r="M2146" s="39"/>
      <c r="N2146" s="23"/>
      <c r="O2146" s="39"/>
      <c r="P2146" s="39"/>
      <c r="Q2146" s="39"/>
      <c r="R2146" s="39"/>
    </row>
    <row r="2147" spans="1:18" s="2" customFormat="1" ht="39.6">
      <c r="A2147" s="20">
        <f t="shared" si="129"/>
        <v>1974</v>
      </c>
      <c r="B2147" s="30" t="s">
        <v>3248</v>
      </c>
      <c r="C2147" s="30" t="s">
        <v>3249</v>
      </c>
      <c r="D2147" s="9" t="s">
        <v>56</v>
      </c>
      <c r="E2147" s="20" t="s">
        <v>42</v>
      </c>
      <c r="F2147" s="18">
        <v>1</v>
      </c>
      <c r="G2147" s="19">
        <f>30969.88</f>
        <v>30969.88</v>
      </c>
      <c r="H2147" s="32">
        <v>0.12876480000000001</v>
      </c>
      <c r="I2147" s="25">
        <f t="shared" si="128"/>
        <v>3987.8304042240006</v>
      </c>
      <c r="J2147" s="40"/>
      <c r="K2147" s="39"/>
      <c r="L2147" s="39"/>
      <c r="M2147" s="39"/>
      <c r="N2147" s="23"/>
      <c r="O2147" s="39"/>
      <c r="P2147" s="39"/>
      <c r="Q2147" s="39"/>
      <c r="R2147" s="39"/>
    </row>
    <row r="2148" spans="1:18" s="2" customFormat="1" ht="39.6">
      <c r="A2148" s="20">
        <f t="shared" si="129"/>
        <v>1975</v>
      </c>
      <c r="B2148" s="30" t="s">
        <v>3250</v>
      </c>
      <c r="C2148" s="30" t="s">
        <v>3251</v>
      </c>
      <c r="D2148" s="9" t="s">
        <v>56</v>
      </c>
      <c r="E2148" s="20" t="s">
        <v>42</v>
      </c>
      <c r="F2148" s="18">
        <v>1</v>
      </c>
      <c r="G2148" s="19">
        <f>30969.88</f>
        <v>30969.88</v>
      </c>
      <c r="H2148" s="32">
        <v>0.39004800000000001</v>
      </c>
      <c r="I2148" s="25">
        <f t="shared" si="128"/>
        <v>12079.739754240001</v>
      </c>
      <c r="J2148" s="40"/>
      <c r="K2148" s="39"/>
      <c r="L2148" s="39"/>
      <c r="M2148" s="39"/>
      <c r="N2148" s="23"/>
      <c r="O2148" s="39"/>
      <c r="P2148" s="39"/>
      <c r="Q2148" s="39"/>
      <c r="R2148" s="39"/>
    </row>
    <row r="2149" spans="1:18" s="2" customFormat="1" ht="26.4">
      <c r="A2149" s="20">
        <f t="shared" si="129"/>
        <v>1976</v>
      </c>
      <c r="B2149" s="30" t="s">
        <v>3252</v>
      </c>
      <c r="C2149" s="30" t="s">
        <v>3253</v>
      </c>
      <c r="D2149" s="9" t="s">
        <v>56</v>
      </c>
      <c r="E2149" s="20" t="s">
        <v>42</v>
      </c>
      <c r="F2149" s="18">
        <v>1</v>
      </c>
      <c r="G2149" s="19">
        <f>30969.88</f>
        <v>30969.88</v>
      </c>
      <c r="H2149" s="32">
        <v>2.3255999999999999E-2</v>
      </c>
      <c r="I2149" s="25">
        <f t="shared" si="128"/>
        <v>720.23552928000004</v>
      </c>
      <c r="J2149" s="40"/>
      <c r="K2149" s="39"/>
      <c r="L2149" s="39"/>
      <c r="M2149" s="39"/>
      <c r="N2149" s="23"/>
      <c r="O2149" s="39"/>
      <c r="P2149" s="39"/>
      <c r="Q2149" s="39"/>
      <c r="R2149" s="39"/>
    </row>
    <row r="2150" spans="1:18" s="2" customFormat="1" ht="14.4">
      <c r="A2150" s="20">
        <f t="shared" si="129"/>
        <v>1977</v>
      </c>
      <c r="B2150" s="30" t="s">
        <v>3254</v>
      </c>
      <c r="C2150" s="30" t="s">
        <v>3255</v>
      </c>
      <c r="D2150" s="20" t="s">
        <v>2160</v>
      </c>
      <c r="E2150" s="20" t="s">
        <v>3239</v>
      </c>
      <c r="F2150" s="18">
        <v>1</v>
      </c>
      <c r="G2150" s="19">
        <f>1.633198857*5537.46</f>
        <v>9043.7733426832201</v>
      </c>
      <c r="H2150" s="32">
        <v>0.34</v>
      </c>
      <c r="I2150" s="25">
        <f t="shared" si="128"/>
        <v>3074.8829365122951</v>
      </c>
      <c r="J2150" s="40"/>
      <c r="K2150" s="39"/>
      <c r="L2150" s="39"/>
      <c r="M2150" s="39"/>
      <c r="N2150" s="23"/>
      <c r="O2150" s="39"/>
      <c r="P2150" s="39"/>
      <c r="Q2150" s="39"/>
      <c r="R2150" s="39"/>
    </row>
    <row r="2151" spans="1:18" ht="14.4">
      <c r="A2151" s="9"/>
      <c r="B2151" s="13" t="s">
        <v>3256</v>
      </c>
      <c r="C2151" s="13" t="s">
        <v>3257</v>
      </c>
      <c r="D2151" s="14"/>
      <c r="E2151" s="14"/>
      <c r="F2151" s="18"/>
      <c r="G2151" s="19"/>
      <c r="H2151" s="15"/>
      <c r="I2151" s="25"/>
      <c r="J2151" s="24"/>
      <c r="K2151" s="22"/>
      <c r="L2151" s="22"/>
      <c r="M2151" s="22"/>
      <c r="N2151" s="23"/>
      <c r="O2151" s="22"/>
      <c r="P2151" s="22"/>
      <c r="Q2151" s="22"/>
      <c r="R2151" s="22"/>
    </row>
    <row r="2152" spans="1:18" s="2" customFormat="1" ht="52.8">
      <c r="A2152" s="20">
        <f>A2150+1</f>
        <v>1978</v>
      </c>
      <c r="B2152" s="30" t="s">
        <v>3258</v>
      </c>
      <c r="C2152" s="30" t="s">
        <v>3259</v>
      </c>
      <c r="D2152" s="20" t="s">
        <v>3260</v>
      </c>
      <c r="E2152" s="20" t="s">
        <v>3261</v>
      </c>
      <c r="F2152" s="18">
        <v>1</v>
      </c>
      <c r="G2152" s="19">
        <f>1.633198857*327775.21*1.15</f>
        <v>615620.41307367512</v>
      </c>
      <c r="H2152" s="32">
        <v>1</v>
      </c>
      <c r="I2152" s="25">
        <f t="shared" si="128"/>
        <v>615620.41307367512</v>
      </c>
      <c r="J2152" s="40"/>
      <c r="K2152" s="39"/>
      <c r="L2152" s="39"/>
      <c r="M2152" s="39"/>
      <c r="N2152" s="23"/>
      <c r="O2152" s="39"/>
      <c r="P2152" s="39"/>
      <c r="Q2152" s="39"/>
      <c r="R2152" s="39"/>
    </row>
    <row r="2153" spans="1:18" s="2" customFormat="1" ht="66">
      <c r="A2153" s="20">
        <f>A2152+1</f>
        <v>1979</v>
      </c>
      <c r="B2153" s="30" t="s">
        <v>3262</v>
      </c>
      <c r="C2153" s="81" t="s">
        <v>3263</v>
      </c>
      <c r="D2153" s="20" t="s">
        <v>3264</v>
      </c>
      <c r="E2153" s="20" t="s">
        <v>3265</v>
      </c>
      <c r="F2153" s="18">
        <v>1</v>
      </c>
      <c r="G2153" s="19">
        <f>1.633198857*12441.51</f>
        <v>20319.459911354072</v>
      </c>
      <c r="H2153" s="32">
        <v>-9</v>
      </c>
      <c r="I2153" s="25">
        <f t="shared" si="128"/>
        <v>-182875.13920218663</v>
      </c>
      <c r="J2153" s="40"/>
      <c r="K2153" s="39"/>
      <c r="L2153" s="39"/>
      <c r="M2153" s="39"/>
      <c r="N2153" s="23"/>
      <c r="O2153" s="39"/>
      <c r="P2153" s="39"/>
      <c r="Q2153" s="39"/>
      <c r="R2153" s="39"/>
    </row>
    <row r="2154" spans="1:18" s="2" customFormat="1" ht="79.2">
      <c r="A2154" s="20">
        <f>A2153+1</f>
        <v>1980</v>
      </c>
      <c r="B2154" s="30" t="s">
        <v>3266</v>
      </c>
      <c r="C2154" s="30" t="s">
        <v>3267</v>
      </c>
      <c r="D2154" s="9" t="s">
        <v>25</v>
      </c>
      <c r="E2154" s="20" t="s">
        <v>26</v>
      </c>
      <c r="F2154" s="18">
        <v>1</v>
      </c>
      <c r="G2154" s="19">
        <f>1.633198857*3129.34</f>
        <v>5110.8345111643803</v>
      </c>
      <c r="H2154" s="32">
        <v>-36</v>
      </c>
      <c r="I2154" s="25">
        <f t="shared" si="128"/>
        <v>-183990.04240191769</v>
      </c>
      <c r="J2154" s="40"/>
      <c r="K2154" s="39"/>
      <c r="L2154" s="39"/>
      <c r="M2154" s="39"/>
      <c r="N2154" s="23"/>
      <c r="O2154" s="39"/>
      <c r="P2154" s="39"/>
      <c r="Q2154" s="39"/>
      <c r="R2154" s="39"/>
    </row>
    <row r="2155" spans="1:18" ht="26.4">
      <c r="A2155" s="9" t="s">
        <v>61</v>
      </c>
      <c r="B2155" s="13" t="s">
        <v>3268</v>
      </c>
      <c r="C2155" s="13" t="s">
        <v>3269</v>
      </c>
      <c r="D2155" s="14"/>
      <c r="E2155" s="14"/>
      <c r="F2155" s="18"/>
      <c r="G2155" s="19"/>
      <c r="H2155" s="15"/>
      <c r="I2155" s="25"/>
      <c r="J2155" s="24"/>
      <c r="K2155" s="22"/>
      <c r="L2155" s="22"/>
      <c r="M2155" s="22"/>
      <c r="N2155" s="23"/>
      <c r="O2155" s="22"/>
      <c r="P2155" s="22"/>
      <c r="Q2155" s="22"/>
      <c r="R2155" s="22"/>
    </row>
    <row r="2156" spans="1:18" s="2" customFormat="1" ht="39.6">
      <c r="A2156" s="20">
        <f>A2154+1</f>
        <v>1981</v>
      </c>
      <c r="B2156" s="30" t="s">
        <v>3270</v>
      </c>
      <c r="C2156" s="30" t="s">
        <v>3271</v>
      </c>
      <c r="D2156" s="20" t="s">
        <v>5</v>
      </c>
      <c r="E2156" s="20" t="s">
        <v>6</v>
      </c>
      <c r="F2156" s="18">
        <v>1</v>
      </c>
      <c r="G2156" s="19">
        <f>448650</f>
        <v>448650</v>
      </c>
      <c r="H2156" s="32">
        <v>1</v>
      </c>
      <c r="I2156" s="25">
        <f t="shared" si="128"/>
        <v>448650</v>
      </c>
      <c r="J2156" s="40"/>
      <c r="K2156" s="39"/>
      <c r="L2156" s="39"/>
      <c r="M2156" s="39"/>
      <c r="N2156" s="23"/>
      <c r="O2156" s="39"/>
      <c r="P2156" s="39"/>
      <c r="Q2156" s="39"/>
      <c r="R2156" s="39"/>
    </row>
    <row r="2157" spans="1:18" s="2" customFormat="1" ht="158.4">
      <c r="A2157" s="20">
        <f>A2156+1</f>
        <v>1982</v>
      </c>
      <c r="B2157" s="30" t="s">
        <v>3272</v>
      </c>
      <c r="C2157" s="30" t="s">
        <v>3273</v>
      </c>
      <c r="D2157" s="20" t="s">
        <v>5</v>
      </c>
      <c r="E2157" s="20" t="s">
        <v>6</v>
      </c>
      <c r="F2157" s="18">
        <v>1</v>
      </c>
      <c r="G2157" s="19">
        <f>720650*1.15</f>
        <v>828747.49999999988</v>
      </c>
      <c r="H2157" s="32">
        <v>1</v>
      </c>
      <c r="I2157" s="25">
        <f t="shared" si="128"/>
        <v>828747.49999999988</v>
      </c>
      <c r="J2157" s="40"/>
      <c r="K2157" s="39"/>
      <c r="L2157" s="39"/>
      <c r="M2157" s="39"/>
      <c r="N2157" s="23"/>
      <c r="O2157" s="39"/>
      <c r="P2157" s="39"/>
      <c r="Q2157" s="39"/>
      <c r="R2157" s="39"/>
    </row>
    <row r="2158" spans="1:18" s="2" customFormat="1" ht="39.6">
      <c r="A2158" s="20">
        <f t="shared" ref="A2158:A2196" si="130">A2157+1</f>
        <v>1983</v>
      </c>
      <c r="B2158" s="30" t="s">
        <v>3274</v>
      </c>
      <c r="C2158" s="30" t="s">
        <v>3275</v>
      </c>
      <c r="D2158" s="20" t="s">
        <v>5</v>
      </c>
      <c r="E2158" s="20" t="s">
        <v>6</v>
      </c>
      <c r="F2158" s="18">
        <v>1</v>
      </c>
      <c r="G2158" s="19">
        <f>10400</f>
        <v>10400</v>
      </c>
      <c r="H2158" s="32">
        <v>1</v>
      </c>
      <c r="I2158" s="25">
        <f t="shared" si="128"/>
        <v>10400</v>
      </c>
      <c r="J2158" s="40"/>
      <c r="K2158" s="39"/>
      <c r="L2158" s="39"/>
      <c r="M2158" s="39"/>
      <c r="N2158" s="23"/>
      <c r="O2158" s="39"/>
      <c r="P2158" s="39"/>
      <c r="Q2158" s="39"/>
      <c r="R2158" s="39"/>
    </row>
    <row r="2159" spans="1:18" s="2" customFormat="1" ht="26.4">
      <c r="A2159" s="20">
        <f t="shared" si="130"/>
        <v>1984</v>
      </c>
      <c r="B2159" s="30" t="s">
        <v>3276</v>
      </c>
      <c r="C2159" s="30" t="s">
        <v>3277</v>
      </c>
      <c r="D2159" s="20" t="s">
        <v>5</v>
      </c>
      <c r="E2159" s="20" t="s">
        <v>6</v>
      </c>
      <c r="F2159" s="18">
        <v>1</v>
      </c>
      <c r="G2159" s="19">
        <f>96750</f>
        <v>96750</v>
      </c>
      <c r="H2159" s="32">
        <v>1</v>
      </c>
      <c r="I2159" s="25">
        <f t="shared" si="128"/>
        <v>96750</v>
      </c>
      <c r="J2159" s="40"/>
      <c r="K2159" s="39"/>
      <c r="L2159" s="39"/>
      <c r="M2159" s="39"/>
      <c r="N2159" s="23"/>
      <c r="O2159" s="39"/>
      <c r="P2159" s="39"/>
      <c r="Q2159" s="39"/>
      <c r="R2159" s="39"/>
    </row>
    <row r="2160" spans="1:18" s="2" customFormat="1" ht="14.4">
      <c r="A2160" s="20">
        <f t="shared" si="130"/>
        <v>1985</v>
      </c>
      <c r="B2160" s="30" t="s">
        <v>3278</v>
      </c>
      <c r="C2160" s="30" t="s">
        <v>3279</v>
      </c>
      <c r="D2160" s="20" t="s">
        <v>5</v>
      </c>
      <c r="E2160" s="20" t="s">
        <v>6</v>
      </c>
      <c r="F2160" s="18">
        <v>1</v>
      </c>
      <c r="G2160" s="19">
        <f>10450</f>
        <v>10450</v>
      </c>
      <c r="H2160" s="32">
        <v>1</v>
      </c>
      <c r="I2160" s="25">
        <f t="shared" si="128"/>
        <v>10450</v>
      </c>
      <c r="J2160" s="40"/>
      <c r="K2160" s="39"/>
      <c r="L2160" s="39"/>
      <c r="M2160" s="39"/>
      <c r="N2160" s="23"/>
      <c r="O2160" s="39"/>
      <c r="P2160" s="39"/>
      <c r="Q2160" s="39"/>
      <c r="R2160" s="39"/>
    </row>
    <row r="2161" spans="1:18" s="2" customFormat="1" ht="26.4">
      <c r="A2161" s="20">
        <f t="shared" si="130"/>
        <v>1986</v>
      </c>
      <c r="B2161" s="30" t="s">
        <v>3280</v>
      </c>
      <c r="C2161" s="30" t="s">
        <v>3281</v>
      </c>
      <c r="D2161" s="20" t="s">
        <v>5</v>
      </c>
      <c r="E2161" s="20" t="s">
        <v>6</v>
      </c>
      <c r="F2161" s="18">
        <v>1</v>
      </c>
      <c r="G2161" s="19">
        <f>79350</f>
        <v>79350</v>
      </c>
      <c r="H2161" s="32">
        <v>1</v>
      </c>
      <c r="I2161" s="25">
        <f t="shared" si="128"/>
        <v>79350</v>
      </c>
      <c r="J2161" s="40"/>
      <c r="K2161" s="39"/>
      <c r="L2161" s="39"/>
      <c r="M2161" s="39"/>
      <c r="N2161" s="23"/>
      <c r="O2161" s="39"/>
      <c r="P2161" s="39"/>
      <c r="Q2161" s="39"/>
      <c r="R2161" s="39"/>
    </row>
    <row r="2162" spans="1:18" s="2" customFormat="1" ht="14.4">
      <c r="A2162" s="20">
        <f t="shared" si="130"/>
        <v>1987</v>
      </c>
      <c r="B2162" s="30" t="s">
        <v>3282</v>
      </c>
      <c r="C2162" s="30" t="s">
        <v>3283</v>
      </c>
      <c r="D2162" s="20" t="s">
        <v>5</v>
      </c>
      <c r="E2162" s="20" t="s">
        <v>6</v>
      </c>
      <c r="F2162" s="18">
        <v>1</v>
      </c>
      <c r="G2162" s="19">
        <f>94600</f>
        <v>94600</v>
      </c>
      <c r="H2162" s="32">
        <v>1</v>
      </c>
      <c r="I2162" s="25">
        <f t="shared" si="128"/>
        <v>94600</v>
      </c>
      <c r="J2162" s="40"/>
      <c r="K2162" s="39"/>
      <c r="L2162" s="39"/>
      <c r="M2162" s="39"/>
      <c r="N2162" s="23"/>
      <c r="O2162" s="39"/>
      <c r="P2162" s="39"/>
      <c r="Q2162" s="39"/>
      <c r="R2162" s="39"/>
    </row>
    <row r="2163" spans="1:18" s="2" customFormat="1" ht="26.4">
      <c r="A2163" s="20">
        <f t="shared" si="130"/>
        <v>1988</v>
      </c>
      <c r="B2163" s="30" t="s">
        <v>3284</v>
      </c>
      <c r="C2163" s="30" t="s">
        <v>3285</v>
      </c>
      <c r="D2163" s="20" t="s">
        <v>5</v>
      </c>
      <c r="E2163" s="20" t="s">
        <v>6</v>
      </c>
      <c r="F2163" s="18">
        <v>1</v>
      </c>
      <c r="G2163" s="19">
        <f>114000</f>
        <v>114000</v>
      </c>
      <c r="H2163" s="32">
        <v>1</v>
      </c>
      <c r="I2163" s="25">
        <f t="shared" si="128"/>
        <v>114000</v>
      </c>
      <c r="J2163" s="40"/>
      <c r="K2163" s="39"/>
      <c r="L2163" s="39"/>
      <c r="M2163" s="39"/>
      <c r="N2163" s="23"/>
      <c r="O2163" s="39"/>
      <c r="P2163" s="39"/>
      <c r="Q2163" s="39"/>
      <c r="R2163" s="39"/>
    </row>
    <row r="2164" spans="1:18" s="2" customFormat="1" ht="26.4">
      <c r="A2164" s="20">
        <f t="shared" si="130"/>
        <v>1989</v>
      </c>
      <c r="B2164" s="30" t="s">
        <v>3286</v>
      </c>
      <c r="C2164" s="30" t="s">
        <v>3287</v>
      </c>
      <c r="D2164" s="20" t="s">
        <v>5</v>
      </c>
      <c r="E2164" s="20" t="s">
        <v>6</v>
      </c>
      <c r="F2164" s="18">
        <v>1</v>
      </c>
      <c r="G2164" s="19">
        <f>201750</f>
        <v>201750</v>
      </c>
      <c r="H2164" s="32">
        <v>1</v>
      </c>
      <c r="I2164" s="25">
        <f t="shared" si="128"/>
        <v>201750</v>
      </c>
      <c r="J2164" s="40"/>
      <c r="K2164" s="39"/>
      <c r="L2164" s="39"/>
      <c r="M2164" s="39"/>
      <c r="N2164" s="23"/>
      <c r="O2164" s="39"/>
      <c r="P2164" s="39"/>
      <c r="Q2164" s="39"/>
      <c r="R2164" s="39"/>
    </row>
    <row r="2165" spans="1:18" s="2" customFormat="1" ht="66">
      <c r="A2165" s="20">
        <f t="shared" si="130"/>
        <v>1990</v>
      </c>
      <c r="B2165" s="30" t="s">
        <v>3288</v>
      </c>
      <c r="C2165" s="30" t="s">
        <v>3289</v>
      </c>
      <c r="D2165" s="20" t="s">
        <v>5</v>
      </c>
      <c r="E2165" s="20" t="s">
        <v>6</v>
      </c>
      <c r="F2165" s="18">
        <v>1</v>
      </c>
      <c r="G2165" s="19">
        <f>16400</f>
        <v>16400</v>
      </c>
      <c r="H2165" s="32">
        <v>1</v>
      </c>
      <c r="I2165" s="25">
        <f t="shared" si="128"/>
        <v>16400</v>
      </c>
      <c r="J2165" s="40"/>
      <c r="K2165" s="39"/>
      <c r="L2165" s="39"/>
      <c r="M2165" s="39"/>
      <c r="N2165" s="23"/>
      <c r="O2165" s="39"/>
      <c r="P2165" s="39"/>
      <c r="Q2165" s="39"/>
      <c r="R2165" s="39"/>
    </row>
    <row r="2166" spans="1:18" s="2" customFormat="1" ht="52.8">
      <c r="A2166" s="20">
        <f t="shared" si="130"/>
        <v>1991</v>
      </c>
      <c r="B2166" s="30" t="s">
        <v>3290</v>
      </c>
      <c r="C2166" s="30" t="s">
        <v>3291</v>
      </c>
      <c r="D2166" s="20" t="s">
        <v>5</v>
      </c>
      <c r="E2166" s="20" t="s">
        <v>6</v>
      </c>
      <c r="F2166" s="18">
        <v>1</v>
      </c>
      <c r="G2166" s="19">
        <f>12100</f>
        <v>12100</v>
      </c>
      <c r="H2166" s="32">
        <v>1</v>
      </c>
      <c r="I2166" s="25">
        <f t="shared" si="128"/>
        <v>12100</v>
      </c>
      <c r="J2166" s="40"/>
      <c r="K2166" s="39"/>
      <c r="L2166" s="39"/>
      <c r="M2166" s="39"/>
      <c r="N2166" s="23"/>
      <c r="O2166" s="39"/>
      <c r="P2166" s="39"/>
      <c r="Q2166" s="39"/>
      <c r="R2166" s="39"/>
    </row>
    <row r="2167" spans="1:18" s="2" customFormat="1" ht="26.4">
      <c r="A2167" s="20">
        <f t="shared" si="130"/>
        <v>1992</v>
      </c>
      <c r="B2167" s="30" t="s">
        <v>3292</v>
      </c>
      <c r="C2167" s="30" t="s">
        <v>3293</v>
      </c>
      <c r="D2167" s="20" t="s">
        <v>5</v>
      </c>
      <c r="E2167" s="20" t="s">
        <v>6</v>
      </c>
      <c r="F2167" s="18">
        <v>1</v>
      </c>
      <c r="G2167" s="19">
        <f>38400</f>
        <v>38400</v>
      </c>
      <c r="H2167" s="32">
        <v>1</v>
      </c>
      <c r="I2167" s="25">
        <f t="shared" si="128"/>
        <v>38400</v>
      </c>
      <c r="J2167" s="40"/>
      <c r="K2167" s="39"/>
      <c r="L2167" s="39"/>
      <c r="M2167" s="39"/>
      <c r="N2167" s="23"/>
      <c r="O2167" s="39"/>
      <c r="P2167" s="39"/>
      <c r="Q2167" s="39"/>
      <c r="R2167" s="39"/>
    </row>
    <row r="2168" spans="1:18" s="2" customFormat="1" ht="26.4">
      <c r="A2168" s="20">
        <f t="shared" si="130"/>
        <v>1993</v>
      </c>
      <c r="B2168" s="30" t="s">
        <v>3294</v>
      </c>
      <c r="C2168" s="30" t="s">
        <v>3295</v>
      </c>
      <c r="D2168" s="20" t="s">
        <v>5</v>
      </c>
      <c r="E2168" s="20" t="s">
        <v>6</v>
      </c>
      <c r="F2168" s="18">
        <v>1</v>
      </c>
      <c r="G2168" s="19">
        <f>16250</f>
        <v>16250</v>
      </c>
      <c r="H2168" s="32">
        <v>1</v>
      </c>
      <c r="I2168" s="25">
        <f t="shared" si="128"/>
        <v>16250</v>
      </c>
      <c r="J2168" s="40"/>
      <c r="K2168" s="39"/>
      <c r="L2168" s="39"/>
      <c r="M2168" s="39"/>
      <c r="N2168" s="23"/>
      <c r="O2168" s="39"/>
      <c r="P2168" s="39"/>
      <c r="Q2168" s="39"/>
      <c r="R2168" s="39"/>
    </row>
    <row r="2169" spans="1:18" s="2" customFormat="1" ht="26.4">
      <c r="A2169" s="20">
        <f t="shared" si="130"/>
        <v>1994</v>
      </c>
      <c r="B2169" s="30" t="s">
        <v>3296</v>
      </c>
      <c r="C2169" s="30" t="s">
        <v>3297</v>
      </c>
      <c r="D2169" s="20" t="s">
        <v>5</v>
      </c>
      <c r="E2169" s="20" t="s">
        <v>6</v>
      </c>
      <c r="F2169" s="18">
        <v>1</v>
      </c>
      <c r="G2169" s="19">
        <f>15050</f>
        <v>15050</v>
      </c>
      <c r="H2169" s="32">
        <v>1</v>
      </c>
      <c r="I2169" s="25">
        <f t="shared" si="128"/>
        <v>15050</v>
      </c>
      <c r="J2169" s="40"/>
      <c r="K2169" s="39"/>
      <c r="L2169" s="39"/>
      <c r="M2169" s="39"/>
      <c r="N2169" s="23"/>
      <c r="O2169" s="39"/>
      <c r="P2169" s="39"/>
      <c r="Q2169" s="39"/>
      <c r="R2169" s="39"/>
    </row>
    <row r="2170" spans="1:18" s="2" customFormat="1" ht="14.4">
      <c r="A2170" s="20">
        <f t="shared" si="130"/>
        <v>1995</v>
      </c>
      <c r="B2170" s="30" t="s">
        <v>3298</v>
      </c>
      <c r="C2170" s="30" t="s">
        <v>3299</v>
      </c>
      <c r="D2170" s="20" t="s">
        <v>5</v>
      </c>
      <c r="E2170" s="20" t="s">
        <v>6</v>
      </c>
      <c r="F2170" s="18">
        <v>1</v>
      </c>
      <c r="G2170" s="19">
        <f>9350</f>
        <v>9350</v>
      </c>
      <c r="H2170" s="32">
        <v>1</v>
      </c>
      <c r="I2170" s="25">
        <f t="shared" si="128"/>
        <v>9350</v>
      </c>
      <c r="J2170" s="40"/>
      <c r="K2170" s="39"/>
      <c r="L2170" s="39"/>
      <c r="M2170" s="39"/>
      <c r="N2170" s="23"/>
      <c r="O2170" s="39"/>
      <c r="P2170" s="39"/>
      <c r="Q2170" s="39"/>
      <c r="R2170" s="39"/>
    </row>
    <row r="2171" spans="1:18" s="2" customFormat="1" ht="26.4">
      <c r="A2171" s="20">
        <f t="shared" si="130"/>
        <v>1996</v>
      </c>
      <c r="B2171" s="30" t="s">
        <v>3300</v>
      </c>
      <c r="C2171" s="30" t="s">
        <v>3301</v>
      </c>
      <c r="D2171" s="20" t="s">
        <v>5</v>
      </c>
      <c r="E2171" s="20" t="s">
        <v>6</v>
      </c>
      <c r="F2171" s="18">
        <v>1</v>
      </c>
      <c r="G2171" s="19">
        <f>13200</f>
        <v>13200</v>
      </c>
      <c r="H2171" s="32">
        <v>1</v>
      </c>
      <c r="I2171" s="25">
        <f t="shared" si="128"/>
        <v>13200</v>
      </c>
      <c r="J2171" s="40"/>
      <c r="K2171" s="39"/>
      <c r="L2171" s="39"/>
      <c r="M2171" s="39"/>
      <c r="N2171" s="23"/>
      <c r="O2171" s="39"/>
      <c r="P2171" s="39"/>
      <c r="Q2171" s="39"/>
      <c r="R2171" s="39"/>
    </row>
    <row r="2172" spans="1:18" s="2" customFormat="1" ht="14.4">
      <c r="A2172" s="20">
        <f t="shared" si="130"/>
        <v>1997</v>
      </c>
      <c r="B2172" s="30" t="s">
        <v>3302</v>
      </c>
      <c r="C2172" s="30" t="s">
        <v>3303</v>
      </c>
      <c r="D2172" s="20" t="s">
        <v>5</v>
      </c>
      <c r="E2172" s="20" t="s">
        <v>6</v>
      </c>
      <c r="F2172" s="18">
        <v>1</v>
      </c>
      <c r="G2172" s="19">
        <f>55000</f>
        <v>55000</v>
      </c>
      <c r="H2172" s="32">
        <v>1</v>
      </c>
      <c r="I2172" s="25">
        <f t="shared" si="128"/>
        <v>55000</v>
      </c>
      <c r="J2172" s="40"/>
      <c r="K2172" s="39"/>
      <c r="L2172" s="39"/>
      <c r="M2172" s="39"/>
      <c r="N2172" s="23"/>
      <c r="O2172" s="39"/>
      <c r="P2172" s="39"/>
      <c r="Q2172" s="39"/>
      <c r="R2172" s="39"/>
    </row>
    <row r="2173" spans="1:18" s="2" customFormat="1" ht="26.4">
      <c r="A2173" s="20">
        <f t="shared" si="130"/>
        <v>1998</v>
      </c>
      <c r="B2173" s="30" t="s">
        <v>3304</v>
      </c>
      <c r="C2173" s="30" t="s">
        <v>3305</v>
      </c>
      <c r="D2173" s="20" t="s">
        <v>5</v>
      </c>
      <c r="E2173" s="20" t="s">
        <v>6</v>
      </c>
      <c r="F2173" s="18">
        <v>1</v>
      </c>
      <c r="G2173" s="19">
        <f>75450</f>
        <v>75450</v>
      </c>
      <c r="H2173" s="32">
        <v>1</v>
      </c>
      <c r="I2173" s="25">
        <f t="shared" si="128"/>
        <v>75450</v>
      </c>
      <c r="J2173" s="40"/>
      <c r="K2173" s="39"/>
      <c r="L2173" s="39"/>
      <c r="M2173" s="39"/>
      <c r="N2173" s="23"/>
      <c r="O2173" s="39"/>
      <c r="P2173" s="39"/>
      <c r="Q2173" s="39"/>
      <c r="R2173" s="39"/>
    </row>
    <row r="2174" spans="1:18" s="2" customFormat="1" ht="14.4">
      <c r="A2174" s="20">
        <f t="shared" si="130"/>
        <v>1999</v>
      </c>
      <c r="B2174" s="30" t="s">
        <v>3306</v>
      </c>
      <c r="C2174" s="30" t="s">
        <v>3307</v>
      </c>
      <c r="D2174" s="20" t="s">
        <v>5</v>
      </c>
      <c r="E2174" s="20" t="s">
        <v>6</v>
      </c>
      <c r="F2174" s="18">
        <v>1</v>
      </c>
      <c r="G2174" s="19">
        <f>28900</f>
        <v>28900</v>
      </c>
      <c r="H2174" s="32">
        <v>1</v>
      </c>
      <c r="I2174" s="25">
        <f t="shared" si="128"/>
        <v>28900</v>
      </c>
      <c r="J2174" s="40"/>
      <c r="K2174" s="39"/>
      <c r="L2174" s="39"/>
      <c r="M2174" s="39"/>
      <c r="N2174" s="23"/>
      <c r="O2174" s="39"/>
      <c r="P2174" s="39"/>
      <c r="Q2174" s="39"/>
      <c r="R2174" s="39"/>
    </row>
    <row r="2175" spans="1:18" s="2" customFormat="1" ht="26.4">
      <c r="A2175" s="20">
        <f t="shared" si="130"/>
        <v>2000</v>
      </c>
      <c r="B2175" s="30" t="s">
        <v>3308</v>
      </c>
      <c r="C2175" s="30" t="s">
        <v>3309</v>
      </c>
      <c r="D2175" s="20" t="s">
        <v>5</v>
      </c>
      <c r="E2175" s="20" t="s">
        <v>6</v>
      </c>
      <c r="F2175" s="18">
        <v>1</v>
      </c>
      <c r="G2175" s="19">
        <f>27700</f>
        <v>27700</v>
      </c>
      <c r="H2175" s="32">
        <v>1</v>
      </c>
      <c r="I2175" s="25">
        <f t="shared" si="128"/>
        <v>27700</v>
      </c>
      <c r="J2175" s="40"/>
      <c r="K2175" s="39"/>
      <c r="L2175" s="39"/>
      <c r="M2175" s="39"/>
      <c r="N2175" s="23"/>
      <c r="O2175" s="39"/>
      <c r="P2175" s="39"/>
      <c r="Q2175" s="39"/>
      <c r="R2175" s="39"/>
    </row>
    <row r="2176" spans="1:18" s="2" customFormat="1" ht="14.4">
      <c r="A2176" s="20">
        <f t="shared" si="130"/>
        <v>2001</v>
      </c>
      <c r="B2176" s="30" t="s">
        <v>3310</v>
      </c>
      <c r="C2176" s="30" t="s">
        <v>3311</v>
      </c>
      <c r="D2176" s="20" t="s">
        <v>5</v>
      </c>
      <c r="E2176" s="20" t="s">
        <v>6</v>
      </c>
      <c r="F2176" s="18">
        <v>1</v>
      </c>
      <c r="G2176" s="19">
        <f>69800</f>
        <v>69800</v>
      </c>
      <c r="H2176" s="32">
        <v>1</v>
      </c>
      <c r="I2176" s="25">
        <f t="shared" si="128"/>
        <v>69800</v>
      </c>
      <c r="J2176" s="40"/>
      <c r="K2176" s="39"/>
      <c r="L2176" s="39"/>
      <c r="M2176" s="39"/>
      <c r="N2176" s="23"/>
      <c r="O2176" s="39"/>
      <c r="P2176" s="39"/>
      <c r="Q2176" s="39"/>
      <c r="R2176" s="39"/>
    </row>
    <row r="2177" spans="1:18" s="2" customFormat="1" ht="14.4">
      <c r="A2177" s="20">
        <f t="shared" si="130"/>
        <v>2002</v>
      </c>
      <c r="B2177" s="30" t="s">
        <v>3312</v>
      </c>
      <c r="C2177" s="30" t="s">
        <v>3313</v>
      </c>
      <c r="D2177" s="20" t="s">
        <v>5</v>
      </c>
      <c r="E2177" s="20" t="s">
        <v>6</v>
      </c>
      <c r="F2177" s="18">
        <v>1</v>
      </c>
      <c r="G2177" s="19">
        <f>56400</f>
        <v>56400</v>
      </c>
      <c r="H2177" s="32">
        <v>1</v>
      </c>
      <c r="I2177" s="25">
        <f t="shared" si="128"/>
        <v>56400</v>
      </c>
      <c r="J2177" s="40"/>
      <c r="K2177" s="39"/>
      <c r="L2177" s="39"/>
      <c r="M2177" s="39"/>
      <c r="N2177" s="23"/>
      <c r="O2177" s="39"/>
      <c r="P2177" s="39"/>
      <c r="Q2177" s="39"/>
      <c r="R2177" s="39"/>
    </row>
    <row r="2178" spans="1:18" s="2" customFormat="1" ht="79.2">
      <c r="A2178" s="20">
        <f t="shared" si="130"/>
        <v>2003</v>
      </c>
      <c r="B2178" s="30" t="s">
        <v>3314</v>
      </c>
      <c r="C2178" s="30" t="s">
        <v>3315</v>
      </c>
      <c r="D2178" s="20" t="s">
        <v>5</v>
      </c>
      <c r="E2178" s="20" t="s">
        <v>6</v>
      </c>
      <c r="F2178" s="18">
        <v>1</v>
      </c>
      <c r="G2178" s="19">
        <f>34400</f>
        <v>34400</v>
      </c>
      <c r="H2178" s="32">
        <v>1</v>
      </c>
      <c r="I2178" s="25">
        <f t="shared" si="128"/>
        <v>34400</v>
      </c>
      <c r="J2178" s="40"/>
      <c r="K2178" s="39"/>
      <c r="L2178" s="39"/>
      <c r="M2178" s="39"/>
      <c r="N2178" s="23"/>
      <c r="O2178" s="39"/>
      <c r="P2178" s="39"/>
      <c r="Q2178" s="39"/>
      <c r="R2178" s="39"/>
    </row>
    <row r="2179" spans="1:18" s="2" customFormat="1" ht="39.6">
      <c r="A2179" s="20">
        <f t="shared" si="130"/>
        <v>2004</v>
      </c>
      <c r="B2179" s="30" t="s">
        <v>3316</v>
      </c>
      <c r="C2179" s="30" t="s">
        <v>3317</v>
      </c>
      <c r="D2179" s="20" t="s">
        <v>5</v>
      </c>
      <c r="E2179" s="20" t="s">
        <v>6</v>
      </c>
      <c r="F2179" s="18">
        <v>1</v>
      </c>
      <c r="G2179" s="19">
        <f>9100</f>
        <v>9100</v>
      </c>
      <c r="H2179" s="32">
        <v>1</v>
      </c>
      <c r="I2179" s="25">
        <f t="shared" si="128"/>
        <v>9100</v>
      </c>
      <c r="J2179" s="40"/>
      <c r="K2179" s="39"/>
      <c r="L2179" s="39"/>
      <c r="M2179" s="39"/>
      <c r="N2179" s="23"/>
      <c r="O2179" s="39"/>
      <c r="P2179" s="39"/>
      <c r="Q2179" s="39"/>
      <c r="R2179" s="39"/>
    </row>
    <row r="2180" spans="1:18" s="2" customFormat="1" ht="52.8">
      <c r="A2180" s="20">
        <f t="shared" si="130"/>
        <v>2005</v>
      </c>
      <c r="B2180" s="30" t="s">
        <v>3318</v>
      </c>
      <c r="C2180" s="30" t="s">
        <v>3319</v>
      </c>
      <c r="D2180" s="20" t="s">
        <v>5</v>
      </c>
      <c r="E2180" s="20" t="s">
        <v>6</v>
      </c>
      <c r="F2180" s="18">
        <v>1</v>
      </c>
      <c r="G2180" s="19">
        <f>13350</f>
        <v>13350</v>
      </c>
      <c r="H2180" s="32">
        <v>1</v>
      </c>
      <c r="I2180" s="25">
        <f t="shared" si="128"/>
        <v>13350</v>
      </c>
      <c r="J2180" s="40"/>
      <c r="K2180" s="39"/>
      <c r="L2180" s="39"/>
      <c r="M2180" s="39"/>
      <c r="N2180" s="23"/>
      <c r="O2180" s="39"/>
      <c r="P2180" s="39"/>
      <c r="Q2180" s="39"/>
      <c r="R2180" s="39"/>
    </row>
    <row r="2181" spans="1:18" s="2" customFormat="1" ht="66">
      <c r="A2181" s="20">
        <f t="shared" si="130"/>
        <v>2006</v>
      </c>
      <c r="B2181" s="30" t="s">
        <v>3320</v>
      </c>
      <c r="C2181" s="30" t="s">
        <v>3321</v>
      </c>
      <c r="D2181" s="20" t="s">
        <v>5</v>
      </c>
      <c r="E2181" s="20" t="s">
        <v>6</v>
      </c>
      <c r="F2181" s="18">
        <v>1</v>
      </c>
      <c r="G2181" s="19">
        <f>3650</f>
        <v>3650</v>
      </c>
      <c r="H2181" s="32">
        <v>1</v>
      </c>
      <c r="I2181" s="25">
        <f t="shared" si="128"/>
        <v>3650</v>
      </c>
      <c r="J2181" s="40"/>
      <c r="K2181" s="39"/>
      <c r="L2181" s="39"/>
      <c r="M2181" s="39"/>
      <c r="N2181" s="23"/>
      <c r="O2181" s="39"/>
      <c r="P2181" s="39"/>
      <c r="Q2181" s="39"/>
      <c r="R2181" s="39"/>
    </row>
    <row r="2182" spans="1:18" s="2" customFormat="1" ht="26.4">
      <c r="A2182" s="20">
        <f t="shared" si="130"/>
        <v>2007</v>
      </c>
      <c r="B2182" s="30" t="s">
        <v>3322</v>
      </c>
      <c r="C2182" s="30" t="s">
        <v>3323</v>
      </c>
      <c r="D2182" s="20" t="s">
        <v>5</v>
      </c>
      <c r="E2182" s="20" t="s">
        <v>6</v>
      </c>
      <c r="F2182" s="18">
        <v>1</v>
      </c>
      <c r="G2182" s="19">
        <f>3850</f>
        <v>3850</v>
      </c>
      <c r="H2182" s="32">
        <v>1</v>
      </c>
      <c r="I2182" s="25">
        <f t="shared" si="128"/>
        <v>3850</v>
      </c>
      <c r="J2182" s="40"/>
      <c r="K2182" s="39"/>
      <c r="L2182" s="39"/>
      <c r="M2182" s="39"/>
      <c r="N2182" s="23"/>
      <c r="O2182" s="39"/>
      <c r="P2182" s="39"/>
      <c r="Q2182" s="39"/>
      <c r="R2182" s="39"/>
    </row>
    <row r="2183" spans="1:18" s="2" customFormat="1" ht="26.4">
      <c r="A2183" s="20">
        <f t="shared" si="130"/>
        <v>2008</v>
      </c>
      <c r="B2183" s="30" t="s">
        <v>3324</v>
      </c>
      <c r="C2183" s="30" t="s">
        <v>3325</v>
      </c>
      <c r="D2183" s="20" t="s">
        <v>5</v>
      </c>
      <c r="E2183" s="20" t="s">
        <v>6</v>
      </c>
      <c r="F2183" s="18">
        <v>1</v>
      </c>
      <c r="G2183" s="19">
        <f>6750</f>
        <v>6750</v>
      </c>
      <c r="H2183" s="32">
        <v>1</v>
      </c>
      <c r="I2183" s="25">
        <f t="shared" si="128"/>
        <v>6750</v>
      </c>
      <c r="J2183" s="40"/>
      <c r="K2183" s="39"/>
      <c r="L2183" s="39"/>
      <c r="M2183" s="39"/>
      <c r="N2183" s="23"/>
      <c r="O2183" s="39"/>
      <c r="P2183" s="39"/>
      <c r="Q2183" s="39"/>
      <c r="R2183" s="39"/>
    </row>
    <row r="2184" spans="1:18" s="2" customFormat="1" ht="26.4">
      <c r="A2184" s="20">
        <f t="shared" si="130"/>
        <v>2009</v>
      </c>
      <c r="B2184" s="30" t="s">
        <v>3326</v>
      </c>
      <c r="C2184" s="30" t="s">
        <v>3327</v>
      </c>
      <c r="D2184" s="20" t="s">
        <v>5</v>
      </c>
      <c r="E2184" s="20" t="s">
        <v>6</v>
      </c>
      <c r="F2184" s="18">
        <v>1</v>
      </c>
      <c r="G2184" s="19">
        <f>3150</f>
        <v>3150</v>
      </c>
      <c r="H2184" s="32">
        <v>1</v>
      </c>
      <c r="I2184" s="25">
        <f t="shared" si="128"/>
        <v>3150</v>
      </c>
      <c r="J2184" s="40"/>
      <c r="K2184" s="39"/>
      <c r="L2184" s="39"/>
      <c r="M2184" s="39"/>
      <c r="N2184" s="23"/>
      <c r="O2184" s="39"/>
      <c r="P2184" s="39"/>
      <c r="Q2184" s="39"/>
      <c r="R2184" s="39"/>
    </row>
    <row r="2185" spans="1:18" s="2" customFormat="1" ht="26.4">
      <c r="A2185" s="20">
        <f t="shared" si="130"/>
        <v>2010</v>
      </c>
      <c r="B2185" s="30" t="s">
        <v>3328</v>
      </c>
      <c r="C2185" s="30" t="s">
        <v>3329</v>
      </c>
      <c r="D2185" s="20" t="s">
        <v>5</v>
      </c>
      <c r="E2185" s="20" t="s">
        <v>6</v>
      </c>
      <c r="F2185" s="18">
        <v>1</v>
      </c>
      <c r="G2185" s="19">
        <f>9450</f>
        <v>9450</v>
      </c>
      <c r="H2185" s="32">
        <v>1</v>
      </c>
      <c r="I2185" s="25">
        <f t="shared" si="128"/>
        <v>9450</v>
      </c>
      <c r="J2185" s="40"/>
      <c r="K2185" s="39"/>
      <c r="L2185" s="39"/>
      <c r="M2185" s="39"/>
      <c r="N2185" s="23"/>
      <c r="O2185" s="39"/>
      <c r="P2185" s="39"/>
      <c r="Q2185" s="39"/>
      <c r="R2185" s="39"/>
    </row>
    <row r="2186" spans="1:18" s="2" customFormat="1" ht="26.4">
      <c r="A2186" s="20">
        <f t="shared" si="130"/>
        <v>2011</v>
      </c>
      <c r="B2186" s="30" t="s">
        <v>3330</v>
      </c>
      <c r="C2186" s="30" t="s">
        <v>3331</v>
      </c>
      <c r="D2186" s="20" t="s">
        <v>5</v>
      </c>
      <c r="E2186" s="20" t="s">
        <v>6</v>
      </c>
      <c r="F2186" s="18">
        <v>1</v>
      </c>
      <c r="G2186" s="19">
        <f>9150</f>
        <v>9150</v>
      </c>
      <c r="H2186" s="32">
        <v>1</v>
      </c>
      <c r="I2186" s="25">
        <f t="shared" si="128"/>
        <v>9150</v>
      </c>
      <c r="J2186" s="40"/>
      <c r="K2186" s="39"/>
      <c r="L2186" s="39"/>
      <c r="M2186" s="39"/>
      <c r="N2186" s="23"/>
      <c r="O2186" s="39"/>
      <c r="P2186" s="39"/>
      <c r="Q2186" s="39"/>
      <c r="R2186" s="39"/>
    </row>
    <row r="2187" spans="1:18" s="2" customFormat="1" ht="39.6">
      <c r="A2187" s="20">
        <f t="shared" si="130"/>
        <v>2012</v>
      </c>
      <c r="B2187" s="30" t="s">
        <v>3332</v>
      </c>
      <c r="C2187" s="30" t="s">
        <v>3333</v>
      </c>
      <c r="D2187" s="20" t="s">
        <v>5</v>
      </c>
      <c r="E2187" s="20" t="s">
        <v>6</v>
      </c>
      <c r="F2187" s="18">
        <v>1</v>
      </c>
      <c r="G2187" s="19">
        <f>30400</f>
        <v>30400</v>
      </c>
      <c r="H2187" s="32">
        <v>1</v>
      </c>
      <c r="I2187" s="25">
        <f t="shared" ref="I2187:I2250" si="131">G2187*H2187</f>
        <v>30400</v>
      </c>
      <c r="J2187" s="40"/>
      <c r="K2187" s="39"/>
      <c r="L2187" s="39"/>
      <c r="M2187" s="39"/>
      <c r="N2187" s="23"/>
      <c r="O2187" s="39"/>
      <c r="P2187" s="39"/>
      <c r="Q2187" s="39"/>
      <c r="R2187" s="39"/>
    </row>
    <row r="2188" spans="1:18" s="2" customFormat="1" ht="52.8">
      <c r="A2188" s="20">
        <f t="shared" si="130"/>
        <v>2013</v>
      </c>
      <c r="B2188" s="30" t="s">
        <v>3334</v>
      </c>
      <c r="C2188" s="30" t="s">
        <v>3335</v>
      </c>
      <c r="D2188" s="20" t="s">
        <v>5</v>
      </c>
      <c r="E2188" s="20" t="s">
        <v>6</v>
      </c>
      <c r="F2188" s="18">
        <v>1</v>
      </c>
      <c r="G2188" s="19">
        <f>26900</f>
        <v>26900</v>
      </c>
      <c r="H2188" s="32">
        <v>1</v>
      </c>
      <c r="I2188" s="25">
        <f t="shared" si="131"/>
        <v>26900</v>
      </c>
      <c r="J2188" s="40"/>
      <c r="K2188" s="39"/>
      <c r="L2188" s="39"/>
      <c r="M2188" s="39"/>
      <c r="N2188" s="23"/>
      <c r="O2188" s="39"/>
      <c r="P2188" s="39"/>
      <c r="Q2188" s="39"/>
      <c r="R2188" s="39"/>
    </row>
    <row r="2189" spans="1:18" s="2" customFormat="1" ht="66">
      <c r="A2189" s="20">
        <f t="shared" si="130"/>
        <v>2014</v>
      </c>
      <c r="B2189" s="30" t="s">
        <v>3336</v>
      </c>
      <c r="C2189" s="30" t="s">
        <v>3337</v>
      </c>
      <c r="D2189" s="20" t="s">
        <v>5</v>
      </c>
      <c r="E2189" s="20" t="s">
        <v>6</v>
      </c>
      <c r="F2189" s="18">
        <v>1</v>
      </c>
      <c r="G2189" s="19">
        <f>6900</f>
        <v>6900</v>
      </c>
      <c r="H2189" s="32">
        <v>1</v>
      </c>
      <c r="I2189" s="25">
        <f t="shared" si="131"/>
        <v>6900</v>
      </c>
      <c r="J2189" s="40"/>
      <c r="K2189" s="39"/>
      <c r="L2189" s="39"/>
      <c r="M2189" s="39"/>
      <c r="N2189" s="23"/>
      <c r="O2189" s="39"/>
      <c r="P2189" s="39"/>
      <c r="Q2189" s="39"/>
      <c r="R2189" s="39"/>
    </row>
    <row r="2190" spans="1:18" s="2" customFormat="1" ht="39.6">
      <c r="A2190" s="20">
        <f t="shared" si="130"/>
        <v>2015</v>
      </c>
      <c r="B2190" s="30" t="s">
        <v>3338</v>
      </c>
      <c r="C2190" s="30" t="s">
        <v>3339</v>
      </c>
      <c r="D2190" s="20" t="s">
        <v>5</v>
      </c>
      <c r="E2190" s="20" t="s">
        <v>6</v>
      </c>
      <c r="F2190" s="18">
        <v>1</v>
      </c>
      <c r="G2190" s="19">
        <f>6900</f>
        <v>6900</v>
      </c>
      <c r="H2190" s="32">
        <v>1</v>
      </c>
      <c r="I2190" s="25">
        <f t="shared" si="131"/>
        <v>6900</v>
      </c>
      <c r="J2190" s="40"/>
      <c r="K2190" s="39"/>
      <c r="L2190" s="39"/>
      <c r="M2190" s="39"/>
      <c r="N2190" s="23"/>
      <c r="O2190" s="39"/>
      <c r="P2190" s="39"/>
      <c r="Q2190" s="39"/>
      <c r="R2190" s="39"/>
    </row>
    <row r="2191" spans="1:18" s="2" customFormat="1" ht="39.6">
      <c r="A2191" s="20">
        <f t="shared" si="130"/>
        <v>2016</v>
      </c>
      <c r="B2191" s="30" t="s">
        <v>3340</v>
      </c>
      <c r="C2191" s="30" t="s">
        <v>3341</v>
      </c>
      <c r="D2191" s="20" t="s">
        <v>5</v>
      </c>
      <c r="E2191" s="20" t="s">
        <v>6</v>
      </c>
      <c r="F2191" s="18">
        <v>1</v>
      </c>
      <c r="G2191" s="19">
        <f>6750</f>
        <v>6750</v>
      </c>
      <c r="H2191" s="32">
        <v>1</v>
      </c>
      <c r="I2191" s="25">
        <f t="shared" si="131"/>
        <v>6750</v>
      </c>
      <c r="J2191" s="40"/>
      <c r="K2191" s="39"/>
      <c r="L2191" s="39"/>
      <c r="M2191" s="39"/>
      <c r="N2191" s="23"/>
      <c r="O2191" s="39"/>
      <c r="P2191" s="39"/>
      <c r="Q2191" s="39"/>
      <c r="R2191" s="39"/>
    </row>
    <row r="2192" spans="1:18" s="2" customFormat="1" ht="39.6">
      <c r="A2192" s="20">
        <f t="shared" si="130"/>
        <v>2017</v>
      </c>
      <c r="B2192" s="30" t="s">
        <v>3342</v>
      </c>
      <c r="C2192" s="30" t="s">
        <v>3343</v>
      </c>
      <c r="D2192" s="20" t="s">
        <v>5</v>
      </c>
      <c r="E2192" s="20" t="s">
        <v>6</v>
      </c>
      <c r="F2192" s="18">
        <v>1</v>
      </c>
      <c r="G2192" s="19">
        <f>7500</f>
        <v>7500</v>
      </c>
      <c r="H2192" s="32">
        <v>1</v>
      </c>
      <c r="I2192" s="25">
        <f t="shared" si="131"/>
        <v>7500</v>
      </c>
      <c r="J2192" s="40"/>
      <c r="K2192" s="39"/>
      <c r="L2192" s="39"/>
      <c r="M2192" s="39"/>
      <c r="N2192" s="23"/>
      <c r="O2192" s="39"/>
      <c r="P2192" s="39"/>
      <c r="Q2192" s="39"/>
      <c r="R2192" s="39"/>
    </row>
    <row r="2193" spans="1:18" s="2" customFormat="1" ht="39.6">
      <c r="A2193" s="20">
        <f t="shared" si="130"/>
        <v>2018</v>
      </c>
      <c r="B2193" s="30" t="s">
        <v>3344</v>
      </c>
      <c r="C2193" s="30" t="s">
        <v>3345</v>
      </c>
      <c r="D2193" s="20" t="s">
        <v>5</v>
      </c>
      <c r="E2193" s="20" t="s">
        <v>6</v>
      </c>
      <c r="F2193" s="18">
        <v>1</v>
      </c>
      <c r="G2193" s="19">
        <f>10800</f>
        <v>10800</v>
      </c>
      <c r="H2193" s="32">
        <v>1</v>
      </c>
      <c r="I2193" s="25">
        <f t="shared" si="131"/>
        <v>10800</v>
      </c>
      <c r="J2193" s="40"/>
      <c r="K2193" s="39"/>
      <c r="L2193" s="39"/>
      <c r="M2193" s="39"/>
      <c r="N2193" s="23"/>
      <c r="O2193" s="39"/>
      <c r="P2193" s="39"/>
      <c r="Q2193" s="39"/>
      <c r="R2193" s="39"/>
    </row>
    <row r="2194" spans="1:18" s="2" customFormat="1" ht="26.4">
      <c r="A2194" s="20">
        <f t="shared" si="130"/>
        <v>2019</v>
      </c>
      <c r="B2194" s="30" t="s">
        <v>3346</v>
      </c>
      <c r="C2194" s="30" t="s">
        <v>3347</v>
      </c>
      <c r="D2194" s="20" t="s">
        <v>5</v>
      </c>
      <c r="E2194" s="20" t="s">
        <v>6</v>
      </c>
      <c r="F2194" s="18">
        <v>1</v>
      </c>
      <c r="G2194" s="19">
        <f>3650</f>
        <v>3650</v>
      </c>
      <c r="H2194" s="32">
        <v>1</v>
      </c>
      <c r="I2194" s="25">
        <f t="shared" si="131"/>
        <v>3650</v>
      </c>
      <c r="J2194" s="40"/>
      <c r="K2194" s="39"/>
      <c r="L2194" s="39"/>
      <c r="M2194" s="39"/>
      <c r="N2194" s="23"/>
      <c r="O2194" s="39"/>
      <c r="P2194" s="39"/>
      <c r="Q2194" s="39"/>
      <c r="R2194" s="39"/>
    </row>
    <row r="2195" spans="1:18" s="2" customFormat="1" ht="26.4">
      <c r="A2195" s="20">
        <f t="shared" si="130"/>
        <v>2020</v>
      </c>
      <c r="B2195" s="30" t="s">
        <v>3348</v>
      </c>
      <c r="C2195" s="30" t="s">
        <v>3349</v>
      </c>
      <c r="D2195" s="20" t="s">
        <v>5</v>
      </c>
      <c r="E2195" s="20" t="s">
        <v>6</v>
      </c>
      <c r="F2195" s="18">
        <v>1</v>
      </c>
      <c r="G2195" s="19">
        <f>8050</f>
        <v>8050</v>
      </c>
      <c r="H2195" s="32">
        <v>1</v>
      </c>
      <c r="I2195" s="25">
        <f t="shared" si="131"/>
        <v>8050</v>
      </c>
      <c r="J2195" s="40"/>
      <c r="K2195" s="39"/>
      <c r="L2195" s="39"/>
      <c r="M2195" s="39"/>
      <c r="N2195" s="23"/>
      <c r="O2195" s="39"/>
      <c r="P2195" s="39"/>
      <c r="Q2195" s="39"/>
      <c r="R2195" s="39"/>
    </row>
    <row r="2196" spans="1:18" s="2" customFormat="1" ht="26.4">
      <c r="A2196" s="20">
        <f t="shared" si="130"/>
        <v>2021</v>
      </c>
      <c r="B2196" s="30" t="s">
        <v>3350</v>
      </c>
      <c r="C2196" s="30" t="s">
        <v>3351</v>
      </c>
      <c r="D2196" s="20" t="s">
        <v>5</v>
      </c>
      <c r="E2196" s="20" t="s">
        <v>6</v>
      </c>
      <c r="F2196" s="18">
        <v>1</v>
      </c>
      <c r="G2196" s="19">
        <f>5950</f>
        <v>5950</v>
      </c>
      <c r="H2196" s="32">
        <v>1</v>
      </c>
      <c r="I2196" s="25">
        <f t="shared" si="131"/>
        <v>5950</v>
      </c>
      <c r="J2196" s="40"/>
      <c r="K2196" s="39"/>
      <c r="L2196" s="39"/>
      <c r="M2196" s="39"/>
      <c r="N2196" s="23"/>
      <c r="O2196" s="39"/>
      <c r="P2196" s="39"/>
      <c r="Q2196" s="39"/>
      <c r="R2196" s="39"/>
    </row>
    <row r="2197" spans="1:18" ht="92.4">
      <c r="A2197" s="9" t="s">
        <v>61</v>
      </c>
      <c r="B2197" s="10" t="s">
        <v>3352</v>
      </c>
      <c r="C2197" s="10" t="s">
        <v>3353</v>
      </c>
      <c r="D2197" s="85"/>
      <c r="E2197" s="85"/>
      <c r="F2197" s="18">
        <v>1</v>
      </c>
      <c r="G2197" s="19"/>
      <c r="H2197" s="86"/>
      <c r="I2197" s="25"/>
      <c r="J2197" s="24" t="s">
        <v>3354</v>
      </c>
      <c r="K2197" s="22">
        <v>3773.05</v>
      </c>
      <c r="L2197" s="22"/>
      <c r="M2197" s="22"/>
      <c r="N2197" s="23"/>
      <c r="O2197" s="22"/>
      <c r="P2197" s="22"/>
      <c r="Q2197" s="22"/>
      <c r="R2197" s="22"/>
    </row>
    <row r="2198" spans="1:18" ht="26.4">
      <c r="A2198" s="9" t="s">
        <v>61</v>
      </c>
      <c r="B2198" s="87" t="s">
        <v>3355</v>
      </c>
      <c r="C2198" s="87" t="s">
        <v>3356</v>
      </c>
      <c r="D2198" s="88"/>
      <c r="E2198" s="88"/>
      <c r="F2198" s="18"/>
      <c r="G2198" s="19"/>
      <c r="H2198" s="89"/>
      <c r="I2198" s="25"/>
      <c r="J2198" s="24"/>
      <c r="K2198" s="22"/>
      <c r="L2198" s="22"/>
      <c r="M2198" s="22"/>
      <c r="N2198" s="23"/>
      <c r="O2198" s="22"/>
      <c r="P2198" s="22"/>
      <c r="Q2198" s="22"/>
      <c r="R2198" s="22"/>
    </row>
    <row r="2199" spans="1:18" ht="14.4">
      <c r="A2199" s="90" t="s">
        <v>61</v>
      </c>
      <c r="B2199" s="87" t="s">
        <v>3357</v>
      </c>
      <c r="C2199" s="87" t="s">
        <v>3358</v>
      </c>
      <c r="D2199" s="91"/>
      <c r="E2199" s="92"/>
      <c r="F2199" s="18"/>
      <c r="G2199" s="19"/>
      <c r="H2199" s="91"/>
      <c r="I2199" s="25"/>
      <c r="R2199" s="22"/>
    </row>
    <row r="2200" spans="1:18" s="2" customFormat="1" ht="39.6">
      <c r="A2200" s="93">
        <f>A2196+1</f>
        <v>2022</v>
      </c>
      <c r="B2200" s="30" t="s">
        <v>3359</v>
      </c>
      <c r="C2200" s="30" t="s">
        <v>3360</v>
      </c>
      <c r="D2200" s="20" t="s">
        <v>9</v>
      </c>
      <c r="E2200" s="20" t="s">
        <v>9</v>
      </c>
      <c r="F2200" s="18">
        <v>1</v>
      </c>
      <c r="G2200" s="19">
        <f>1.633198857*62.38</f>
        <v>101.87894469966001</v>
      </c>
      <c r="H2200" s="20">
        <v>3773.05</v>
      </c>
      <c r="I2200" s="25">
        <f t="shared" si="131"/>
        <v>384394.35229905223</v>
      </c>
      <c r="J2200" s="97"/>
      <c r="K2200" s="98"/>
      <c r="L2200" s="98"/>
      <c r="M2200" s="98"/>
      <c r="N2200" s="98"/>
      <c r="R2200" s="39"/>
    </row>
    <row r="2201" spans="1:18" s="2" customFormat="1" ht="14.4">
      <c r="A2201" s="93">
        <f>A2200+1</f>
        <v>2023</v>
      </c>
      <c r="B2201" s="30" t="s">
        <v>3361</v>
      </c>
      <c r="C2201" s="30" t="s">
        <v>3362</v>
      </c>
      <c r="D2201" s="20" t="s">
        <v>9</v>
      </c>
      <c r="E2201" s="20" t="s">
        <v>9</v>
      </c>
      <c r="F2201" s="18">
        <v>1</v>
      </c>
      <c r="G2201" s="19">
        <v>8.6</v>
      </c>
      <c r="H2201" s="20">
        <v>3773.05</v>
      </c>
      <c r="I2201" s="25">
        <f t="shared" si="131"/>
        <v>32448.23</v>
      </c>
      <c r="J2201" s="97"/>
      <c r="K2201" s="98"/>
      <c r="L2201" s="98"/>
      <c r="M2201" s="98"/>
      <c r="N2201" s="98"/>
      <c r="R2201" s="39"/>
    </row>
    <row r="2202" spans="1:18" s="2" customFormat="1" ht="26.4">
      <c r="A2202" s="93">
        <f t="shared" ref="A2202:A2210" si="132">A2201+1</f>
        <v>2024</v>
      </c>
      <c r="B2202" s="30" t="s">
        <v>3363</v>
      </c>
      <c r="C2202" s="30" t="s">
        <v>3364</v>
      </c>
      <c r="D2202" s="20" t="s">
        <v>9</v>
      </c>
      <c r="E2202" s="20" t="s">
        <v>9</v>
      </c>
      <c r="F2202" s="18">
        <v>1</v>
      </c>
      <c r="G2202" s="19">
        <f>1.633198857*123.84*1.15</f>
        <v>232.593648418512</v>
      </c>
      <c r="H2202" s="20">
        <v>3773.05</v>
      </c>
      <c r="I2202" s="25">
        <f t="shared" si="131"/>
        <v>877587.46516546677</v>
      </c>
      <c r="J2202" s="97"/>
      <c r="K2202" s="98"/>
      <c r="L2202" s="98"/>
      <c r="M2202" s="98"/>
      <c r="N2202" s="98"/>
      <c r="R2202" s="39"/>
    </row>
    <row r="2203" spans="1:18" s="2" customFormat="1" ht="14.4">
      <c r="A2203" s="93">
        <f t="shared" si="132"/>
        <v>2025</v>
      </c>
      <c r="B2203" s="30" t="s">
        <v>177</v>
      </c>
      <c r="C2203" s="30" t="s">
        <v>58</v>
      </c>
      <c r="D2203" s="20" t="s">
        <v>43</v>
      </c>
      <c r="E2203" s="20" t="s">
        <v>43</v>
      </c>
      <c r="F2203" s="18">
        <v>1</v>
      </c>
      <c r="G2203" s="19">
        <f>1283.52</f>
        <v>1283.52</v>
      </c>
      <c r="H2203" s="20">
        <f>SUM(H2202*0.1)</f>
        <v>377.30500000000006</v>
      </c>
      <c r="I2203" s="25">
        <f t="shared" si="131"/>
        <v>484278.51360000006</v>
      </c>
      <c r="J2203" s="97"/>
      <c r="K2203" s="98"/>
      <c r="L2203" s="98"/>
      <c r="M2203" s="98"/>
      <c r="N2203" s="99"/>
      <c r="R2203" s="39"/>
    </row>
    <row r="2204" spans="1:18" s="2" customFormat="1" ht="38.25" customHeight="1">
      <c r="A2204" s="93">
        <f t="shared" si="132"/>
        <v>2026</v>
      </c>
      <c r="B2204" s="30" t="s">
        <v>3365</v>
      </c>
      <c r="C2204" s="30" t="s">
        <v>3366</v>
      </c>
      <c r="D2204" s="20" t="s">
        <v>9</v>
      </c>
      <c r="E2204" s="20" t="s">
        <v>9</v>
      </c>
      <c r="F2204" s="18">
        <v>1</v>
      </c>
      <c r="G2204" s="19">
        <f>1.633198857*27.45</f>
        <v>44.831308624649999</v>
      </c>
      <c r="H2204" s="20">
        <v>3773.05</v>
      </c>
      <c r="I2204" s="25">
        <f t="shared" si="131"/>
        <v>169150.7690062357</v>
      </c>
      <c r="J2204" s="97"/>
      <c r="K2204" s="98"/>
      <c r="L2204" s="98"/>
      <c r="M2204" s="98"/>
      <c r="N2204" s="98"/>
      <c r="R2204" s="39"/>
    </row>
    <row r="2205" spans="1:18" s="2" customFormat="1" ht="14.4">
      <c r="A2205" s="93">
        <f t="shared" si="132"/>
        <v>2027</v>
      </c>
      <c r="B2205" s="30" t="s">
        <v>3367</v>
      </c>
      <c r="C2205" s="30" t="s">
        <v>3368</v>
      </c>
      <c r="D2205" s="20" t="s">
        <v>43</v>
      </c>
      <c r="E2205" s="20" t="s">
        <v>43</v>
      </c>
      <c r="F2205" s="18">
        <v>1</v>
      </c>
      <c r="G2205" s="19">
        <f>2068.12*1.15</f>
        <v>2378.3379999999997</v>
      </c>
      <c r="H2205" s="20">
        <f>H2204*0.14</f>
        <v>528.22700000000009</v>
      </c>
      <c r="I2205" s="25">
        <f t="shared" si="131"/>
        <v>1256302.3467260001</v>
      </c>
      <c r="J2205" s="97"/>
      <c r="K2205" s="98"/>
      <c r="L2205" s="98"/>
      <c r="M2205" s="98"/>
      <c r="N2205" s="98"/>
      <c r="R2205" s="39"/>
    </row>
    <row r="2206" spans="1:18" s="2" customFormat="1" ht="39.75" customHeight="1">
      <c r="A2206" s="93">
        <f t="shared" si="132"/>
        <v>2028</v>
      </c>
      <c r="B2206" s="30" t="s">
        <v>3369</v>
      </c>
      <c r="C2206" s="30" t="s">
        <v>3370</v>
      </c>
      <c r="D2206" s="20" t="s">
        <v>9</v>
      </c>
      <c r="E2206" s="20" t="s">
        <v>9</v>
      </c>
      <c r="F2206" s="18">
        <v>1</v>
      </c>
      <c r="G2206" s="19">
        <f>1.633198857*30.15</f>
        <v>49.240945538550001</v>
      </c>
      <c r="H2206" s="20">
        <v>3773.05</v>
      </c>
      <c r="I2206" s="25">
        <f t="shared" si="131"/>
        <v>185788.54956422609</v>
      </c>
      <c r="J2206" s="97"/>
      <c r="K2206" s="98"/>
      <c r="L2206" s="98"/>
      <c r="M2206" s="98"/>
      <c r="N2206" s="98"/>
      <c r="R2206" s="39"/>
    </row>
    <row r="2207" spans="1:18" s="2" customFormat="1" ht="14.4">
      <c r="A2207" s="93">
        <f t="shared" si="132"/>
        <v>2029</v>
      </c>
      <c r="B2207" s="30" t="s">
        <v>3371</v>
      </c>
      <c r="C2207" s="30" t="s">
        <v>3372</v>
      </c>
      <c r="D2207" s="20" t="s">
        <v>43</v>
      </c>
      <c r="E2207" s="20" t="s">
        <v>43</v>
      </c>
      <c r="F2207" s="18">
        <v>1</v>
      </c>
      <c r="G2207" s="19">
        <f>1768.28</f>
        <v>1768.28</v>
      </c>
      <c r="H2207" s="20">
        <f>H2206*0.08</f>
        <v>301.84399999999999</v>
      </c>
      <c r="I2207" s="25">
        <f t="shared" si="131"/>
        <v>533744.70831999998</v>
      </c>
      <c r="J2207" s="97"/>
      <c r="K2207" s="98"/>
      <c r="L2207" s="98"/>
      <c r="M2207" s="98"/>
      <c r="N2207" s="98"/>
      <c r="R2207" s="39"/>
    </row>
    <row r="2208" spans="1:18" s="2" customFormat="1" ht="26.4">
      <c r="A2208" s="93">
        <f t="shared" si="132"/>
        <v>2030</v>
      </c>
      <c r="B2208" s="30" t="s">
        <v>3373</v>
      </c>
      <c r="C2208" s="30" t="s">
        <v>3374</v>
      </c>
      <c r="D2208" s="20" t="s">
        <v>9</v>
      </c>
      <c r="E2208" s="20" t="s">
        <v>9</v>
      </c>
      <c r="F2208" s="18">
        <v>1</v>
      </c>
      <c r="G2208" s="19">
        <v>11.86</v>
      </c>
      <c r="H2208" s="20">
        <v>3773.05</v>
      </c>
      <c r="I2208" s="25">
        <f t="shared" si="131"/>
        <v>44748.373</v>
      </c>
      <c r="J2208" s="97"/>
      <c r="K2208" s="98"/>
      <c r="L2208" s="98"/>
      <c r="M2208" s="98"/>
      <c r="N2208" s="98"/>
      <c r="R2208" s="39"/>
    </row>
    <row r="2209" spans="1:18" s="2" customFormat="1" ht="26.4">
      <c r="A2209" s="93">
        <f t="shared" si="132"/>
        <v>2031</v>
      </c>
      <c r="B2209" s="30" t="s">
        <v>3375</v>
      </c>
      <c r="C2209" s="30" t="s">
        <v>3376</v>
      </c>
      <c r="D2209" s="20" t="s">
        <v>43</v>
      </c>
      <c r="E2209" s="20" t="s">
        <v>43</v>
      </c>
      <c r="F2209" s="18">
        <v>1</v>
      </c>
      <c r="G2209" s="19">
        <f>3616.08*1.15</f>
        <v>4158.4919999999993</v>
      </c>
      <c r="H2209" s="20">
        <f>H2208*0.06</f>
        <v>226.38300000000001</v>
      </c>
      <c r="I2209" s="25">
        <f t="shared" si="131"/>
        <v>941411.89443599992</v>
      </c>
      <c r="J2209" s="97"/>
      <c r="K2209" s="98"/>
      <c r="L2209" s="98"/>
      <c r="M2209" s="98"/>
      <c r="N2209" s="98"/>
      <c r="R2209" s="39"/>
    </row>
    <row r="2210" spans="1:18" s="2" customFormat="1" ht="42.75" customHeight="1">
      <c r="A2210" s="93">
        <f t="shared" si="132"/>
        <v>2032</v>
      </c>
      <c r="B2210" s="30" t="s">
        <v>3377</v>
      </c>
      <c r="C2210" s="30" t="s">
        <v>3378</v>
      </c>
      <c r="D2210" s="20" t="s">
        <v>9</v>
      </c>
      <c r="E2210" s="20" t="s">
        <v>9</v>
      </c>
      <c r="F2210" s="18">
        <v>1</v>
      </c>
      <c r="G2210" s="19">
        <f>1.633198857*98.04</f>
        <v>160.11881594028</v>
      </c>
      <c r="H2210" s="20">
        <v>3773.05</v>
      </c>
      <c r="I2210" s="25">
        <f t="shared" si="131"/>
        <v>604136.29848347348</v>
      </c>
      <c r="J2210" s="97"/>
      <c r="K2210" s="98"/>
      <c r="L2210" s="98"/>
      <c r="M2210" s="98"/>
      <c r="N2210" s="98"/>
      <c r="R2210" s="39"/>
    </row>
    <row r="2211" spans="1:18" ht="14.4">
      <c r="A2211" s="90" t="s">
        <v>61</v>
      </c>
      <c r="B2211" s="30" t="s">
        <v>3379</v>
      </c>
      <c r="C2211" s="30" t="s">
        <v>3380</v>
      </c>
      <c r="D2211" s="20" t="s">
        <v>9</v>
      </c>
      <c r="E2211" s="20" t="s">
        <v>9</v>
      </c>
      <c r="F2211" s="18">
        <v>1</v>
      </c>
      <c r="G2211" s="19">
        <f>764.98*1.15</f>
        <v>879.72699999999998</v>
      </c>
      <c r="H2211" s="20">
        <f>3773.05*1.02</f>
        <v>3848.5110000000004</v>
      </c>
      <c r="I2211" s="25">
        <f t="shared" si="131"/>
        <v>3385639.0364970001</v>
      </c>
      <c r="J2211" s="97"/>
      <c r="K2211" s="98"/>
      <c r="L2211" s="98"/>
      <c r="M2211" s="98"/>
      <c r="N2211" s="98"/>
      <c r="R2211" s="22"/>
    </row>
    <row r="2212" spans="1:18" s="2" customFormat="1" ht="14.4">
      <c r="A2212" s="93">
        <f>A2210+1</f>
        <v>2033</v>
      </c>
      <c r="B2212" s="30" t="s">
        <v>3381</v>
      </c>
      <c r="C2212" s="30" t="s">
        <v>3382</v>
      </c>
      <c r="D2212" s="20" t="s">
        <v>5</v>
      </c>
      <c r="E2212" s="20" t="s">
        <v>6</v>
      </c>
      <c r="F2212" s="18">
        <v>1</v>
      </c>
      <c r="G2212" s="19">
        <f>607.02</f>
        <v>607.02</v>
      </c>
      <c r="H2212" s="20">
        <v>39</v>
      </c>
      <c r="I2212" s="25">
        <f t="shared" si="131"/>
        <v>23673.78</v>
      </c>
      <c r="J2212" s="97"/>
      <c r="K2212" s="98"/>
      <c r="L2212" s="98"/>
      <c r="M2212" s="98"/>
      <c r="N2212" s="98"/>
      <c r="R2212" s="39"/>
    </row>
    <row r="2213" spans="1:18" s="2" customFormat="1" ht="26.4">
      <c r="A2213" s="93">
        <f>A2212+1</f>
        <v>2034</v>
      </c>
      <c r="B2213" s="30" t="s">
        <v>3383</v>
      </c>
      <c r="C2213" s="30" t="s">
        <v>3384</v>
      </c>
      <c r="D2213" s="20" t="s">
        <v>25</v>
      </c>
      <c r="E2213" s="20" t="s">
        <v>26</v>
      </c>
      <c r="F2213" s="18">
        <v>1</v>
      </c>
      <c r="G2213" s="19">
        <v>293.95999999999998</v>
      </c>
      <c r="H2213" s="20">
        <v>6000</v>
      </c>
      <c r="I2213" s="25">
        <f t="shared" si="131"/>
        <v>1763759.9999999998</v>
      </c>
      <c r="J2213" s="97"/>
      <c r="K2213" s="98"/>
      <c r="L2213" s="98"/>
      <c r="M2213" s="98"/>
      <c r="N2213" s="98"/>
      <c r="R2213" s="39"/>
    </row>
    <row r="2214" spans="1:18" s="2" customFormat="1" ht="14.4">
      <c r="A2214" s="93">
        <f t="shared" ref="A2214:A2228" si="133">A2213+1</f>
        <v>2035</v>
      </c>
      <c r="B2214" s="30" t="s">
        <v>3385</v>
      </c>
      <c r="C2214" s="30" t="s">
        <v>3386</v>
      </c>
      <c r="D2214" s="20" t="s">
        <v>43</v>
      </c>
      <c r="E2214" s="20" t="s">
        <v>43</v>
      </c>
      <c r="F2214" s="18">
        <v>1</v>
      </c>
      <c r="G2214" s="19">
        <f>2958</f>
        <v>2958</v>
      </c>
      <c r="H2214" s="20">
        <f>H2213*0.024</f>
        <v>144</v>
      </c>
      <c r="I2214" s="25">
        <f t="shared" si="131"/>
        <v>425952</v>
      </c>
      <c r="J2214" s="97"/>
      <c r="K2214" s="98"/>
      <c r="L2214" s="98"/>
      <c r="M2214" s="98"/>
      <c r="N2214" s="98"/>
      <c r="R2214" s="39"/>
    </row>
    <row r="2215" spans="1:18" s="2" customFormat="1" ht="14.4">
      <c r="A2215" s="93">
        <f t="shared" si="133"/>
        <v>2036</v>
      </c>
      <c r="B2215" s="30" t="s">
        <v>3387</v>
      </c>
      <c r="C2215" s="30" t="s">
        <v>3388</v>
      </c>
      <c r="D2215" s="20" t="s">
        <v>5</v>
      </c>
      <c r="E2215" s="20" t="s">
        <v>6</v>
      </c>
      <c r="F2215" s="18">
        <v>1</v>
      </c>
      <c r="G2215" s="19">
        <f>203.37*1.15</f>
        <v>233.87549999999999</v>
      </c>
      <c r="H2215" s="20">
        <f>H2213</f>
        <v>6000</v>
      </c>
      <c r="I2215" s="25">
        <f t="shared" si="131"/>
        <v>1403253</v>
      </c>
      <c r="J2215" s="97"/>
      <c r="K2215" s="98"/>
      <c r="L2215" s="98"/>
      <c r="M2215" s="98"/>
      <c r="N2215" s="98"/>
      <c r="R2215" s="39"/>
    </row>
    <row r="2216" spans="1:18" s="2" customFormat="1" ht="14.4">
      <c r="A2216" s="93">
        <f t="shared" si="133"/>
        <v>2037</v>
      </c>
      <c r="B2216" s="30" t="s">
        <v>3389</v>
      </c>
      <c r="C2216" s="30" t="s">
        <v>3390</v>
      </c>
      <c r="D2216" s="20" t="s">
        <v>9</v>
      </c>
      <c r="E2216" s="20" t="s">
        <v>9</v>
      </c>
      <c r="F2216" s="18">
        <v>1</v>
      </c>
      <c r="G2216" s="19">
        <v>99</v>
      </c>
      <c r="H2216" s="20">
        <v>3773.05</v>
      </c>
      <c r="I2216" s="25">
        <f t="shared" si="131"/>
        <v>373531.95</v>
      </c>
      <c r="J2216" s="97"/>
      <c r="K2216" s="98"/>
      <c r="L2216" s="98"/>
      <c r="M2216" s="98"/>
      <c r="N2216" s="98"/>
      <c r="R2216" s="39"/>
    </row>
    <row r="2217" spans="1:18" s="2" customFormat="1" ht="14.4">
      <c r="A2217" s="93">
        <f t="shared" si="133"/>
        <v>2038</v>
      </c>
      <c r="B2217" s="94" t="s">
        <v>3391</v>
      </c>
      <c r="C2217" s="94" t="s">
        <v>3392</v>
      </c>
      <c r="D2217" s="95"/>
      <c r="E2217" s="95"/>
      <c r="F2217" s="18"/>
      <c r="G2217" s="19"/>
      <c r="H2217" s="96"/>
      <c r="I2217" s="25"/>
      <c r="J2217" s="2">
        <v>0</v>
      </c>
      <c r="R2217" s="39"/>
    </row>
    <row r="2218" spans="1:18" s="2" customFormat="1" ht="39.6">
      <c r="A2218" s="93">
        <f t="shared" si="133"/>
        <v>2039</v>
      </c>
      <c r="B2218" s="30" t="s">
        <v>3393</v>
      </c>
      <c r="C2218" s="30" t="s">
        <v>3394</v>
      </c>
      <c r="D2218" s="20" t="s">
        <v>8</v>
      </c>
      <c r="E2218" s="20" t="s">
        <v>9</v>
      </c>
      <c r="F2218" s="18">
        <v>1</v>
      </c>
      <c r="G2218" s="19">
        <f>1.633198857*62.38</f>
        <v>101.87894469966001</v>
      </c>
      <c r="H2218" s="32">
        <v>20</v>
      </c>
      <c r="I2218" s="25">
        <f t="shared" si="131"/>
        <v>2037.5788939932002</v>
      </c>
      <c r="R2218" s="39"/>
    </row>
    <row r="2219" spans="1:18" s="2" customFormat="1" ht="14.4">
      <c r="A2219" s="93">
        <f t="shared" si="133"/>
        <v>2040</v>
      </c>
      <c r="B2219" s="30" t="s">
        <v>177</v>
      </c>
      <c r="C2219" s="30" t="s">
        <v>58</v>
      </c>
      <c r="D2219" s="20" t="s">
        <v>17</v>
      </c>
      <c r="E2219" s="20" t="s">
        <v>43</v>
      </c>
      <c r="F2219" s="18">
        <v>1</v>
      </c>
      <c r="G2219" s="19">
        <v>1283.52</v>
      </c>
      <c r="H2219" s="32">
        <v>1</v>
      </c>
      <c r="I2219" s="25">
        <f t="shared" si="131"/>
        <v>1283.52</v>
      </c>
      <c r="R2219" s="39"/>
    </row>
    <row r="2220" spans="1:18" s="2" customFormat="1" ht="26.4">
      <c r="A2220" s="93">
        <f t="shared" si="133"/>
        <v>2041</v>
      </c>
      <c r="B2220" s="30" t="s">
        <v>3395</v>
      </c>
      <c r="C2220" s="30" t="s">
        <v>3396</v>
      </c>
      <c r="D2220" s="20" t="s">
        <v>17</v>
      </c>
      <c r="E2220" s="20" t="s">
        <v>43</v>
      </c>
      <c r="F2220" s="18">
        <v>1</v>
      </c>
      <c r="G2220" s="19">
        <f>1.633198857*123.83</f>
        <v>202.23901446231</v>
      </c>
      <c r="H2220" s="32">
        <v>3</v>
      </c>
      <c r="I2220" s="25">
        <f t="shared" si="131"/>
        <v>606.71704338692996</v>
      </c>
      <c r="R2220" s="39"/>
    </row>
    <row r="2221" spans="1:18" s="2" customFormat="1" ht="14.4">
      <c r="A2221" s="93">
        <f t="shared" si="133"/>
        <v>2042</v>
      </c>
      <c r="B2221" s="30" t="s">
        <v>177</v>
      </c>
      <c r="C2221" s="30" t="s">
        <v>58</v>
      </c>
      <c r="D2221" s="20" t="s">
        <v>17</v>
      </c>
      <c r="E2221" s="20" t="s">
        <v>43</v>
      </c>
      <c r="F2221" s="18">
        <v>1</v>
      </c>
      <c r="G2221" s="19">
        <v>1283.52</v>
      </c>
      <c r="H2221" s="32">
        <v>9</v>
      </c>
      <c r="I2221" s="25">
        <f t="shared" si="131"/>
        <v>11551.68</v>
      </c>
      <c r="R2221" s="39"/>
    </row>
    <row r="2222" spans="1:18" s="2" customFormat="1" ht="39.6">
      <c r="A2222" s="93">
        <f t="shared" si="133"/>
        <v>2043</v>
      </c>
      <c r="B2222" s="30" t="s">
        <v>3397</v>
      </c>
      <c r="C2222" s="30" t="s">
        <v>3398</v>
      </c>
      <c r="D2222" s="20" t="s">
        <v>8</v>
      </c>
      <c r="E2222" s="20" t="s">
        <v>9</v>
      </c>
      <c r="F2222" s="18">
        <v>1</v>
      </c>
      <c r="G2222" s="19">
        <f>1.633198857*27.45</f>
        <v>44.831308624649999</v>
      </c>
      <c r="H2222" s="32">
        <v>20</v>
      </c>
      <c r="I2222" s="25">
        <f t="shared" si="131"/>
        <v>896.62617249300001</v>
      </c>
      <c r="R2222" s="39"/>
    </row>
    <row r="2223" spans="1:18" s="2" customFormat="1" ht="39.6">
      <c r="A2223" s="93">
        <f t="shared" si="133"/>
        <v>2044</v>
      </c>
      <c r="B2223" s="30" t="s">
        <v>3399</v>
      </c>
      <c r="C2223" s="30" t="s">
        <v>3400</v>
      </c>
      <c r="D2223" s="20" t="s">
        <v>8</v>
      </c>
      <c r="E2223" s="20" t="s">
        <v>9</v>
      </c>
      <c r="F2223" s="18">
        <v>1</v>
      </c>
      <c r="G2223" s="19">
        <f>1.633198857*2.66</f>
        <v>4.3443089596200002</v>
      </c>
      <c r="H2223" s="32">
        <v>20</v>
      </c>
      <c r="I2223" s="25">
        <f t="shared" si="131"/>
        <v>86.886179192400007</v>
      </c>
      <c r="R2223" s="39"/>
    </row>
    <row r="2224" spans="1:18" s="2" customFormat="1" ht="52.8">
      <c r="A2224" s="93">
        <f t="shared" si="133"/>
        <v>2045</v>
      </c>
      <c r="B2224" s="30" t="s">
        <v>3401</v>
      </c>
      <c r="C2224" s="30" t="s">
        <v>3402</v>
      </c>
      <c r="D2224" s="20" t="s">
        <v>8</v>
      </c>
      <c r="E2224" s="20" t="s">
        <v>9</v>
      </c>
      <c r="F2224" s="18">
        <v>1</v>
      </c>
      <c r="G2224" s="19">
        <f>1.633198857*22.74</f>
        <v>37.138942008179995</v>
      </c>
      <c r="H2224" s="32">
        <v>20</v>
      </c>
      <c r="I2224" s="25">
        <f t="shared" si="131"/>
        <v>742.77884016359985</v>
      </c>
      <c r="R2224" s="39"/>
    </row>
    <row r="2225" spans="1:18" s="2" customFormat="1" ht="66">
      <c r="A2225" s="93">
        <f t="shared" si="133"/>
        <v>2046</v>
      </c>
      <c r="B2225" s="30" t="s">
        <v>3403</v>
      </c>
      <c r="C2225" s="30" t="s">
        <v>3404</v>
      </c>
      <c r="D2225" s="20" t="s">
        <v>8</v>
      </c>
      <c r="E2225" s="20" t="s">
        <v>9</v>
      </c>
      <c r="F2225" s="18">
        <v>1</v>
      </c>
      <c r="G2225" s="19">
        <f>1.633198857*0.014</f>
        <v>2.2864783998000002E-2</v>
      </c>
      <c r="H2225" s="32">
        <v>20</v>
      </c>
      <c r="I2225" s="25">
        <f t="shared" si="131"/>
        <v>0.45729567996000003</v>
      </c>
      <c r="R2225" s="39"/>
    </row>
    <row r="2226" spans="1:18" s="2" customFormat="1" ht="52.8">
      <c r="A2226" s="93">
        <f t="shared" si="133"/>
        <v>2047</v>
      </c>
      <c r="B2226" s="30" t="s">
        <v>3405</v>
      </c>
      <c r="C2226" s="30" t="s">
        <v>3406</v>
      </c>
      <c r="D2226" s="20" t="s">
        <v>8</v>
      </c>
      <c r="E2226" s="20" t="s">
        <v>9</v>
      </c>
      <c r="F2226" s="18">
        <v>1</v>
      </c>
      <c r="G2226" s="19">
        <f>1.633198857*20.95</f>
        <v>34.215516054150001</v>
      </c>
      <c r="H2226" s="32">
        <v>20</v>
      </c>
      <c r="I2226" s="25">
        <f t="shared" si="131"/>
        <v>684.31032108299996</v>
      </c>
      <c r="R2226" s="39"/>
    </row>
    <row r="2227" spans="1:18" s="2" customFormat="1" ht="39.6">
      <c r="A2227" s="93">
        <f t="shared" si="133"/>
        <v>2048</v>
      </c>
      <c r="B2227" s="30" t="s">
        <v>3407</v>
      </c>
      <c r="C2227" s="30" t="s">
        <v>3408</v>
      </c>
      <c r="D2227" s="9" t="s">
        <v>25</v>
      </c>
      <c r="E2227" s="20" t="s">
        <v>26</v>
      </c>
      <c r="F2227" s="18">
        <v>1</v>
      </c>
      <c r="G2227" s="19">
        <f>1.633198857*179.99</f>
        <v>293.95946227143003</v>
      </c>
      <c r="H2227" s="32">
        <v>6</v>
      </c>
      <c r="I2227" s="25">
        <f t="shared" si="131"/>
        <v>1763.75677362858</v>
      </c>
      <c r="R2227" s="39"/>
    </row>
    <row r="2228" spans="1:18" s="2" customFormat="1" ht="14.4">
      <c r="A2228" s="93">
        <f t="shared" si="133"/>
        <v>2049</v>
      </c>
      <c r="B2228" s="30" t="s">
        <v>3409</v>
      </c>
      <c r="C2228" s="30" t="s">
        <v>3410</v>
      </c>
      <c r="D2228" s="20" t="s">
        <v>5</v>
      </c>
      <c r="E2228" s="20" t="s">
        <v>6</v>
      </c>
      <c r="F2228" s="18">
        <v>1</v>
      </c>
      <c r="G2228" s="19">
        <v>203.37</v>
      </c>
      <c r="H2228" s="32">
        <v>6</v>
      </c>
      <c r="I2228" s="25"/>
      <c r="R2228" s="39"/>
    </row>
    <row r="2229" spans="1:18" ht="79.2">
      <c r="A2229" s="9" t="s">
        <v>61</v>
      </c>
      <c r="B2229" s="94" t="s">
        <v>3411</v>
      </c>
      <c r="C2229" s="94" t="s">
        <v>3412</v>
      </c>
      <c r="D2229" s="95"/>
      <c r="E2229" s="95"/>
      <c r="F2229" s="18"/>
      <c r="G2229" s="19"/>
      <c r="H2229" s="96"/>
      <c r="I2229" s="25"/>
      <c r="J2229" s="24" t="s">
        <v>3413</v>
      </c>
      <c r="K2229" s="24">
        <f>1729.4</f>
        <v>1729.4</v>
      </c>
      <c r="L2229" s="24"/>
      <c r="M2229" s="22"/>
      <c r="N2229" s="23"/>
      <c r="O2229" s="22"/>
      <c r="P2229" s="22"/>
      <c r="Q2229" s="22"/>
      <c r="R2229" s="22"/>
    </row>
    <row r="2230" spans="1:18" s="2" customFormat="1" ht="39.6">
      <c r="A2230" s="20">
        <f>A2228+1</f>
        <v>2050</v>
      </c>
      <c r="B2230" s="30" t="s">
        <v>3359</v>
      </c>
      <c r="C2230" s="30" t="s">
        <v>3360</v>
      </c>
      <c r="D2230" s="20" t="s">
        <v>9</v>
      </c>
      <c r="E2230" s="20" t="s">
        <v>9</v>
      </c>
      <c r="F2230" s="18">
        <v>1</v>
      </c>
      <c r="G2230" s="19">
        <f>1.633198857*62.38</f>
        <v>101.87894469966001</v>
      </c>
      <c r="H2230" s="20">
        <f>1729.4</f>
        <v>1729.4</v>
      </c>
      <c r="I2230" s="25">
        <f t="shared" si="131"/>
        <v>176189.44696359202</v>
      </c>
      <c r="J2230" s="24"/>
      <c r="K2230" s="24"/>
      <c r="L2230" s="24"/>
      <c r="M2230" s="24"/>
      <c r="N2230" s="23"/>
      <c r="O2230" s="39"/>
      <c r="P2230" s="39"/>
      <c r="Q2230" s="39"/>
      <c r="R2230" s="39"/>
    </row>
    <row r="2231" spans="1:18" s="2" customFormat="1" ht="14.4">
      <c r="A2231" s="20">
        <f>A2230+1</f>
        <v>2051</v>
      </c>
      <c r="B2231" s="30" t="s">
        <v>3361</v>
      </c>
      <c r="C2231" s="30" t="s">
        <v>3362</v>
      </c>
      <c r="D2231" s="20" t="s">
        <v>9</v>
      </c>
      <c r="E2231" s="20" t="s">
        <v>9</v>
      </c>
      <c r="F2231" s="18">
        <v>1</v>
      </c>
      <c r="G2231" s="19">
        <v>8.6</v>
      </c>
      <c r="H2231" s="20">
        <f>H2230</f>
        <v>1729.4</v>
      </c>
      <c r="I2231" s="25">
        <f t="shared" si="131"/>
        <v>14872.84</v>
      </c>
      <c r="J2231" s="24"/>
      <c r="K2231" s="24"/>
      <c r="L2231" s="24"/>
      <c r="M2231" s="24"/>
      <c r="N2231" s="23"/>
      <c r="O2231" s="39"/>
      <c r="P2231" s="39"/>
      <c r="Q2231" s="39"/>
      <c r="R2231" s="39"/>
    </row>
    <row r="2232" spans="1:18" s="2" customFormat="1" ht="26.4">
      <c r="A2232" s="20">
        <f t="shared" ref="A2232:A2245" si="134">A2231+1</f>
        <v>2052</v>
      </c>
      <c r="B2232" s="30" t="s">
        <v>3363</v>
      </c>
      <c r="C2232" s="30" t="s">
        <v>3364</v>
      </c>
      <c r="D2232" s="20" t="s">
        <v>9</v>
      </c>
      <c r="E2232" s="20" t="s">
        <v>9</v>
      </c>
      <c r="F2232" s="18">
        <v>1</v>
      </c>
      <c r="G2232" s="19">
        <f>1.633198857*123.84</f>
        <v>202.25534645088001</v>
      </c>
      <c r="H2232" s="20">
        <f>H2230</f>
        <v>1729.4</v>
      </c>
      <c r="I2232" s="25">
        <f t="shared" si="131"/>
        <v>349780.39615215192</v>
      </c>
      <c r="J2232" s="24"/>
      <c r="K2232" s="24"/>
      <c r="L2232" s="24"/>
      <c r="M2232" s="24"/>
      <c r="N2232" s="23"/>
      <c r="O2232" s="39"/>
      <c r="P2232" s="39"/>
      <c r="Q2232" s="39"/>
      <c r="R2232" s="39"/>
    </row>
    <row r="2233" spans="1:18" s="2" customFormat="1" ht="14.4">
      <c r="A2233" s="20">
        <f t="shared" si="134"/>
        <v>2053</v>
      </c>
      <c r="B2233" s="30" t="s">
        <v>177</v>
      </c>
      <c r="C2233" s="30" t="s">
        <v>58</v>
      </c>
      <c r="D2233" s="20" t="s">
        <v>43</v>
      </c>
      <c r="E2233" s="20" t="s">
        <v>43</v>
      </c>
      <c r="F2233" s="18">
        <v>1</v>
      </c>
      <c r="G2233" s="19">
        <v>1283.52</v>
      </c>
      <c r="H2233" s="20">
        <f>SUM(H2232*0.15)</f>
        <v>259.41000000000003</v>
      </c>
      <c r="I2233" s="25">
        <f t="shared" si="131"/>
        <v>332957.92320000002</v>
      </c>
      <c r="J2233" s="24"/>
      <c r="K2233" s="24"/>
      <c r="L2233" s="24"/>
      <c r="M2233" s="24"/>
      <c r="N2233" s="23"/>
      <c r="O2233" s="39"/>
      <c r="P2233" s="39"/>
      <c r="Q2233" s="39"/>
      <c r="R2233" s="39"/>
    </row>
    <row r="2234" spans="1:18" s="2" customFormat="1" ht="26.4">
      <c r="A2234" s="20">
        <f t="shared" si="134"/>
        <v>2054</v>
      </c>
      <c r="B2234" s="30" t="s">
        <v>3414</v>
      </c>
      <c r="C2234" s="30" t="s">
        <v>3370</v>
      </c>
      <c r="D2234" s="20" t="s">
        <v>9</v>
      </c>
      <c r="E2234" s="20" t="s">
        <v>9</v>
      </c>
      <c r="F2234" s="18">
        <v>1</v>
      </c>
      <c r="G2234" s="19">
        <f>1.633198857*30.15</f>
        <v>49.240945538550001</v>
      </c>
      <c r="H2234" s="20">
        <f>H2230</f>
        <v>1729.4</v>
      </c>
      <c r="I2234" s="25">
        <f t="shared" si="131"/>
        <v>85157.291214368379</v>
      </c>
      <c r="J2234" s="24"/>
      <c r="K2234" s="24"/>
      <c r="L2234" s="24"/>
      <c r="M2234" s="24"/>
      <c r="N2234" s="23"/>
      <c r="O2234" s="39"/>
      <c r="P2234" s="39"/>
      <c r="Q2234" s="39"/>
      <c r="R2234" s="39"/>
    </row>
    <row r="2235" spans="1:18" s="2" customFormat="1" ht="14.4">
      <c r="A2235" s="20">
        <f t="shared" si="134"/>
        <v>2055</v>
      </c>
      <c r="B2235" s="30" t="s">
        <v>3371</v>
      </c>
      <c r="C2235" s="30" t="s">
        <v>3372</v>
      </c>
      <c r="D2235" s="20" t="s">
        <v>43</v>
      </c>
      <c r="E2235" s="20" t="s">
        <v>43</v>
      </c>
      <c r="F2235" s="18">
        <v>1</v>
      </c>
      <c r="G2235" s="19">
        <f>1768.28</f>
        <v>1768.28</v>
      </c>
      <c r="H2235" s="20">
        <f>H2234*0.15</f>
        <v>259.41000000000003</v>
      </c>
      <c r="I2235" s="25">
        <f t="shared" si="131"/>
        <v>458709.51480000006</v>
      </c>
      <c r="J2235" s="24"/>
      <c r="K2235" s="24"/>
      <c r="L2235" s="24"/>
      <c r="M2235" s="24"/>
      <c r="N2235" s="23"/>
      <c r="O2235" s="39"/>
      <c r="P2235" s="39"/>
      <c r="Q2235" s="39"/>
      <c r="R2235" s="39"/>
    </row>
    <row r="2236" spans="1:18" s="2" customFormat="1" ht="26.4">
      <c r="A2236" s="20">
        <f t="shared" si="134"/>
        <v>2056</v>
      </c>
      <c r="B2236" s="30" t="s">
        <v>3373</v>
      </c>
      <c r="C2236" s="30" t="s">
        <v>3374</v>
      </c>
      <c r="D2236" s="20" t="s">
        <v>9</v>
      </c>
      <c r="E2236" s="20" t="s">
        <v>9</v>
      </c>
      <c r="F2236" s="18">
        <v>1</v>
      </c>
      <c r="G2236" s="19">
        <v>11.86</v>
      </c>
      <c r="H2236" s="20">
        <f>H2230</f>
        <v>1729.4</v>
      </c>
      <c r="I2236" s="25">
        <f t="shared" si="131"/>
        <v>20510.684000000001</v>
      </c>
      <c r="J2236" s="24"/>
      <c r="K2236" s="24"/>
      <c r="L2236" s="24"/>
      <c r="M2236" s="24"/>
      <c r="N2236" s="23"/>
      <c r="O2236" s="39"/>
      <c r="P2236" s="39"/>
      <c r="Q2236" s="39"/>
      <c r="R2236" s="39"/>
    </row>
    <row r="2237" spans="1:18" s="2" customFormat="1" ht="26.4">
      <c r="A2237" s="20">
        <f t="shared" si="134"/>
        <v>2057</v>
      </c>
      <c r="B2237" s="30" t="s">
        <v>3375</v>
      </c>
      <c r="C2237" s="30" t="s">
        <v>3376</v>
      </c>
      <c r="D2237" s="20" t="s">
        <v>43</v>
      </c>
      <c r="E2237" s="20" t="s">
        <v>43</v>
      </c>
      <c r="F2237" s="18">
        <v>1</v>
      </c>
      <c r="G2237" s="19">
        <v>3616.08</v>
      </c>
      <c r="H2237" s="20">
        <f>H2236*0.06</f>
        <v>103.764</v>
      </c>
      <c r="I2237" s="25">
        <f t="shared" si="131"/>
        <v>375218.92511999997</v>
      </c>
      <c r="J2237" s="24"/>
      <c r="K2237" s="24"/>
      <c r="L2237" s="24"/>
      <c r="M2237" s="24"/>
      <c r="N2237" s="23"/>
      <c r="O2237" s="39"/>
      <c r="P2237" s="39"/>
      <c r="Q2237" s="39"/>
      <c r="R2237" s="39"/>
    </row>
    <row r="2238" spans="1:18" s="2" customFormat="1" ht="26.4">
      <c r="A2238" s="20">
        <f t="shared" si="134"/>
        <v>2058</v>
      </c>
      <c r="B2238" s="30" t="s">
        <v>3377</v>
      </c>
      <c r="C2238" s="30" t="s">
        <v>3378</v>
      </c>
      <c r="D2238" s="20" t="s">
        <v>9</v>
      </c>
      <c r="E2238" s="20" t="s">
        <v>9</v>
      </c>
      <c r="F2238" s="18">
        <v>1</v>
      </c>
      <c r="G2238" s="19">
        <f>1.633198857*98.04</f>
        <v>160.11881594028</v>
      </c>
      <c r="H2238" s="20">
        <f>H2230</f>
        <v>1729.4</v>
      </c>
      <c r="I2238" s="25">
        <f t="shared" si="131"/>
        <v>276909.48028712027</v>
      </c>
      <c r="J2238" s="24"/>
      <c r="K2238" s="24"/>
      <c r="L2238" s="24"/>
      <c r="M2238" s="24"/>
      <c r="N2238" s="23"/>
      <c r="O2238" s="39"/>
      <c r="P2238" s="39"/>
      <c r="Q2238" s="39"/>
      <c r="R2238" s="39"/>
    </row>
    <row r="2239" spans="1:18" s="2" customFormat="1" ht="14.4">
      <c r="A2239" s="20">
        <f t="shared" si="134"/>
        <v>2059</v>
      </c>
      <c r="B2239" s="30" t="s">
        <v>3379</v>
      </c>
      <c r="C2239" s="30" t="s">
        <v>3380</v>
      </c>
      <c r="D2239" s="20" t="s">
        <v>9</v>
      </c>
      <c r="E2239" s="20" t="s">
        <v>9</v>
      </c>
      <c r="F2239" s="18">
        <v>1</v>
      </c>
      <c r="G2239" s="19">
        <f>764.98</f>
        <v>764.98</v>
      </c>
      <c r="H2239" s="20">
        <f>H2230</f>
        <v>1729.4</v>
      </c>
      <c r="I2239" s="25">
        <f t="shared" si="131"/>
        <v>1322956.412</v>
      </c>
      <c r="J2239" s="24"/>
      <c r="K2239" s="24"/>
      <c r="L2239" s="24"/>
      <c r="M2239" s="24"/>
      <c r="N2239" s="23"/>
      <c r="O2239" s="39"/>
      <c r="P2239" s="39"/>
      <c r="Q2239" s="39"/>
      <c r="R2239" s="39"/>
    </row>
    <row r="2240" spans="1:18" s="2" customFormat="1" ht="14.4">
      <c r="A2240" s="20">
        <f t="shared" si="134"/>
        <v>2060</v>
      </c>
      <c r="B2240" s="30" t="s">
        <v>3381</v>
      </c>
      <c r="C2240" s="30" t="s">
        <v>3382</v>
      </c>
      <c r="D2240" s="20" t="s">
        <v>5</v>
      </c>
      <c r="E2240" s="20" t="s">
        <v>6</v>
      </c>
      <c r="F2240" s="18">
        <v>1</v>
      </c>
      <c r="G2240" s="19">
        <f>607.02</f>
        <v>607.02</v>
      </c>
      <c r="H2240" s="20">
        <v>39</v>
      </c>
      <c r="I2240" s="25">
        <f t="shared" si="131"/>
        <v>23673.78</v>
      </c>
      <c r="J2240" s="24"/>
      <c r="K2240" s="24"/>
      <c r="L2240" s="24"/>
      <c r="M2240" s="24"/>
      <c r="N2240" s="23"/>
      <c r="O2240" s="39"/>
      <c r="P2240" s="39"/>
      <c r="Q2240" s="39"/>
      <c r="R2240" s="39"/>
    </row>
    <row r="2241" spans="1:18" s="2" customFormat="1" ht="26.4">
      <c r="A2241" s="20">
        <f t="shared" si="134"/>
        <v>2061</v>
      </c>
      <c r="B2241" s="30" t="s">
        <v>3383</v>
      </c>
      <c r="C2241" s="30" t="s">
        <v>3384</v>
      </c>
      <c r="D2241" s="20" t="s">
        <v>25</v>
      </c>
      <c r="E2241" s="20" t="s">
        <v>26</v>
      </c>
      <c r="F2241" s="18">
        <v>1</v>
      </c>
      <c r="G2241" s="19">
        <f>293.96*1.15</f>
        <v>338.05399999999997</v>
      </c>
      <c r="H2241" s="20">
        <v>2600</v>
      </c>
      <c r="I2241" s="25">
        <f t="shared" si="131"/>
        <v>878940.39999999991</v>
      </c>
      <c r="J2241" s="24"/>
      <c r="K2241" s="24"/>
      <c r="L2241" s="24"/>
      <c r="M2241" s="24"/>
      <c r="N2241" s="23"/>
      <c r="O2241" s="39"/>
      <c r="P2241" s="39"/>
      <c r="Q2241" s="39"/>
      <c r="R2241" s="39"/>
    </row>
    <row r="2242" spans="1:18" s="2" customFormat="1" ht="14.4">
      <c r="A2242" s="20">
        <f t="shared" si="134"/>
        <v>2062</v>
      </c>
      <c r="B2242" s="30" t="s">
        <v>3385</v>
      </c>
      <c r="C2242" s="30" t="s">
        <v>3386</v>
      </c>
      <c r="D2242" s="20" t="s">
        <v>43</v>
      </c>
      <c r="E2242" s="20" t="s">
        <v>43</v>
      </c>
      <c r="F2242" s="18">
        <v>1</v>
      </c>
      <c r="G2242" s="19">
        <f>2958</f>
        <v>2958</v>
      </c>
      <c r="H2242" s="20">
        <f>H2241*0.024</f>
        <v>62.4</v>
      </c>
      <c r="I2242" s="25">
        <f t="shared" si="131"/>
        <v>184579.19999999998</v>
      </c>
      <c r="J2242" s="24"/>
      <c r="K2242" s="24"/>
      <c r="L2242" s="24"/>
      <c r="M2242" s="24"/>
      <c r="N2242" s="23"/>
      <c r="O2242" s="39"/>
      <c r="P2242" s="39"/>
      <c r="Q2242" s="39"/>
      <c r="R2242" s="39"/>
    </row>
    <row r="2243" spans="1:18" s="2" customFormat="1" ht="14.4">
      <c r="A2243" s="20">
        <f t="shared" si="134"/>
        <v>2063</v>
      </c>
      <c r="B2243" s="30" t="s">
        <v>3387</v>
      </c>
      <c r="C2243" s="30" t="s">
        <v>3388</v>
      </c>
      <c r="D2243" s="20" t="s">
        <v>5</v>
      </c>
      <c r="E2243" s="20" t="s">
        <v>6</v>
      </c>
      <c r="F2243" s="18">
        <v>1</v>
      </c>
      <c r="G2243" s="19">
        <v>203.37</v>
      </c>
      <c r="H2243" s="20">
        <f>H2241</f>
        <v>2600</v>
      </c>
      <c r="I2243" s="25">
        <f t="shared" si="131"/>
        <v>528762</v>
      </c>
      <c r="J2243" s="24"/>
      <c r="K2243" s="24"/>
      <c r="L2243" s="24"/>
      <c r="M2243" s="24"/>
      <c r="N2243" s="23"/>
      <c r="O2243" s="39"/>
      <c r="P2243" s="39"/>
      <c r="Q2243" s="39"/>
      <c r="R2243" s="39"/>
    </row>
    <row r="2244" spans="1:18" s="2" customFormat="1" ht="14.4">
      <c r="A2244" s="20">
        <f t="shared" si="134"/>
        <v>2064</v>
      </c>
      <c r="B2244" s="30" t="s">
        <v>3389</v>
      </c>
      <c r="C2244" s="30" t="s">
        <v>3390</v>
      </c>
      <c r="D2244" s="20" t="s">
        <v>9</v>
      </c>
      <c r="E2244" s="20" t="s">
        <v>9</v>
      </c>
      <c r="F2244" s="18">
        <v>1</v>
      </c>
      <c r="G2244" s="19">
        <v>99</v>
      </c>
      <c r="H2244" s="20">
        <f>H2230</f>
        <v>1729.4</v>
      </c>
      <c r="I2244" s="25">
        <f t="shared" si="131"/>
        <v>171210.6</v>
      </c>
      <c r="J2244" s="24"/>
      <c r="K2244" s="24"/>
      <c r="L2244" s="24"/>
      <c r="M2244" s="24"/>
      <c r="N2244" s="23"/>
      <c r="O2244" s="39"/>
      <c r="P2244" s="39"/>
      <c r="Q2244" s="39"/>
      <c r="R2244" s="39"/>
    </row>
    <row r="2245" spans="1:18" s="2" customFormat="1" ht="14.4">
      <c r="A2245" s="20">
        <f t="shared" si="134"/>
        <v>2065</v>
      </c>
      <c r="B2245" s="41" t="s">
        <v>1077</v>
      </c>
      <c r="C2245" s="41" t="s">
        <v>219</v>
      </c>
      <c r="D2245" s="42" t="s">
        <v>48</v>
      </c>
      <c r="E2245" s="42" t="s">
        <v>49</v>
      </c>
      <c r="F2245" s="18">
        <v>1</v>
      </c>
      <c r="G2245" s="19"/>
      <c r="H2245" s="58">
        <v>1</v>
      </c>
      <c r="I2245" s="25">
        <f>SUM(I2131:I2244)*0.05</f>
        <v>1128450.3392442714</v>
      </c>
      <c r="J2245" s="24"/>
      <c r="K2245" s="24"/>
      <c r="L2245" s="24"/>
      <c r="M2245" s="24"/>
      <c r="N2245" s="23"/>
      <c r="O2245" s="39"/>
      <c r="P2245" s="39"/>
      <c r="Q2245" s="39"/>
      <c r="R2245" s="39"/>
    </row>
    <row r="2246" spans="1:18" ht="105.6">
      <c r="A2246" s="9" t="s">
        <v>61</v>
      </c>
      <c r="B2246" s="13" t="s">
        <v>3415</v>
      </c>
      <c r="C2246" s="13" t="s">
        <v>3416</v>
      </c>
      <c r="D2246" s="85"/>
      <c r="E2246" s="85"/>
      <c r="F2246" s="18"/>
      <c r="G2246" s="19"/>
      <c r="H2246" s="86"/>
      <c r="I2246" s="25"/>
      <c r="J2246" s="24" t="s">
        <v>3417</v>
      </c>
      <c r="K2246" s="22" t="s">
        <v>3418</v>
      </c>
      <c r="L2246" s="22"/>
      <c r="M2246" s="22"/>
      <c r="N2246" s="23"/>
      <c r="O2246" s="24"/>
      <c r="P2246" s="22"/>
      <c r="Q2246" s="22"/>
      <c r="R2246" s="22"/>
    </row>
    <row r="2247" spans="1:18" s="2" customFormat="1" ht="39.6">
      <c r="A2247" s="20">
        <f>A2245+1</f>
        <v>2066</v>
      </c>
      <c r="B2247" s="30" t="s">
        <v>3359</v>
      </c>
      <c r="C2247" s="30" t="s">
        <v>3419</v>
      </c>
      <c r="D2247" s="20" t="s">
        <v>9</v>
      </c>
      <c r="E2247" s="20" t="s">
        <v>9</v>
      </c>
      <c r="F2247" s="18">
        <v>1</v>
      </c>
      <c r="G2247" s="19">
        <f>1.633198857*62.38</f>
        <v>101.87894469966001</v>
      </c>
      <c r="H2247" s="20">
        <v>513.65</v>
      </c>
      <c r="I2247" s="25">
        <f t="shared" si="131"/>
        <v>52330.119944980361</v>
      </c>
      <c r="J2247" s="39"/>
      <c r="K2247" s="39"/>
      <c r="L2247" s="39"/>
      <c r="M2247" s="39"/>
      <c r="N2247" s="23"/>
      <c r="O2247" s="39"/>
      <c r="P2247" s="39"/>
      <c r="Q2247" s="39"/>
      <c r="R2247" s="39"/>
    </row>
    <row r="2248" spans="1:18" s="2" customFormat="1" ht="14.4">
      <c r="A2248" s="20">
        <f>A2247+1</f>
        <v>2067</v>
      </c>
      <c r="B2248" s="30" t="s">
        <v>3361</v>
      </c>
      <c r="C2248" s="30" t="s">
        <v>3362</v>
      </c>
      <c r="D2248" s="20" t="s">
        <v>9</v>
      </c>
      <c r="E2248" s="20" t="s">
        <v>9</v>
      </c>
      <c r="F2248" s="18">
        <v>1</v>
      </c>
      <c r="G2248" s="19">
        <v>8.6</v>
      </c>
      <c r="H2248" s="20">
        <f>H2247</f>
        <v>513.65</v>
      </c>
      <c r="I2248" s="25">
        <f t="shared" si="131"/>
        <v>4417.3899999999994</v>
      </c>
      <c r="J2248" s="39"/>
      <c r="K2248" s="39"/>
      <c r="L2248" s="39"/>
      <c r="M2248" s="39"/>
      <c r="N2248" s="23"/>
      <c r="O2248" s="39"/>
      <c r="P2248" s="39"/>
      <c r="Q2248" s="39"/>
      <c r="R2248" s="39"/>
    </row>
    <row r="2249" spans="1:18" s="2" customFormat="1" ht="26.4">
      <c r="A2249" s="20">
        <f t="shared" ref="A2249:A2266" si="135">A2248+1</f>
        <v>2068</v>
      </c>
      <c r="B2249" s="30" t="s">
        <v>3363</v>
      </c>
      <c r="C2249" s="30" t="s">
        <v>3364</v>
      </c>
      <c r="D2249" s="20" t="s">
        <v>9</v>
      </c>
      <c r="E2249" s="20" t="s">
        <v>9</v>
      </c>
      <c r="F2249" s="18">
        <v>1</v>
      </c>
      <c r="G2249" s="19">
        <f>1.633198857*123.84</f>
        <v>202.25534645088001</v>
      </c>
      <c r="H2249" s="20">
        <f>H2247</f>
        <v>513.65</v>
      </c>
      <c r="I2249" s="25">
        <f t="shared" si="131"/>
        <v>103888.45870449451</v>
      </c>
      <c r="J2249" s="39"/>
      <c r="K2249" s="39"/>
      <c r="L2249" s="39"/>
      <c r="M2249" s="39"/>
      <c r="N2249" s="23"/>
      <c r="O2249" s="39"/>
      <c r="P2249" s="39"/>
      <c r="Q2249" s="39"/>
      <c r="R2249" s="39"/>
    </row>
    <row r="2250" spans="1:18" s="2" customFormat="1" ht="14.4">
      <c r="A2250" s="20">
        <f t="shared" si="135"/>
        <v>2069</v>
      </c>
      <c r="B2250" s="30" t="s">
        <v>177</v>
      </c>
      <c r="C2250" s="30" t="s">
        <v>58</v>
      </c>
      <c r="D2250" s="20" t="s">
        <v>43</v>
      </c>
      <c r="E2250" s="20" t="s">
        <v>43</v>
      </c>
      <c r="F2250" s="18">
        <v>1</v>
      </c>
      <c r="G2250" s="19">
        <v>1283.52</v>
      </c>
      <c r="H2250" s="20">
        <f>SUM(H2249*0.2)</f>
        <v>102.73</v>
      </c>
      <c r="I2250" s="25">
        <f t="shared" si="131"/>
        <v>131856.00959999999</v>
      </c>
      <c r="J2250" s="39"/>
      <c r="K2250" s="39"/>
      <c r="L2250" s="39"/>
      <c r="M2250" s="39"/>
      <c r="N2250" s="23"/>
      <c r="O2250" s="39"/>
      <c r="P2250" s="39"/>
      <c r="Q2250" s="39"/>
      <c r="R2250" s="39"/>
    </row>
    <row r="2251" spans="1:18" s="2" customFormat="1" ht="43.5" customHeight="1">
      <c r="A2251" s="20">
        <f t="shared" si="135"/>
        <v>2070</v>
      </c>
      <c r="B2251" s="30" t="s">
        <v>3365</v>
      </c>
      <c r="C2251" s="30" t="s">
        <v>3366</v>
      </c>
      <c r="D2251" s="20" t="s">
        <v>9</v>
      </c>
      <c r="E2251" s="20" t="s">
        <v>9</v>
      </c>
      <c r="F2251" s="18">
        <v>1</v>
      </c>
      <c r="G2251" s="19">
        <f>1.633198857*27.45</f>
        <v>44.831308624649999</v>
      </c>
      <c r="H2251" s="20">
        <f>H2247</f>
        <v>513.65</v>
      </c>
      <c r="I2251" s="25">
        <f t="shared" ref="I2251:I2314" si="136">G2251*H2251</f>
        <v>23027.601675051472</v>
      </c>
      <c r="J2251" s="39"/>
      <c r="K2251" s="39"/>
      <c r="L2251" s="39"/>
      <c r="M2251" s="39"/>
      <c r="N2251" s="23"/>
      <c r="O2251" s="39"/>
      <c r="P2251" s="39"/>
      <c r="Q2251" s="39"/>
      <c r="R2251" s="39"/>
    </row>
    <row r="2252" spans="1:18" s="2" customFormat="1" ht="14.4">
      <c r="A2252" s="20">
        <f t="shared" si="135"/>
        <v>2071</v>
      </c>
      <c r="B2252" s="30" t="s">
        <v>3367</v>
      </c>
      <c r="C2252" s="30" t="s">
        <v>3420</v>
      </c>
      <c r="D2252" s="20" t="s">
        <v>43</v>
      </c>
      <c r="E2252" s="20" t="s">
        <v>43</v>
      </c>
      <c r="F2252" s="18">
        <v>1</v>
      </c>
      <c r="G2252" s="19">
        <f>2068.12</f>
        <v>2068.12</v>
      </c>
      <c r="H2252" s="20">
        <f>H2251*0.1</f>
        <v>51.365000000000002</v>
      </c>
      <c r="I2252" s="25">
        <f t="shared" si="136"/>
        <v>106228.9838</v>
      </c>
      <c r="J2252" s="39"/>
      <c r="K2252" s="39"/>
      <c r="L2252" s="39"/>
      <c r="M2252" s="39"/>
      <c r="N2252" s="23"/>
      <c r="O2252" s="39"/>
      <c r="P2252" s="39"/>
      <c r="Q2252" s="39"/>
      <c r="R2252" s="39"/>
    </row>
    <row r="2253" spans="1:18" s="2" customFormat="1" ht="42" customHeight="1">
      <c r="A2253" s="20">
        <f t="shared" si="135"/>
        <v>2072</v>
      </c>
      <c r="B2253" s="30" t="s">
        <v>3369</v>
      </c>
      <c r="C2253" s="30" t="s">
        <v>3370</v>
      </c>
      <c r="D2253" s="20" t="s">
        <v>9</v>
      </c>
      <c r="E2253" s="20" t="s">
        <v>9</v>
      </c>
      <c r="F2253" s="18">
        <v>1</v>
      </c>
      <c r="G2253" s="19">
        <f>1.633198857*30.15</f>
        <v>49.240945538550001</v>
      </c>
      <c r="H2253" s="20">
        <f>H2247</f>
        <v>513.65</v>
      </c>
      <c r="I2253" s="25">
        <f t="shared" si="136"/>
        <v>25292.611675876207</v>
      </c>
      <c r="J2253" s="39"/>
      <c r="K2253" s="39"/>
      <c r="L2253" s="39"/>
      <c r="M2253" s="39"/>
      <c r="N2253" s="23"/>
      <c r="O2253" s="39"/>
      <c r="P2253" s="39"/>
      <c r="Q2253" s="39"/>
      <c r="R2253" s="39"/>
    </row>
    <row r="2254" spans="1:18" s="2" customFormat="1" ht="14.4">
      <c r="A2254" s="20">
        <f t="shared" si="135"/>
        <v>2073</v>
      </c>
      <c r="B2254" s="30" t="s">
        <v>3371</v>
      </c>
      <c r="C2254" s="30" t="s">
        <v>3421</v>
      </c>
      <c r="D2254" s="20" t="s">
        <v>43</v>
      </c>
      <c r="E2254" s="20" t="s">
        <v>43</v>
      </c>
      <c r="F2254" s="18">
        <v>1</v>
      </c>
      <c r="G2254" s="19">
        <f>1768.28</f>
        <v>1768.28</v>
      </c>
      <c r="H2254" s="20">
        <f>H2253*0.05</f>
        <v>25.682500000000001</v>
      </c>
      <c r="I2254" s="25">
        <f t="shared" si="136"/>
        <v>45413.8511</v>
      </c>
      <c r="J2254" s="39"/>
      <c r="K2254" s="39"/>
      <c r="L2254" s="39"/>
      <c r="M2254" s="39"/>
      <c r="N2254" s="23"/>
      <c r="O2254" s="39"/>
      <c r="P2254" s="39"/>
      <c r="Q2254" s="39"/>
      <c r="R2254" s="39"/>
    </row>
    <row r="2255" spans="1:18" s="2" customFormat="1" ht="36" customHeight="1">
      <c r="A2255" s="20">
        <f t="shared" si="135"/>
        <v>2074</v>
      </c>
      <c r="B2255" s="30" t="s">
        <v>3422</v>
      </c>
      <c r="C2255" s="30" t="s">
        <v>3422</v>
      </c>
      <c r="D2255" s="20" t="s">
        <v>9</v>
      </c>
      <c r="E2255" s="20" t="s">
        <v>9</v>
      </c>
      <c r="F2255" s="18">
        <v>184.51</v>
      </c>
      <c r="G2255" s="19">
        <f>1.633198857</f>
        <v>1.633198857</v>
      </c>
      <c r="H2255" s="20">
        <f>H2247</f>
        <v>513.65</v>
      </c>
      <c r="I2255" s="25">
        <f t="shared" si="136"/>
        <v>838.89259289805</v>
      </c>
      <c r="J2255" s="39"/>
      <c r="K2255" s="39"/>
      <c r="L2255" s="39"/>
      <c r="M2255" s="39"/>
      <c r="N2255" s="23"/>
      <c r="O2255" s="39"/>
      <c r="P2255" s="39"/>
      <c r="Q2255" s="39"/>
      <c r="R2255" s="39"/>
    </row>
    <row r="2256" spans="1:18" s="2" customFormat="1" ht="14.4">
      <c r="A2256" s="20">
        <f t="shared" si="135"/>
        <v>2075</v>
      </c>
      <c r="B2256" s="30" t="s">
        <v>3423</v>
      </c>
      <c r="C2256" s="30" t="s">
        <v>3423</v>
      </c>
      <c r="D2256" s="20" t="s">
        <v>43</v>
      </c>
      <c r="E2256" s="20" t="s">
        <v>43</v>
      </c>
      <c r="F2256" s="18">
        <v>1</v>
      </c>
      <c r="G2256" s="19">
        <f>2958</f>
        <v>2958</v>
      </c>
      <c r="H2256" s="20">
        <f>H2255*0.08</f>
        <v>41.091999999999999</v>
      </c>
      <c r="I2256" s="25">
        <f t="shared" si="136"/>
        <v>121550.136</v>
      </c>
      <c r="J2256" s="39"/>
      <c r="K2256" s="39"/>
      <c r="L2256" s="39"/>
      <c r="M2256" s="39"/>
      <c r="N2256" s="23"/>
      <c r="O2256" s="39"/>
      <c r="P2256" s="39"/>
      <c r="Q2256" s="39"/>
      <c r="R2256" s="39"/>
    </row>
    <row r="2257" spans="1:18" s="2" customFormat="1" ht="14.4">
      <c r="A2257" s="20">
        <f t="shared" si="135"/>
        <v>2076</v>
      </c>
      <c r="B2257" s="30" t="s">
        <v>3424</v>
      </c>
      <c r="C2257" s="30" t="s">
        <v>3424</v>
      </c>
      <c r="D2257" s="20" t="s">
        <v>9</v>
      </c>
      <c r="E2257" s="20" t="s">
        <v>9</v>
      </c>
      <c r="F2257" s="18">
        <v>1</v>
      </c>
      <c r="G2257" s="19">
        <v>137.29</v>
      </c>
      <c r="H2257" s="20">
        <f>H2249</f>
        <v>513.65</v>
      </c>
      <c r="I2257" s="25">
        <f t="shared" si="136"/>
        <v>70519.008499999996</v>
      </c>
      <c r="J2257" s="39"/>
      <c r="K2257" s="39"/>
      <c r="L2257" s="39"/>
      <c r="M2257" s="39"/>
      <c r="N2257" s="23"/>
      <c r="O2257" s="39"/>
      <c r="P2257" s="39"/>
      <c r="Q2257" s="39"/>
      <c r="R2257" s="39"/>
    </row>
    <row r="2258" spans="1:18" s="2" customFormat="1" ht="26.4">
      <c r="A2258" s="20">
        <f t="shared" si="135"/>
        <v>2077</v>
      </c>
      <c r="B2258" s="30" t="s">
        <v>3425</v>
      </c>
      <c r="C2258" s="30" t="s">
        <v>3425</v>
      </c>
      <c r="D2258" s="20" t="s">
        <v>9</v>
      </c>
      <c r="E2258" s="20" t="s">
        <v>9</v>
      </c>
      <c r="F2258" s="18">
        <v>1</v>
      </c>
      <c r="G2258" s="19">
        <f>1.633198857*125.9</f>
        <v>205.61973609630002</v>
      </c>
      <c r="H2258" s="20">
        <f>H2247</f>
        <v>513.65</v>
      </c>
      <c r="I2258" s="25">
        <f t="shared" si="136"/>
        <v>105616.5774458645</v>
      </c>
      <c r="J2258" s="39"/>
      <c r="K2258" s="39"/>
      <c r="L2258" s="39"/>
      <c r="M2258" s="39"/>
      <c r="N2258" s="23"/>
      <c r="O2258" s="39"/>
      <c r="P2258" s="39"/>
      <c r="Q2258" s="39"/>
      <c r="R2258" s="39"/>
    </row>
    <row r="2259" spans="1:18" s="2" customFormat="1" ht="37.5" customHeight="1">
      <c r="A2259" s="20">
        <f t="shared" si="135"/>
        <v>2078</v>
      </c>
      <c r="B2259" s="30" t="s">
        <v>3426</v>
      </c>
      <c r="C2259" s="30" t="s">
        <v>3426</v>
      </c>
      <c r="D2259" s="20" t="s">
        <v>9</v>
      </c>
      <c r="E2259" s="20" t="s">
        <v>9</v>
      </c>
      <c r="F2259" s="18">
        <v>1</v>
      </c>
      <c r="G2259" s="19">
        <f>1608.64</f>
        <v>1608.64</v>
      </c>
      <c r="H2259" s="20">
        <f>H2248</f>
        <v>513.65</v>
      </c>
      <c r="I2259" s="25">
        <f t="shared" si="136"/>
        <v>826277.93599999999</v>
      </c>
      <c r="J2259" s="39"/>
      <c r="K2259" s="39"/>
      <c r="L2259" s="39"/>
      <c r="M2259" s="39"/>
      <c r="N2259" s="23"/>
      <c r="O2259" s="39"/>
      <c r="P2259" s="39"/>
      <c r="Q2259" s="39"/>
      <c r="R2259" s="39"/>
    </row>
    <row r="2260" spans="1:18" s="2" customFormat="1" ht="14.4">
      <c r="A2260" s="20">
        <f t="shared" si="135"/>
        <v>2079</v>
      </c>
      <c r="B2260" s="30" t="s">
        <v>3427</v>
      </c>
      <c r="C2260" s="30" t="s">
        <v>3427</v>
      </c>
      <c r="D2260" s="20" t="s">
        <v>9</v>
      </c>
      <c r="E2260" s="20" t="s">
        <v>9</v>
      </c>
      <c r="F2260" s="18">
        <v>1</v>
      </c>
      <c r="G2260" s="19">
        <v>25</v>
      </c>
      <c r="H2260" s="20">
        <f>H2247</f>
        <v>513.65</v>
      </c>
      <c r="I2260" s="25">
        <f t="shared" si="136"/>
        <v>12841.25</v>
      </c>
      <c r="J2260" s="39"/>
      <c r="K2260" s="39"/>
      <c r="L2260" s="39"/>
      <c r="M2260" s="39"/>
      <c r="N2260" s="23"/>
      <c r="O2260" s="39"/>
      <c r="P2260" s="39"/>
      <c r="Q2260" s="39"/>
      <c r="R2260" s="39"/>
    </row>
    <row r="2261" spans="1:18" s="2" customFormat="1" ht="14.4">
      <c r="A2261" s="20">
        <f t="shared" si="135"/>
        <v>2080</v>
      </c>
      <c r="B2261" s="30" t="s">
        <v>3428</v>
      </c>
      <c r="C2261" s="30" t="s">
        <v>3428</v>
      </c>
      <c r="D2261" s="20" t="s">
        <v>44</v>
      </c>
      <c r="E2261" s="20" t="s">
        <v>45</v>
      </c>
      <c r="F2261" s="18">
        <v>1</v>
      </c>
      <c r="G2261" s="19">
        <v>105</v>
      </c>
      <c r="H2261" s="20">
        <f>H2247*0.18</f>
        <v>92.456999999999994</v>
      </c>
      <c r="I2261" s="25">
        <f t="shared" si="136"/>
        <v>9707.9849999999988</v>
      </c>
      <c r="J2261" s="39"/>
      <c r="K2261" s="39"/>
      <c r="L2261" s="39"/>
      <c r="M2261" s="39"/>
      <c r="N2261" s="23"/>
      <c r="O2261" s="39"/>
      <c r="P2261" s="39"/>
      <c r="Q2261" s="39"/>
      <c r="R2261" s="39"/>
    </row>
    <row r="2262" spans="1:18" s="2" customFormat="1" ht="14.4">
      <c r="A2262" s="20">
        <f t="shared" si="135"/>
        <v>2081</v>
      </c>
      <c r="B2262" s="30" t="s">
        <v>3381</v>
      </c>
      <c r="C2262" s="30" t="s">
        <v>3382</v>
      </c>
      <c r="D2262" s="20" t="s">
        <v>5</v>
      </c>
      <c r="E2262" s="20" t="s">
        <v>6</v>
      </c>
      <c r="F2262" s="18">
        <v>1</v>
      </c>
      <c r="G2262" s="19">
        <v>607.02</v>
      </c>
      <c r="H2262" s="20">
        <v>7</v>
      </c>
      <c r="I2262" s="25">
        <f t="shared" si="136"/>
        <v>4249.1399999999994</v>
      </c>
      <c r="J2262" s="39"/>
      <c r="K2262" s="39"/>
      <c r="L2262" s="39"/>
      <c r="M2262" s="39"/>
      <c r="N2262" s="23"/>
      <c r="O2262" s="39"/>
      <c r="P2262" s="39"/>
      <c r="Q2262" s="39"/>
      <c r="R2262" s="39"/>
    </row>
    <row r="2263" spans="1:18" s="2" customFormat="1" ht="39.6">
      <c r="A2263" s="20">
        <f t="shared" si="135"/>
        <v>2082</v>
      </c>
      <c r="B2263" s="30" t="s">
        <v>3383</v>
      </c>
      <c r="C2263" s="30" t="s">
        <v>3429</v>
      </c>
      <c r="D2263" s="20" t="s">
        <v>25</v>
      </c>
      <c r="E2263" s="20" t="s">
        <v>26</v>
      </c>
      <c r="F2263" s="18">
        <v>1</v>
      </c>
      <c r="G2263" s="19">
        <f>1.633198857*179.99*1.15</f>
        <v>338.05338161214451</v>
      </c>
      <c r="H2263" s="20">
        <v>2450</v>
      </c>
      <c r="I2263" s="25">
        <f t="shared" si="136"/>
        <v>828230.78494975402</v>
      </c>
      <c r="J2263" s="39"/>
      <c r="K2263" s="39"/>
      <c r="L2263" s="39"/>
      <c r="M2263" s="39"/>
      <c r="N2263" s="23"/>
      <c r="O2263" s="39"/>
      <c r="P2263" s="39"/>
      <c r="Q2263" s="39"/>
      <c r="R2263" s="39"/>
    </row>
    <row r="2264" spans="1:18" s="2" customFormat="1" ht="14.4">
      <c r="A2264" s="20">
        <f t="shared" si="135"/>
        <v>2083</v>
      </c>
      <c r="B2264" s="30" t="s">
        <v>3385</v>
      </c>
      <c r="C2264" s="30" t="s">
        <v>3386</v>
      </c>
      <c r="D2264" s="20" t="s">
        <v>43</v>
      </c>
      <c r="E2264" s="20" t="s">
        <v>43</v>
      </c>
      <c r="F2264" s="18">
        <v>1</v>
      </c>
      <c r="G2264" s="19">
        <f>2958</f>
        <v>2958</v>
      </c>
      <c r="H2264" s="20">
        <f>H2263*0.024</f>
        <v>58.800000000000004</v>
      </c>
      <c r="I2264" s="25">
        <f t="shared" si="136"/>
        <v>173930.40000000002</v>
      </c>
      <c r="J2264" s="39"/>
      <c r="K2264" s="39"/>
      <c r="L2264" s="39"/>
      <c r="M2264" s="39"/>
      <c r="N2264" s="23"/>
      <c r="O2264" s="39"/>
      <c r="P2264" s="39"/>
      <c r="Q2264" s="39"/>
      <c r="R2264" s="39"/>
    </row>
    <row r="2265" spans="1:18" s="2" customFormat="1" ht="14.4">
      <c r="A2265" s="20">
        <f t="shared" si="135"/>
        <v>2084</v>
      </c>
      <c r="B2265" s="30" t="s">
        <v>3387</v>
      </c>
      <c r="C2265" s="30" t="s">
        <v>3430</v>
      </c>
      <c r="D2265" s="20" t="s">
        <v>5</v>
      </c>
      <c r="E2265" s="20" t="s">
        <v>6</v>
      </c>
      <c r="F2265" s="18">
        <v>1</v>
      </c>
      <c r="G2265" s="19">
        <f>203.37</f>
        <v>203.37</v>
      </c>
      <c r="H2265" s="20">
        <v>2450</v>
      </c>
      <c r="I2265" s="25">
        <f t="shared" si="136"/>
        <v>498256.5</v>
      </c>
      <c r="J2265" s="39"/>
      <c r="K2265" s="39"/>
      <c r="L2265" s="39"/>
      <c r="M2265" s="39"/>
      <c r="N2265" s="23"/>
      <c r="O2265" s="39"/>
      <c r="P2265" s="39"/>
      <c r="Q2265" s="39"/>
      <c r="R2265" s="39"/>
    </row>
    <row r="2266" spans="1:18" s="2" customFormat="1" ht="14.4">
      <c r="A2266" s="20">
        <f t="shared" si="135"/>
        <v>2085</v>
      </c>
      <c r="B2266" s="41" t="s">
        <v>1077</v>
      </c>
      <c r="C2266" s="41" t="s">
        <v>219</v>
      </c>
      <c r="D2266" s="42" t="s">
        <v>48</v>
      </c>
      <c r="E2266" s="42" t="s">
        <v>49</v>
      </c>
      <c r="F2266" s="18">
        <v>1</v>
      </c>
      <c r="G2266" s="19"/>
      <c r="H2266" s="58">
        <v>1</v>
      </c>
      <c r="I2266" s="25">
        <f>SUM(I2247:I2265)*0.05</f>
        <v>157223.68184944597</v>
      </c>
      <c r="J2266" s="39"/>
      <c r="K2266" s="39"/>
      <c r="L2266" s="39"/>
      <c r="M2266" s="39"/>
      <c r="N2266" s="23"/>
      <c r="O2266" s="39"/>
      <c r="P2266" s="39"/>
      <c r="Q2266" s="39"/>
      <c r="R2266" s="39"/>
    </row>
    <row r="2267" spans="1:18" ht="14.4">
      <c r="A2267" s="9" t="s">
        <v>61</v>
      </c>
      <c r="B2267" s="13" t="s">
        <v>3431</v>
      </c>
      <c r="C2267" s="13" t="s">
        <v>3432</v>
      </c>
      <c r="D2267" s="85"/>
      <c r="E2267" s="85"/>
      <c r="F2267" s="18"/>
      <c r="G2267" s="19"/>
      <c r="H2267" s="86"/>
      <c r="I2267" s="25"/>
      <c r="L2267" s="22"/>
      <c r="M2267" s="22"/>
      <c r="N2267" s="23"/>
      <c r="O2267" s="22"/>
      <c r="P2267" s="22"/>
      <c r="Q2267" s="22"/>
      <c r="R2267" s="22"/>
    </row>
    <row r="2268" spans="1:18" s="2" customFormat="1" ht="39.6">
      <c r="A2268" s="20">
        <f>A2266+1</f>
        <v>2086</v>
      </c>
      <c r="B2268" s="30" t="s">
        <v>3393</v>
      </c>
      <c r="C2268" s="30" t="s">
        <v>3394</v>
      </c>
      <c r="D2268" s="20" t="s">
        <v>8</v>
      </c>
      <c r="E2268" s="20" t="s">
        <v>9</v>
      </c>
      <c r="F2268" s="18">
        <v>1</v>
      </c>
      <c r="G2268" s="19">
        <f>1.633198857*60.41</f>
        <v>98.661542951369995</v>
      </c>
      <c r="H2268" s="32">
        <v>398</v>
      </c>
      <c r="I2268" s="25">
        <f t="shared" si="136"/>
        <v>39267.294094645258</v>
      </c>
      <c r="J2268" s="40"/>
      <c r="K2268" s="39"/>
      <c r="L2268" s="39"/>
      <c r="M2268" s="39"/>
      <c r="N2268" s="23"/>
      <c r="O2268" s="39"/>
      <c r="P2268" s="39"/>
      <c r="Q2268" s="39"/>
      <c r="R2268" s="39"/>
    </row>
    <row r="2269" spans="1:18" s="2" customFormat="1" ht="14.4">
      <c r="A2269" s="20">
        <f>A2268+1</f>
        <v>2087</v>
      </c>
      <c r="B2269" s="30" t="s">
        <v>177</v>
      </c>
      <c r="C2269" s="83" t="s">
        <v>58</v>
      </c>
      <c r="D2269" s="20" t="s">
        <v>17</v>
      </c>
      <c r="E2269" s="20" t="s">
        <v>43</v>
      </c>
      <c r="F2269" s="18">
        <v>1</v>
      </c>
      <c r="G2269" s="19">
        <f>714</f>
        <v>714</v>
      </c>
      <c r="H2269" s="32">
        <v>0.1</v>
      </c>
      <c r="I2269" s="25">
        <f t="shared" si="136"/>
        <v>71.400000000000006</v>
      </c>
      <c r="J2269" s="40"/>
      <c r="K2269" s="39"/>
      <c r="L2269" s="39"/>
      <c r="M2269" s="39"/>
      <c r="N2269" s="23"/>
      <c r="O2269" s="39"/>
      <c r="P2269" s="39"/>
      <c r="Q2269" s="39"/>
      <c r="R2269" s="39"/>
    </row>
    <row r="2270" spans="1:18" s="2" customFormat="1" ht="26.4">
      <c r="A2270" s="20">
        <f t="shared" ref="A2270:A2282" si="137">A2269+1</f>
        <v>2088</v>
      </c>
      <c r="B2270" s="30" t="s">
        <v>3395</v>
      </c>
      <c r="C2270" s="30" t="s">
        <v>3396</v>
      </c>
      <c r="D2270" s="20" t="s">
        <v>8</v>
      </c>
      <c r="E2270" s="20" t="s">
        <v>9</v>
      </c>
      <c r="F2270" s="18">
        <v>1</v>
      </c>
      <c r="G2270" s="19">
        <f>1.633198857*123.84</f>
        <v>202.25534645088001</v>
      </c>
      <c r="H2270" s="32">
        <f>H2268</f>
        <v>398</v>
      </c>
      <c r="I2270" s="25">
        <f t="shared" si="136"/>
        <v>80497.627887450246</v>
      </c>
      <c r="J2270" s="40"/>
      <c r="K2270" s="39"/>
      <c r="L2270" s="39"/>
      <c r="M2270" s="39"/>
      <c r="N2270" s="23"/>
      <c r="O2270" s="39"/>
      <c r="P2270" s="39"/>
      <c r="Q2270" s="39"/>
      <c r="R2270" s="39"/>
    </row>
    <row r="2271" spans="1:18" s="2" customFormat="1" ht="14.4">
      <c r="A2271" s="20">
        <f t="shared" si="137"/>
        <v>2089</v>
      </c>
      <c r="B2271" s="30" t="s">
        <v>177</v>
      </c>
      <c r="C2271" s="30" t="s">
        <v>58</v>
      </c>
      <c r="D2271" s="20" t="s">
        <v>17</v>
      </c>
      <c r="E2271" s="20" t="s">
        <v>43</v>
      </c>
      <c r="F2271" s="18">
        <v>1</v>
      </c>
      <c r="G2271" s="19">
        <f>714</f>
        <v>714</v>
      </c>
      <c r="H2271" s="32">
        <v>65.174999999999997</v>
      </c>
      <c r="I2271" s="25">
        <f t="shared" si="136"/>
        <v>46534.95</v>
      </c>
      <c r="J2271" s="40"/>
      <c r="K2271" s="39"/>
      <c r="L2271" s="39"/>
      <c r="M2271" s="39"/>
      <c r="N2271" s="23"/>
      <c r="O2271" s="39"/>
      <c r="P2271" s="39"/>
      <c r="Q2271" s="39"/>
      <c r="R2271" s="39"/>
    </row>
    <row r="2272" spans="1:18" s="2" customFormat="1" ht="52.8">
      <c r="A2272" s="20">
        <f t="shared" si="137"/>
        <v>2090</v>
      </c>
      <c r="B2272" s="30" t="s">
        <v>3433</v>
      </c>
      <c r="C2272" s="30" t="s">
        <v>3434</v>
      </c>
      <c r="D2272" s="20" t="s">
        <v>8</v>
      </c>
      <c r="E2272" s="20" t="s">
        <v>9</v>
      </c>
      <c r="F2272" s="18">
        <v>1</v>
      </c>
      <c r="G2272" s="19">
        <f>1.633198857*41.97</f>
        <v>68.545356028290001</v>
      </c>
      <c r="H2272" s="32">
        <f>H2268</f>
        <v>398</v>
      </c>
      <c r="I2272" s="25">
        <f t="shared" si="136"/>
        <v>27281.05169925942</v>
      </c>
      <c r="J2272" s="40"/>
      <c r="K2272" s="39"/>
      <c r="L2272" s="39"/>
      <c r="M2272" s="39"/>
      <c r="N2272" s="23"/>
      <c r="O2272" s="39"/>
      <c r="P2272" s="39"/>
      <c r="Q2272" s="39"/>
      <c r="R2272" s="39"/>
    </row>
    <row r="2273" spans="1:18" s="2" customFormat="1" ht="26.4">
      <c r="A2273" s="20">
        <f t="shared" si="137"/>
        <v>2091</v>
      </c>
      <c r="B2273" s="30" t="s">
        <v>3435</v>
      </c>
      <c r="C2273" s="30" t="s">
        <v>3436</v>
      </c>
      <c r="D2273" s="9" t="s">
        <v>56</v>
      </c>
      <c r="E2273" s="20" t="s">
        <v>42</v>
      </c>
      <c r="F2273" s="18">
        <v>1</v>
      </c>
      <c r="G2273" s="19">
        <f>114299.88</f>
        <v>114299.88</v>
      </c>
      <c r="H2273" s="32">
        <v>0.16195000000000001</v>
      </c>
      <c r="I2273" s="25">
        <f t="shared" si="136"/>
        <v>18510.865566</v>
      </c>
      <c r="J2273" s="40"/>
      <c r="K2273" s="39"/>
      <c r="L2273" s="39"/>
      <c r="M2273" s="39"/>
      <c r="N2273" s="23"/>
      <c r="O2273" s="39"/>
      <c r="P2273" s="39"/>
      <c r="Q2273" s="39"/>
      <c r="R2273" s="39"/>
    </row>
    <row r="2274" spans="1:18" s="2" customFormat="1" ht="26.4">
      <c r="A2274" s="20">
        <f t="shared" si="137"/>
        <v>2092</v>
      </c>
      <c r="B2274" s="30" t="s">
        <v>3437</v>
      </c>
      <c r="C2274" s="83" t="s">
        <v>3438</v>
      </c>
      <c r="D2274" s="9" t="s">
        <v>56</v>
      </c>
      <c r="E2274" s="20" t="s">
        <v>42</v>
      </c>
      <c r="F2274" s="18">
        <v>1</v>
      </c>
      <c r="G2274" s="19">
        <f>1.633198857*2353.84</f>
        <v>3844.2887975608801</v>
      </c>
      <c r="H2274" s="32">
        <v>1.25</v>
      </c>
      <c r="I2274" s="25">
        <f t="shared" si="136"/>
        <v>4805.3609969510999</v>
      </c>
      <c r="J2274" s="40"/>
      <c r="K2274" s="39"/>
      <c r="L2274" s="39"/>
      <c r="M2274" s="39"/>
      <c r="N2274" s="23"/>
      <c r="O2274" s="39"/>
      <c r="P2274" s="39"/>
      <c r="Q2274" s="39"/>
      <c r="R2274" s="39"/>
    </row>
    <row r="2275" spans="1:18" s="2" customFormat="1" ht="26.4">
      <c r="A2275" s="20">
        <f t="shared" si="137"/>
        <v>2093</v>
      </c>
      <c r="B2275" s="30" t="s">
        <v>3252</v>
      </c>
      <c r="C2275" s="30" t="s">
        <v>3253</v>
      </c>
      <c r="D2275" s="9" t="s">
        <v>56</v>
      </c>
      <c r="E2275" s="20" t="s">
        <v>42</v>
      </c>
      <c r="F2275" s="18">
        <v>1</v>
      </c>
      <c r="G2275" s="19">
        <f>30969.88</f>
        <v>30969.88</v>
      </c>
      <c r="H2275" s="32">
        <v>1.25</v>
      </c>
      <c r="I2275" s="25">
        <f t="shared" si="136"/>
        <v>38712.35</v>
      </c>
      <c r="J2275" s="40"/>
      <c r="K2275" s="39"/>
      <c r="L2275" s="39"/>
      <c r="M2275" s="39"/>
      <c r="N2275" s="23"/>
      <c r="O2275" s="39"/>
      <c r="P2275" s="39"/>
      <c r="Q2275" s="39"/>
      <c r="R2275" s="39"/>
    </row>
    <row r="2276" spans="1:18" s="2" customFormat="1" ht="26.4">
      <c r="A2276" s="20">
        <f t="shared" si="137"/>
        <v>2094</v>
      </c>
      <c r="B2276" s="30" t="s">
        <v>3439</v>
      </c>
      <c r="C2276" s="30" t="s">
        <v>3440</v>
      </c>
      <c r="D2276" s="20" t="s">
        <v>8</v>
      </c>
      <c r="E2276" s="20" t="s">
        <v>9</v>
      </c>
      <c r="F2276" s="18">
        <v>1</v>
      </c>
      <c r="G2276" s="19">
        <f>1.633198857*123.83</f>
        <v>202.23901446231</v>
      </c>
      <c r="H2276" s="32">
        <v>398</v>
      </c>
      <c r="I2276" s="25">
        <f t="shared" si="136"/>
        <v>80491.127755999376</v>
      </c>
      <c r="J2276" s="40"/>
      <c r="K2276" s="39"/>
      <c r="L2276" s="39"/>
      <c r="M2276" s="39"/>
      <c r="N2276" s="23"/>
      <c r="O2276" s="39"/>
      <c r="P2276" s="39"/>
      <c r="Q2276" s="39"/>
      <c r="R2276" s="39"/>
    </row>
    <row r="2277" spans="1:18" s="2" customFormat="1" ht="14.4">
      <c r="A2277" s="20">
        <f t="shared" si="137"/>
        <v>2095</v>
      </c>
      <c r="B2277" s="30" t="s">
        <v>3441</v>
      </c>
      <c r="C2277" s="30" t="s">
        <v>3442</v>
      </c>
      <c r="D2277" s="20" t="s">
        <v>17</v>
      </c>
      <c r="E2277" s="20" t="s">
        <v>43</v>
      </c>
      <c r="F2277" s="18">
        <v>1</v>
      </c>
      <c r="G2277" s="19">
        <f>1699.76</f>
        <v>1699.76</v>
      </c>
      <c r="H2277" s="32">
        <v>21.725000000000001</v>
      </c>
      <c r="I2277" s="25">
        <f t="shared" si="136"/>
        <v>36927.286</v>
      </c>
      <c r="J2277" s="40"/>
      <c r="K2277" s="39"/>
      <c r="L2277" s="39"/>
      <c r="M2277" s="39"/>
      <c r="N2277" s="23"/>
      <c r="O2277" s="39"/>
      <c r="P2277" s="39"/>
      <c r="Q2277" s="39"/>
      <c r="R2277" s="39"/>
    </row>
    <row r="2278" spans="1:18" s="2" customFormat="1" ht="66">
      <c r="A2278" s="20">
        <f t="shared" si="137"/>
        <v>2096</v>
      </c>
      <c r="B2278" s="30" t="s">
        <v>3443</v>
      </c>
      <c r="C2278" s="30" t="s">
        <v>3444</v>
      </c>
      <c r="D2278" s="20" t="s">
        <v>8</v>
      </c>
      <c r="E2278" s="20" t="s">
        <v>9</v>
      </c>
      <c r="F2278" s="18">
        <v>1</v>
      </c>
      <c r="G2278" s="19">
        <f>1.633198857*98.04</f>
        <v>160.11881594028</v>
      </c>
      <c r="H2278" s="32">
        <f>H2268</f>
        <v>398</v>
      </c>
      <c r="I2278" s="25">
        <f t="shared" si="136"/>
        <v>63727.288744231439</v>
      </c>
      <c r="J2278" s="40"/>
      <c r="K2278" s="39"/>
      <c r="L2278" s="39"/>
      <c r="M2278" s="39"/>
      <c r="N2278" s="23"/>
      <c r="O2278" s="39"/>
      <c r="P2278" s="39"/>
      <c r="Q2278" s="39"/>
      <c r="R2278" s="39"/>
    </row>
    <row r="2279" spans="1:18" s="2" customFormat="1" ht="26.4">
      <c r="A2279" s="20">
        <f t="shared" si="137"/>
        <v>2097</v>
      </c>
      <c r="B2279" s="30" t="s">
        <v>3445</v>
      </c>
      <c r="C2279" s="30" t="s">
        <v>3446</v>
      </c>
      <c r="D2279" s="20" t="s">
        <v>5</v>
      </c>
      <c r="E2279" s="20" t="s">
        <v>6</v>
      </c>
      <c r="F2279" s="18">
        <v>1</v>
      </c>
      <c r="G2279" s="19">
        <f>607.02</f>
        <v>607.02</v>
      </c>
      <c r="H2279" s="32">
        <v>3.3574999999999999</v>
      </c>
      <c r="I2279" s="25">
        <f t="shared" si="136"/>
        <v>2038.0696499999999</v>
      </c>
      <c r="J2279" s="40"/>
      <c r="K2279" s="39"/>
      <c r="L2279" s="39"/>
      <c r="M2279" s="39"/>
      <c r="N2279" s="23"/>
      <c r="O2279" s="39"/>
      <c r="P2279" s="39"/>
      <c r="Q2279" s="39"/>
      <c r="R2279" s="39"/>
    </row>
    <row r="2280" spans="1:18" s="2" customFormat="1" ht="14.4">
      <c r="A2280" s="20">
        <f t="shared" si="137"/>
        <v>2098</v>
      </c>
      <c r="B2280" s="30" t="s">
        <v>3441</v>
      </c>
      <c r="C2280" s="30" t="s">
        <v>3442</v>
      </c>
      <c r="D2280" s="20" t="s">
        <v>17</v>
      </c>
      <c r="E2280" s="20" t="s">
        <v>43</v>
      </c>
      <c r="F2280" s="18">
        <v>1</v>
      </c>
      <c r="G2280" s="19">
        <f>1699.76</f>
        <v>1699.76</v>
      </c>
      <c r="H2280" s="32">
        <v>25.141749999999998</v>
      </c>
      <c r="I2280" s="25">
        <f t="shared" si="136"/>
        <v>42734.940979999999</v>
      </c>
      <c r="J2280" s="40"/>
      <c r="K2280" s="39"/>
      <c r="L2280" s="39"/>
      <c r="M2280" s="39"/>
      <c r="N2280" s="23"/>
      <c r="O2280" s="39"/>
      <c r="P2280" s="39"/>
      <c r="Q2280" s="39"/>
      <c r="R2280" s="39"/>
    </row>
    <row r="2281" spans="1:18" s="2" customFormat="1" ht="14.4">
      <c r="A2281" s="20">
        <f t="shared" si="137"/>
        <v>2099</v>
      </c>
      <c r="B2281" s="30" t="s">
        <v>3447</v>
      </c>
      <c r="C2281" s="30" t="s">
        <v>3448</v>
      </c>
      <c r="D2281" s="20" t="s">
        <v>8</v>
      </c>
      <c r="E2281" s="20" t="s">
        <v>9</v>
      </c>
      <c r="F2281" s="18">
        <v>1</v>
      </c>
      <c r="G2281" s="19">
        <f>490.6</f>
        <v>490.6</v>
      </c>
      <c r="H2281" s="32">
        <v>398.95</v>
      </c>
      <c r="I2281" s="25">
        <f t="shared" si="136"/>
        <v>195724.87</v>
      </c>
      <c r="J2281" s="40"/>
      <c r="K2281" s="39"/>
      <c r="L2281" s="39"/>
      <c r="M2281" s="39"/>
      <c r="N2281" s="23"/>
      <c r="O2281" s="39"/>
      <c r="P2281" s="39"/>
      <c r="Q2281" s="39"/>
      <c r="R2281" s="39"/>
    </row>
    <row r="2282" spans="1:18" s="2" customFormat="1" ht="14.4">
      <c r="A2282" s="20">
        <f t="shared" si="137"/>
        <v>2100</v>
      </c>
      <c r="B2282" s="41" t="s">
        <v>1077</v>
      </c>
      <c r="C2282" s="41" t="s">
        <v>219</v>
      </c>
      <c r="D2282" s="42" t="s">
        <v>48</v>
      </c>
      <c r="E2282" s="42" t="s">
        <v>49</v>
      </c>
      <c r="F2282" s="18">
        <v>1</v>
      </c>
      <c r="G2282" s="19"/>
      <c r="H2282" s="58">
        <v>1</v>
      </c>
      <c r="I2282" s="25">
        <f>SUM(I2268:I2281)*0.05</f>
        <v>33866.224168726847</v>
      </c>
      <c r="J2282" s="40"/>
      <c r="K2282" s="39"/>
      <c r="L2282" s="39"/>
      <c r="M2282" s="39"/>
      <c r="N2282" s="23"/>
      <c r="O2282" s="39"/>
      <c r="P2282" s="39"/>
      <c r="Q2282" s="39"/>
      <c r="R2282" s="39"/>
    </row>
    <row r="2283" spans="1:18" ht="105.6">
      <c r="A2283" s="9" t="s">
        <v>61</v>
      </c>
      <c r="B2283" s="13" t="s">
        <v>3449</v>
      </c>
      <c r="C2283" s="13" t="s">
        <v>3450</v>
      </c>
      <c r="D2283" s="85"/>
      <c r="E2283" s="85"/>
      <c r="F2283" s="18"/>
      <c r="G2283" s="19"/>
      <c r="H2283" s="86"/>
      <c r="I2283" s="25"/>
      <c r="J2283" s="24" t="s">
        <v>3451</v>
      </c>
      <c r="K2283" s="22">
        <v>1155.8800000000001</v>
      </c>
      <c r="L2283" s="22"/>
      <c r="M2283" s="22"/>
      <c r="N2283" s="23"/>
      <c r="O2283" s="22"/>
      <c r="P2283" s="22"/>
      <c r="Q2283" s="22"/>
      <c r="R2283" s="22"/>
    </row>
    <row r="2284" spans="1:18" s="2" customFormat="1" ht="39.6">
      <c r="A2284" s="20">
        <f>A2282+1</f>
        <v>2101</v>
      </c>
      <c r="B2284" s="30" t="s">
        <v>3359</v>
      </c>
      <c r="C2284" s="30" t="s">
        <v>3419</v>
      </c>
      <c r="D2284" s="20" t="s">
        <v>9</v>
      </c>
      <c r="E2284" s="20" t="s">
        <v>9</v>
      </c>
      <c r="F2284" s="18">
        <v>1</v>
      </c>
      <c r="G2284" s="19">
        <f>1.633198857*63.38</f>
        <v>103.51214355666001</v>
      </c>
      <c r="H2284" s="20">
        <v>1155.8800000000001</v>
      </c>
      <c r="I2284" s="25">
        <f t="shared" si="136"/>
        <v>119647.61649427218</v>
      </c>
      <c r="J2284" s="40"/>
      <c r="K2284" s="39"/>
      <c r="L2284" s="39"/>
      <c r="M2284" s="39"/>
      <c r="N2284" s="23"/>
      <c r="O2284" s="39"/>
      <c r="P2284" s="39"/>
      <c r="Q2284" s="39"/>
      <c r="R2284" s="39"/>
    </row>
    <row r="2285" spans="1:18" s="2" customFormat="1" ht="14.4">
      <c r="A2285" s="20">
        <f>A2284+1</f>
        <v>2102</v>
      </c>
      <c r="B2285" s="30" t="s">
        <v>3361</v>
      </c>
      <c r="C2285" s="30" t="s">
        <v>3362</v>
      </c>
      <c r="D2285" s="20" t="s">
        <v>9</v>
      </c>
      <c r="E2285" s="20" t="s">
        <v>9</v>
      </c>
      <c r="F2285" s="18">
        <v>1</v>
      </c>
      <c r="G2285" s="19">
        <v>8.6</v>
      </c>
      <c r="H2285" s="20">
        <f>H2284</f>
        <v>1155.8800000000001</v>
      </c>
      <c r="I2285" s="25">
        <f t="shared" si="136"/>
        <v>9940.5680000000011</v>
      </c>
      <c r="J2285" s="40"/>
      <c r="K2285" s="39"/>
      <c r="L2285" s="39"/>
      <c r="M2285" s="39"/>
      <c r="N2285" s="23"/>
      <c r="O2285" s="39"/>
      <c r="P2285" s="39"/>
      <c r="Q2285" s="39"/>
      <c r="R2285" s="39"/>
    </row>
    <row r="2286" spans="1:18" s="2" customFormat="1" ht="26.4">
      <c r="A2286" s="20">
        <f t="shared" ref="A2286:A2304" si="138">A2285+1</f>
        <v>2103</v>
      </c>
      <c r="B2286" s="30" t="s">
        <v>3395</v>
      </c>
      <c r="C2286" s="30" t="s">
        <v>3396</v>
      </c>
      <c r="D2286" s="20" t="s">
        <v>9</v>
      </c>
      <c r="E2286" s="20" t="s">
        <v>9</v>
      </c>
      <c r="F2286" s="18">
        <v>1</v>
      </c>
      <c r="G2286" s="19">
        <f>1.633198857*123.83</f>
        <v>202.23901446231</v>
      </c>
      <c r="H2286" s="32">
        <f>H2284</f>
        <v>1155.8800000000001</v>
      </c>
      <c r="I2286" s="25">
        <f t="shared" si="136"/>
        <v>233764.0320366949</v>
      </c>
      <c r="J2286" s="40"/>
      <c r="K2286" s="39"/>
      <c r="L2286" s="39"/>
      <c r="M2286" s="39"/>
      <c r="N2286" s="23"/>
      <c r="O2286" s="39"/>
      <c r="P2286" s="39"/>
      <c r="Q2286" s="39"/>
      <c r="R2286" s="39"/>
    </row>
    <row r="2287" spans="1:18" s="2" customFormat="1" ht="14.4">
      <c r="A2287" s="20">
        <f t="shared" si="138"/>
        <v>2104</v>
      </c>
      <c r="B2287" s="30" t="s">
        <v>177</v>
      </c>
      <c r="C2287" s="30" t="s">
        <v>58</v>
      </c>
      <c r="D2287" s="20" t="s">
        <v>17</v>
      </c>
      <c r="E2287" s="20" t="s">
        <v>43</v>
      </c>
      <c r="F2287" s="18">
        <v>1</v>
      </c>
      <c r="G2287" s="19">
        <f>714</f>
        <v>714</v>
      </c>
      <c r="H2287" s="32">
        <f>H2286*0.15</f>
        <v>173.38200000000001</v>
      </c>
      <c r="I2287" s="25">
        <f t="shared" si="136"/>
        <v>123794.74800000001</v>
      </c>
      <c r="J2287" s="40"/>
      <c r="K2287" s="39"/>
      <c r="L2287" s="39"/>
      <c r="M2287" s="39"/>
      <c r="N2287" s="23"/>
      <c r="O2287" s="39"/>
      <c r="P2287" s="39"/>
      <c r="Q2287" s="39"/>
      <c r="R2287" s="39"/>
    </row>
    <row r="2288" spans="1:18" s="2" customFormat="1" ht="39.6">
      <c r="A2288" s="20">
        <f t="shared" si="138"/>
        <v>2105</v>
      </c>
      <c r="B2288" s="30" t="s">
        <v>3452</v>
      </c>
      <c r="C2288" s="30" t="s">
        <v>3453</v>
      </c>
      <c r="D2288" s="20" t="s">
        <v>9</v>
      </c>
      <c r="E2288" s="20" t="s">
        <v>9</v>
      </c>
      <c r="F2288" s="18">
        <v>1</v>
      </c>
      <c r="G2288" s="19">
        <f>1.633198857*3.54</f>
        <v>5.7815239537799998</v>
      </c>
      <c r="H2288" s="32">
        <f>H2284</f>
        <v>1155.8800000000001</v>
      </c>
      <c r="I2288" s="25">
        <f t="shared" si="136"/>
        <v>6682.7479076952268</v>
      </c>
      <c r="J2288" s="100"/>
      <c r="K2288" s="40"/>
      <c r="L2288" s="39"/>
      <c r="M2288" s="39"/>
      <c r="N2288" s="23"/>
      <c r="O2288" s="39"/>
      <c r="P2288" s="39"/>
      <c r="Q2288" s="39"/>
      <c r="R2288" s="39"/>
    </row>
    <row r="2289" spans="1:18" s="2" customFormat="1" ht="14.4">
      <c r="A2289" s="20">
        <f t="shared" si="138"/>
        <v>2106</v>
      </c>
      <c r="B2289" s="30" t="s">
        <v>3454</v>
      </c>
      <c r="C2289" s="30" t="s">
        <v>3455</v>
      </c>
      <c r="D2289" s="20" t="s">
        <v>8</v>
      </c>
      <c r="E2289" s="20" t="s">
        <v>9</v>
      </c>
      <c r="F2289" s="18">
        <v>1</v>
      </c>
      <c r="G2289" s="19">
        <f>46.42</f>
        <v>46.42</v>
      </c>
      <c r="H2289" s="32">
        <f>H2284</f>
        <v>1155.8800000000001</v>
      </c>
      <c r="I2289" s="25">
        <f t="shared" si="136"/>
        <v>53655.949600000007</v>
      </c>
      <c r="J2289" s="100"/>
      <c r="K2289" s="40"/>
      <c r="L2289" s="39"/>
      <c r="M2289" s="39"/>
      <c r="N2289" s="23"/>
      <c r="O2289" s="39"/>
      <c r="P2289" s="39"/>
      <c r="Q2289" s="39"/>
      <c r="R2289" s="39"/>
    </row>
    <row r="2290" spans="1:18" s="2" customFormat="1" ht="26.4">
      <c r="A2290" s="20">
        <f t="shared" si="138"/>
        <v>2107</v>
      </c>
      <c r="B2290" s="30" t="s">
        <v>3456</v>
      </c>
      <c r="C2290" s="30" t="s">
        <v>3457</v>
      </c>
      <c r="D2290" s="20" t="s">
        <v>8</v>
      </c>
      <c r="E2290" s="20" t="s">
        <v>9</v>
      </c>
      <c r="F2290" s="18">
        <v>1</v>
      </c>
      <c r="G2290" s="19">
        <f>1.633198857*27.44</f>
        <v>44.814976636080004</v>
      </c>
      <c r="H2290" s="32">
        <f>H2284</f>
        <v>1155.8800000000001</v>
      </c>
      <c r="I2290" s="25">
        <f t="shared" si="136"/>
        <v>51800.73519411216</v>
      </c>
      <c r="J2290" s="100"/>
      <c r="K2290" s="40"/>
      <c r="L2290" s="39"/>
      <c r="M2290" s="39"/>
      <c r="N2290" s="23"/>
      <c r="O2290" s="39"/>
      <c r="P2290" s="39"/>
      <c r="Q2290" s="39"/>
      <c r="R2290" s="39"/>
    </row>
    <row r="2291" spans="1:18" s="2" customFormat="1" ht="26.4">
      <c r="A2291" s="20">
        <f t="shared" si="138"/>
        <v>2108</v>
      </c>
      <c r="B2291" s="30" t="s">
        <v>3458</v>
      </c>
      <c r="C2291" s="30" t="s">
        <v>3459</v>
      </c>
      <c r="D2291" s="20" t="s">
        <v>17</v>
      </c>
      <c r="E2291" s="20" t="s">
        <v>43</v>
      </c>
      <c r="F2291" s="18">
        <v>1</v>
      </c>
      <c r="G2291" s="19">
        <f>2068.12</f>
        <v>2068.12</v>
      </c>
      <c r="H2291" s="32">
        <f>H2284*0.12</f>
        <v>138.7056</v>
      </c>
      <c r="I2291" s="25">
        <f t="shared" si="136"/>
        <v>286859.825472</v>
      </c>
      <c r="J2291" s="100"/>
      <c r="K2291" s="40"/>
      <c r="L2291" s="39"/>
      <c r="M2291" s="39"/>
      <c r="N2291" s="23"/>
      <c r="O2291" s="39"/>
      <c r="P2291" s="39"/>
      <c r="Q2291" s="39"/>
      <c r="R2291" s="39"/>
    </row>
    <row r="2292" spans="1:18" s="2" customFormat="1" ht="26.4">
      <c r="A2292" s="20">
        <f t="shared" si="138"/>
        <v>2109</v>
      </c>
      <c r="B2292" s="30" t="s">
        <v>3460</v>
      </c>
      <c r="C2292" s="30" t="s">
        <v>3461</v>
      </c>
      <c r="D2292" s="20" t="s">
        <v>8</v>
      </c>
      <c r="E2292" s="20" t="s">
        <v>9</v>
      </c>
      <c r="F2292" s="18">
        <v>1</v>
      </c>
      <c r="G2292" s="19">
        <f>1.633198857*27.44</f>
        <v>44.814976636080004</v>
      </c>
      <c r="H2292" s="32">
        <f>H2284</f>
        <v>1155.8800000000001</v>
      </c>
      <c r="I2292" s="25">
        <f t="shared" si="136"/>
        <v>51800.73519411216</v>
      </c>
      <c r="J2292" s="100"/>
      <c r="K2292" s="40"/>
      <c r="L2292" s="39"/>
      <c r="M2292" s="39"/>
      <c r="N2292" s="23"/>
      <c r="O2292" s="39"/>
      <c r="P2292" s="39"/>
      <c r="Q2292" s="39"/>
      <c r="R2292" s="39"/>
    </row>
    <row r="2293" spans="1:18" s="2" customFormat="1" ht="14.4">
      <c r="A2293" s="20">
        <f t="shared" si="138"/>
        <v>2110</v>
      </c>
      <c r="B2293" s="30" t="s">
        <v>3462</v>
      </c>
      <c r="C2293" s="30" t="s">
        <v>3463</v>
      </c>
      <c r="D2293" s="20" t="s">
        <v>17</v>
      </c>
      <c r="E2293" s="20" t="s">
        <v>43</v>
      </c>
      <c r="F2293" s="18">
        <v>1</v>
      </c>
      <c r="G2293" s="19">
        <f>1786.28</f>
        <v>1786.28</v>
      </c>
      <c r="H2293" s="32">
        <f>H2286*0.04</f>
        <v>46.235200000000006</v>
      </c>
      <c r="I2293" s="25">
        <f t="shared" si="136"/>
        <v>82589.013056000011</v>
      </c>
      <c r="J2293" s="40"/>
      <c r="K2293" s="40"/>
      <c r="L2293" s="39"/>
      <c r="M2293" s="39"/>
      <c r="N2293" s="23"/>
      <c r="O2293" s="39"/>
      <c r="P2293" s="39"/>
      <c r="Q2293" s="39"/>
      <c r="R2293" s="39"/>
    </row>
    <row r="2294" spans="1:18" s="2" customFormat="1" ht="92.4">
      <c r="A2294" s="20">
        <f t="shared" si="138"/>
        <v>2111</v>
      </c>
      <c r="B2294" s="13" t="s">
        <v>3464</v>
      </c>
      <c r="C2294" s="13" t="s">
        <v>3465</v>
      </c>
      <c r="D2294" s="42"/>
      <c r="E2294" s="42"/>
      <c r="F2294" s="18"/>
      <c r="G2294" s="19"/>
      <c r="H2294" s="58"/>
      <c r="I2294" s="25"/>
      <c r="J2294" s="24" t="s">
        <v>3466</v>
      </c>
      <c r="K2294" s="22">
        <v>1176</v>
      </c>
      <c r="L2294" s="39"/>
      <c r="M2294" s="39"/>
      <c r="N2294" s="23"/>
      <c r="O2294" s="39"/>
      <c r="P2294" s="39"/>
      <c r="Q2294" s="39"/>
      <c r="R2294" s="39"/>
    </row>
    <row r="2295" spans="1:18" s="2" customFormat="1" ht="39.6">
      <c r="A2295" s="20">
        <f t="shared" si="138"/>
        <v>2112</v>
      </c>
      <c r="B2295" s="30" t="s">
        <v>3359</v>
      </c>
      <c r="C2295" s="30" t="s">
        <v>3419</v>
      </c>
      <c r="D2295" s="20" t="s">
        <v>9</v>
      </c>
      <c r="E2295" s="20" t="s">
        <v>9</v>
      </c>
      <c r="F2295" s="18">
        <v>1</v>
      </c>
      <c r="G2295" s="19">
        <f>1.633198857*63.38</f>
        <v>103.51214355666001</v>
      </c>
      <c r="H2295" s="20">
        <v>1176</v>
      </c>
      <c r="I2295" s="25">
        <f t="shared" si="136"/>
        <v>121730.28082263216</v>
      </c>
      <c r="J2295" s="40"/>
      <c r="K2295" s="40"/>
      <c r="L2295" s="39"/>
      <c r="M2295" s="39"/>
      <c r="N2295" s="23"/>
      <c r="O2295" s="39"/>
      <c r="P2295" s="39"/>
      <c r="Q2295" s="39"/>
      <c r="R2295" s="39"/>
    </row>
    <row r="2296" spans="1:18" s="2" customFormat="1" ht="14.4">
      <c r="A2296" s="20">
        <f t="shared" si="138"/>
        <v>2113</v>
      </c>
      <c r="B2296" s="30" t="s">
        <v>3361</v>
      </c>
      <c r="C2296" s="30" t="s">
        <v>3362</v>
      </c>
      <c r="D2296" s="20" t="s">
        <v>9</v>
      </c>
      <c r="E2296" s="20" t="s">
        <v>9</v>
      </c>
      <c r="F2296" s="18">
        <v>1</v>
      </c>
      <c r="G2296" s="19">
        <v>8.6</v>
      </c>
      <c r="H2296" s="20">
        <f>H2295</f>
        <v>1176</v>
      </c>
      <c r="I2296" s="25">
        <f t="shared" si="136"/>
        <v>10113.6</v>
      </c>
      <c r="J2296" s="40"/>
      <c r="K2296" s="40"/>
      <c r="L2296" s="39"/>
      <c r="M2296" s="39"/>
      <c r="N2296" s="23"/>
      <c r="O2296" s="39"/>
      <c r="P2296" s="39"/>
      <c r="Q2296" s="39"/>
      <c r="R2296" s="39"/>
    </row>
    <row r="2297" spans="1:18" s="2" customFormat="1" ht="26.4">
      <c r="A2297" s="20">
        <f t="shared" si="138"/>
        <v>2114</v>
      </c>
      <c r="B2297" s="30" t="s">
        <v>3422</v>
      </c>
      <c r="C2297" s="30" t="s">
        <v>3422</v>
      </c>
      <c r="D2297" s="20" t="s">
        <v>9</v>
      </c>
      <c r="E2297" s="20" t="s">
        <v>9</v>
      </c>
      <c r="F2297" s="18">
        <v>1</v>
      </c>
      <c r="G2297" s="19">
        <v>141.80000000000001</v>
      </c>
      <c r="H2297" s="32">
        <f>H2295</f>
        <v>1176</v>
      </c>
      <c r="I2297" s="25">
        <f t="shared" si="136"/>
        <v>166756.80000000002</v>
      </c>
      <c r="J2297" s="40"/>
      <c r="K2297" s="40"/>
      <c r="L2297" s="39"/>
      <c r="M2297" s="39"/>
      <c r="N2297" s="23"/>
      <c r="O2297" s="39"/>
      <c r="P2297" s="39"/>
      <c r="Q2297" s="39"/>
      <c r="R2297" s="39"/>
    </row>
    <row r="2298" spans="1:18" s="2" customFormat="1" ht="14.4">
      <c r="A2298" s="20">
        <f t="shared" si="138"/>
        <v>2115</v>
      </c>
      <c r="B2298" s="30" t="s">
        <v>3423</v>
      </c>
      <c r="C2298" s="30" t="s">
        <v>3423</v>
      </c>
      <c r="D2298" s="20" t="s">
        <v>17</v>
      </c>
      <c r="E2298" s="20" t="s">
        <v>43</v>
      </c>
      <c r="F2298" s="18">
        <v>1</v>
      </c>
      <c r="G2298" s="19">
        <f>2958</f>
        <v>2958</v>
      </c>
      <c r="H2298" s="32">
        <f>H2297*0.15</f>
        <v>176.4</v>
      </c>
      <c r="I2298" s="25">
        <f t="shared" si="136"/>
        <v>521791.2</v>
      </c>
      <c r="J2298" s="40"/>
      <c r="K2298" s="40"/>
      <c r="L2298" s="39"/>
      <c r="M2298" s="39"/>
      <c r="N2298" s="23"/>
      <c r="O2298" s="39"/>
      <c r="P2298" s="39"/>
      <c r="Q2298" s="39"/>
      <c r="R2298" s="39"/>
    </row>
    <row r="2299" spans="1:18" s="2" customFormat="1" ht="14.4">
      <c r="A2299" s="20">
        <f t="shared" si="138"/>
        <v>2116</v>
      </c>
      <c r="B2299" s="30" t="s">
        <v>3424</v>
      </c>
      <c r="C2299" s="30" t="s">
        <v>3424</v>
      </c>
      <c r="D2299" s="20" t="s">
        <v>9</v>
      </c>
      <c r="E2299" s="20" t="s">
        <v>9</v>
      </c>
      <c r="F2299" s="18">
        <v>1</v>
      </c>
      <c r="G2299" s="19">
        <v>137.29</v>
      </c>
      <c r="H2299" s="32">
        <f>H2295</f>
        <v>1176</v>
      </c>
      <c r="I2299" s="25">
        <f t="shared" si="136"/>
        <v>161453.03999999998</v>
      </c>
      <c r="J2299" s="40"/>
      <c r="K2299" s="40"/>
      <c r="L2299" s="39"/>
      <c r="M2299" s="39"/>
      <c r="N2299" s="23"/>
      <c r="O2299" s="39"/>
      <c r="P2299" s="39"/>
      <c r="Q2299" s="39"/>
      <c r="R2299" s="39"/>
    </row>
    <row r="2300" spans="1:18" s="2" customFormat="1" ht="14.4">
      <c r="A2300" s="20">
        <f t="shared" si="138"/>
        <v>2117</v>
      </c>
      <c r="B2300" s="30" t="s">
        <v>3467</v>
      </c>
      <c r="C2300" s="30" t="s">
        <v>3467</v>
      </c>
      <c r="D2300" s="20" t="s">
        <v>8</v>
      </c>
      <c r="E2300" s="20" t="s">
        <v>9</v>
      </c>
      <c r="F2300" s="18">
        <v>1</v>
      </c>
      <c r="G2300" s="19">
        <v>37.4</v>
      </c>
      <c r="H2300" s="32">
        <f>H2295</f>
        <v>1176</v>
      </c>
      <c r="I2300" s="25">
        <f t="shared" si="136"/>
        <v>43982.400000000001</v>
      </c>
      <c r="J2300" s="40"/>
      <c r="K2300" s="40"/>
      <c r="L2300" s="39"/>
      <c r="M2300" s="39"/>
      <c r="N2300" s="23"/>
      <c r="O2300" s="39"/>
      <c r="P2300" s="39"/>
      <c r="Q2300" s="39"/>
      <c r="R2300" s="39"/>
    </row>
    <row r="2301" spans="1:18" s="2" customFormat="1" ht="14.4">
      <c r="A2301" s="20">
        <f t="shared" si="138"/>
        <v>2118</v>
      </c>
      <c r="B2301" s="30" t="s">
        <v>3468</v>
      </c>
      <c r="C2301" s="30" t="s">
        <v>3468</v>
      </c>
      <c r="D2301" s="9" t="s">
        <v>44</v>
      </c>
      <c r="E2301" s="20" t="s">
        <v>45</v>
      </c>
      <c r="F2301" s="18">
        <v>1</v>
      </c>
      <c r="G2301" s="19">
        <v>8.5500000000000007</v>
      </c>
      <c r="H2301" s="32">
        <f>H2295*0.9</f>
        <v>1058.4000000000001</v>
      </c>
      <c r="I2301" s="25">
        <f t="shared" si="136"/>
        <v>9049.3200000000015</v>
      </c>
      <c r="J2301" s="40"/>
      <c r="K2301" s="40"/>
      <c r="L2301" s="39"/>
      <c r="M2301" s="39"/>
      <c r="N2301" s="23"/>
      <c r="O2301" s="39"/>
      <c r="P2301" s="39"/>
      <c r="Q2301" s="39"/>
      <c r="R2301" s="39"/>
    </row>
    <row r="2302" spans="1:18" s="2" customFormat="1" ht="14.4">
      <c r="A2302" s="20">
        <f t="shared" si="138"/>
        <v>2119</v>
      </c>
      <c r="B2302" s="30" t="s">
        <v>3469</v>
      </c>
      <c r="C2302" s="30" t="s">
        <v>3469</v>
      </c>
      <c r="D2302" s="20" t="s">
        <v>17</v>
      </c>
      <c r="E2302" s="20" t="s">
        <v>43</v>
      </c>
      <c r="F2302" s="18">
        <v>1</v>
      </c>
      <c r="G2302" s="19">
        <f>4459.1/1.2</f>
        <v>3715.916666666667</v>
      </c>
      <c r="H2302" s="32">
        <f>H2295*0.01</f>
        <v>11.76</v>
      </c>
      <c r="I2302" s="25">
        <f t="shared" si="136"/>
        <v>43699.18</v>
      </c>
      <c r="J2302" s="40"/>
      <c r="K2302" s="40"/>
      <c r="L2302" s="39"/>
      <c r="M2302" s="39"/>
      <c r="N2302" s="23"/>
      <c r="O2302" s="39"/>
      <c r="P2302" s="39"/>
      <c r="Q2302" s="39"/>
      <c r="R2302" s="39"/>
    </row>
    <row r="2303" spans="1:18" s="2" customFormat="1" ht="14.4">
      <c r="A2303" s="20">
        <f t="shared" si="138"/>
        <v>2120</v>
      </c>
      <c r="B2303" s="30" t="s">
        <v>3470</v>
      </c>
      <c r="C2303" s="30" t="s">
        <v>3470</v>
      </c>
      <c r="D2303" s="20" t="s">
        <v>8</v>
      </c>
      <c r="E2303" s="20" t="s">
        <v>9</v>
      </c>
      <c r="F2303" s="18">
        <v>1</v>
      </c>
      <c r="G2303" s="19">
        <v>560</v>
      </c>
      <c r="H2303" s="32">
        <f>H2295</f>
        <v>1176</v>
      </c>
      <c r="I2303" s="25">
        <f t="shared" si="136"/>
        <v>658560</v>
      </c>
      <c r="J2303" s="40"/>
      <c r="K2303" s="40"/>
      <c r="L2303" s="39"/>
      <c r="M2303" s="39"/>
      <c r="N2303" s="23"/>
      <c r="O2303" s="39"/>
      <c r="P2303" s="39"/>
      <c r="Q2303" s="39"/>
      <c r="R2303" s="39"/>
    </row>
    <row r="2304" spans="1:18" s="2" customFormat="1" ht="14.4">
      <c r="A2304" s="20">
        <f t="shared" si="138"/>
        <v>2121</v>
      </c>
      <c r="B2304" s="41" t="s">
        <v>1077</v>
      </c>
      <c r="C2304" s="41" t="s">
        <v>219</v>
      </c>
      <c r="D2304" s="42" t="s">
        <v>48</v>
      </c>
      <c r="E2304" s="42" t="s">
        <v>49</v>
      </c>
      <c r="F2304" s="18">
        <v>1</v>
      </c>
      <c r="G2304" s="19"/>
      <c r="H2304" s="58">
        <v>1</v>
      </c>
      <c r="I2304" s="25">
        <f>SUM(I2284:I2303)*0.05</f>
        <v>137883.58958887597</v>
      </c>
      <c r="J2304" s="40"/>
      <c r="K2304" s="40"/>
      <c r="L2304" s="39"/>
      <c r="M2304" s="39"/>
      <c r="N2304" s="23"/>
      <c r="O2304" s="39"/>
      <c r="P2304" s="39"/>
      <c r="Q2304" s="39"/>
      <c r="R2304" s="39"/>
    </row>
    <row r="2305" spans="1:18" ht="92.4">
      <c r="A2305" s="9" t="s">
        <v>61</v>
      </c>
      <c r="B2305" s="13" t="s">
        <v>3471</v>
      </c>
      <c r="C2305" s="13" t="s">
        <v>3472</v>
      </c>
      <c r="D2305" s="85"/>
      <c r="E2305" s="85"/>
      <c r="F2305" s="18"/>
      <c r="G2305" s="19"/>
      <c r="H2305" s="86"/>
      <c r="I2305" s="25"/>
      <c r="J2305" s="24" t="s">
        <v>3473</v>
      </c>
      <c r="K2305">
        <v>1507.05</v>
      </c>
      <c r="L2305" s="22"/>
      <c r="M2305" s="22"/>
      <c r="N2305" s="23"/>
      <c r="O2305" s="22"/>
      <c r="P2305" s="22"/>
      <c r="Q2305" s="22"/>
      <c r="R2305" s="22"/>
    </row>
    <row r="2306" spans="1:18" s="2" customFormat="1" ht="39.6">
      <c r="A2306" s="20">
        <f>A2304+1</f>
        <v>2122</v>
      </c>
      <c r="B2306" s="30" t="s">
        <v>3393</v>
      </c>
      <c r="C2306" s="30" t="s">
        <v>3394</v>
      </c>
      <c r="D2306" s="20" t="s">
        <v>8</v>
      </c>
      <c r="E2306" s="20" t="s">
        <v>9</v>
      </c>
      <c r="F2306" s="18">
        <v>1</v>
      </c>
      <c r="G2306" s="19">
        <f>1.633198857*60.41</f>
        <v>98.661542951369995</v>
      </c>
      <c r="H2306" s="32">
        <v>1507.05</v>
      </c>
      <c r="I2306" s="25">
        <f t="shared" si="136"/>
        <v>148687.87830486216</v>
      </c>
      <c r="J2306" s="40"/>
      <c r="K2306" s="39"/>
      <c r="L2306" s="39"/>
      <c r="M2306" s="39"/>
      <c r="N2306" s="23"/>
      <c r="O2306" s="39"/>
      <c r="P2306" s="39"/>
      <c r="Q2306" s="39"/>
      <c r="R2306" s="39"/>
    </row>
    <row r="2307" spans="1:18" s="2" customFormat="1" ht="14.4">
      <c r="A2307" s="20">
        <f>A2306+1</f>
        <v>2123</v>
      </c>
      <c r="B2307" s="30" t="s">
        <v>177</v>
      </c>
      <c r="C2307" s="30" t="s">
        <v>58</v>
      </c>
      <c r="D2307" s="20" t="s">
        <v>17</v>
      </c>
      <c r="E2307" s="20" t="s">
        <v>43</v>
      </c>
      <c r="F2307" s="18">
        <v>1</v>
      </c>
      <c r="G2307" s="19">
        <f>714</f>
        <v>714</v>
      </c>
      <c r="H2307" s="32">
        <v>2.3759999999999999</v>
      </c>
      <c r="I2307" s="25">
        <f t="shared" si="136"/>
        <v>1696.4639999999999</v>
      </c>
      <c r="J2307" s="40"/>
      <c r="K2307" s="39"/>
      <c r="L2307" s="39"/>
      <c r="M2307" s="39"/>
      <c r="N2307" s="23"/>
      <c r="O2307" s="39"/>
      <c r="P2307" s="39"/>
      <c r="Q2307" s="39"/>
      <c r="R2307" s="39"/>
    </row>
    <row r="2308" spans="1:18" s="2" customFormat="1" ht="26.4">
      <c r="A2308" s="20">
        <f t="shared" ref="A2308:A2320" si="139">A2307+1</f>
        <v>2124</v>
      </c>
      <c r="B2308" s="30" t="s">
        <v>3395</v>
      </c>
      <c r="C2308" s="30" t="s">
        <v>3396</v>
      </c>
      <c r="D2308" s="20" t="s">
        <v>8</v>
      </c>
      <c r="E2308" s="20" t="s">
        <v>9</v>
      </c>
      <c r="F2308" s="18">
        <v>1</v>
      </c>
      <c r="G2308" s="19">
        <f>1.633198857*123.83</f>
        <v>202.23901446231</v>
      </c>
      <c r="H2308" s="32">
        <f>H2306</f>
        <v>1507.05</v>
      </c>
      <c r="I2308" s="25">
        <f t="shared" si="136"/>
        <v>304784.30674542428</v>
      </c>
      <c r="J2308" s="40"/>
      <c r="K2308" s="39"/>
      <c r="L2308" s="39"/>
      <c r="M2308" s="39"/>
      <c r="N2308" s="23"/>
      <c r="O2308" s="39"/>
      <c r="P2308" s="39"/>
      <c r="Q2308" s="39"/>
      <c r="R2308" s="39"/>
    </row>
    <row r="2309" spans="1:18" s="2" customFormat="1" ht="39.6">
      <c r="A2309" s="20">
        <f t="shared" si="139"/>
        <v>2125</v>
      </c>
      <c r="B2309" s="30" t="s">
        <v>3452</v>
      </c>
      <c r="C2309" s="30" t="s">
        <v>3453</v>
      </c>
      <c r="D2309" s="20" t="s">
        <v>8</v>
      </c>
      <c r="E2309" s="20" t="s">
        <v>9</v>
      </c>
      <c r="F2309" s="18">
        <v>1</v>
      </c>
      <c r="G2309" s="19">
        <f>1.633198857*3.54</f>
        <v>5.7815239537799998</v>
      </c>
      <c r="H2309" s="32">
        <f>H2306</f>
        <v>1507.05</v>
      </c>
      <c r="I2309" s="25">
        <f t="shared" si="136"/>
        <v>8713.0456745441479</v>
      </c>
      <c r="J2309" s="40"/>
      <c r="K2309" s="39"/>
      <c r="L2309" s="39"/>
      <c r="M2309" s="39"/>
      <c r="N2309" s="23"/>
      <c r="O2309" s="39"/>
      <c r="P2309" s="39"/>
      <c r="Q2309" s="39"/>
      <c r="R2309" s="39"/>
    </row>
    <row r="2310" spans="1:18" s="2" customFormat="1" ht="14.4">
      <c r="A2310" s="20">
        <f t="shared" si="139"/>
        <v>2126</v>
      </c>
      <c r="B2310" s="30" t="s">
        <v>3454</v>
      </c>
      <c r="C2310" s="30" t="s">
        <v>3474</v>
      </c>
      <c r="D2310" s="20" t="s">
        <v>8</v>
      </c>
      <c r="E2310" s="20" t="s">
        <v>9</v>
      </c>
      <c r="F2310" s="18">
        <v>1</v>
      </c>
      <c r="G2310" s="19">
        <f>46.42</f>
        <v>46.42</v>
      </c>
      <c r="H2310" s="32">
        <f>H2306*1.02</f>
        <v>1537.191</v>
      </c>
      <c r="I2310" s="25">
        <f t="shared" si="136"/>
        <v>71356.406220000004</v>
      </c>
      <c r="J2310" s="40"/>
      <c r="K2310" s="39"/>
      <c r="L2310" s="39"/>
      <c r="M2310" s="39"/>
      <c r="N2310" s="23"/>
      <c r="O2310" s="39"/>
      <c r="P2310" s="39"/>
      <c r="Q2310" s="39"/>
      <c r="R2310" s="39"/>
    </row>
    <row r="2311" spans="1:18" s="2" customFormat="1" ht="26.4">
      <c r="A2311" s="20">
        <f t="shared" si="139"/>
        <v>2127</v>
      </c>
      <c r="B2311" s="30" t="s">
        <v>3397</v>
      </c>
      <c r="C2311" s="30" t="s">
        <v>3457</v>
      </c>
      <c r="D2311" s="20" t="s">
        <v>8</v>
      </c>
      <c r="E2311" s="20" t="s">
        <v>9</v>
      </c>
      <c r="F2311" s="18">
        <v>1</v>
      </c>
      <c r="G2311" s="19">
        <f>1.633198857*27.44</f>
        <v>44.814976636080004</v>
      </c>
      <c r="H2311" s="32">
        <f>H2306</f>
        <v>1507.05</v>
      </c>
      <c r="I2311" s="25">
        <f t="shared" si="136"/>
        <v>67538.410539404373</v>
      </c>
      <c r="J2311" s="40"/>
      <c r="K2311" s="39"/>
      <c r="L2311" s="39"/>
      <c r="M2311" s="39"/>
      <c r="N2311" s="23"/>
      <c r="O2311" s="39"/>
      <c r="P2311" s="39"/>
      <c r="Q2311" s="39"/>
      <c r="R2311" s="39"/>
    </row>
    <row r="2312" spans="1:18" s="2" customFormat="1" ht="14.4">
      <c r="A2312" s="20"/>
      <c r="B2312" s="30"/>
      <c r="C2312" s="30" t="s">
        <v>3475</v>
      </c>
      <c r="D2312" s="20" t="s">
        <v>17</v>
      </c>
      <c r="E2312" s="20" t="s">
        <v>43</v>
      </c>
      <c r="F2312" s="18">
        <v>1</v>
      </c>
      <c r="G2312" s="19">
        <f>2068.12</f>
        <v>2068.12</v>
      </c>
      <c r="H2312" s="32">
        <f>H2311*0.15</f>
        <v>226.05749999999998</v>
      </c>
      <c r="I2312" s="25">
        <f t="shared" si="136"/>
        <v>467514.03689999995</v>
      </c>
      <c r="J2312" s="40"/>
      <c r="K2312" s="39"/>
      <c r="L2312" s="39"/>
      <c r="M2312" s="39"/>
      <c r="N2312" s="23"/>
      <c r="O2312" s="39"/>
      <c r="P2312" s="39"/>
      <c r="Q2312" s="39"/>
      <c r="R2312" s="39"/>
    </row>
    <row r="2313" spans="1:18" s="2" customFormat="1" ht="39.6">
      <c r="A2313" s="20">
        <f>A2311+1</f>
        <v>2128</v>
      </c>
      <c r="B2313" s="30" t="s">
        <v>3399</v>
      </c>
      <c r="C2313" s="30" t="s">
        <v>3400</v>
      </c>
      <c r="D2313" s="20" t="s">
        <v>8</v>
      </c>
      <c r="E2313" s="20" t="s">
        <v>9</v>
      </c>
      <c r="F2313" s="18">
        <v>1</v>
      </c>
      <c r="G2313" s="19">
        <f>1.633198857*2.66</f>
        <v>4.3443089596200002</v>
      </c>
      <c r="H2313" s="32">
        <f>H2306</f>
        <v>1507.05</v>
      </c>
      <c r="I2313" s="25">
        <f t="shared" si="136"/>
        <v>6547.0908175953209</v>
      </c>
      <c r="J2313" s="40"/>
      <c r="K2313" s="39"/>
      <c r="L2313" s="39"/>
      <c r="M2313" s="39"/>
      <c r="N2313" s="23"/>
      <c r="O2313" s="39"/>
      <c r="P2313" s="39"/>
      <c r="Q2313" s="39"/>
      <c r="R2313" s="39"/>
    </row>
    <row r="2314" spans="1:18" s="2" customFormat="1" ht="26.4">
      <c r="A2314" s="20">
        <f t="shared" si="139"/>
        <v>2129</v>
      </c>
      <c r="B2314" s="30" t="s">
        <v>3439</v>
      </c>
      <c r="C2314" s="30" t="s">
        <v>3440</v>
      </c>
      <c r="D2314" s="20" t="s">
        <v>17</v>
      </c>
      <c r="E2314" s="20" t="s">
        <v>43</v>
      </c>
      <c r="F2314" s="18">
        <v>1</v>
      </c>
      <c r="G2314" s="19">
        <f>1.633198857*123.83</f>
        <v>202.23901446231</v>
      </c>
      <c r="H2314" s="32">
        <f>H2306</f>
        <v>1507.05</v>
      </c>
      <c r="I2314" s="25">
        <f t="shared" si="136"/>
        <v>304784.30674542428</v>
      </c>
      <c r="J2314" s="40"/>
      <c r="K2314" s="39"/>
      <c r="L2314" s="39"/>
      <c r="M2314" s="39"/>
      <c r="N2314" s="23"/>
      <c r="O2314" s="39"/>
      <c r="P2314" s="39"/>
      <c r="Q2314" s="39"/>
      <c r="R2314" s="39"/>
    </row>
    <row r="2315" spans="1:18" s="2" customFormat="1" ht="14.4">
      <c r="A2315" s="20">
        <f t="shared" si="139"/>
        <v>2130</v>
      </c>
      <c r="B2315" s="30" t="s">
        <v>3476</v>
      </c>
      <c r="C2315" s="30" t="s">
        <v>3477</v>
      </c>
      <c r="D2315" s="20" t="s">
        <v>17</v>
      </c>
      <c r="E2315" s="20" t="s">
        <v>43</v>
      </c>
      <c r="F2315" s="18">
        <v>1</v>
      </c>
      <c r="G2315" s="19">
        <f>1699.76</f>
        <v>1699.76</v>
      </c>
      <c r="H2315" s="32">
        <f>H2306*0.05</f>
        <v>75.352500000000006</v>
      </c>
      <c r="I2315" s="25">
        <f t="shared" ref="I2315:I2378" si="140">G2315*H2315</f>
        <v>128081.16540000001</v>
      </c>
      <c r="J2315" s="40"/>
      <c r="K2315" s="39"/>
      <c r="L2315" s="39"/>
      <c r="M2315" s="39"/>
      <c r="N2315" s="23"/>
      <c r="O2315" s="39"/>
      <c r="P2315" s="39"/>
      <c r="Q2315" s="39"/>
      <c r="R2315" s="39"/>
    </row>
    <row r="2316" spans="1:18" s="2" customFormat="1" ht="26.4">
      <c r="A2316" s="20">
        <f t="shared" si="139"/>
        <v>2131</v>
      </c>
      <c r="B2316" s="30" t="s">
        <v>3478</v>
      </c>
      <c r="C2316" s="30" t="s">
        <v>3479</v>
      </c>
      <c r="D2316" s="20" t="s">
        <v>8</v>
      </c>
      <c r="E2316" s="20" t="s">
        <v>9</v>
      </c>
      <c r="F2316" s="18">
        <v>1</v>
      </c>
      <c r="G2316" s="19">
        <f>1.633198857*123.83</f>
        <v>202.23901446231</v>
      </c>
      <c r="H2316" s="32">
        <f>H2306</f>
        <v>1507.05</v>
      </c>
      <c r="I2316" s="25">
        <f t="shared" si="140"/>
        <v>304784.30674542428</v>
      </c>
      <c r="J2316" s="40"/>
      <c r="K2316" s="39"/>
      <c r="L2316" s="39"/>
      <c r="M2316" s="39"/>
      <c r="N2316" s="23"/>
      <c r="O2316" s="39"/>
      <c r="P2316" s="39"/>
      <c r="Q2316" s="39"/>
      <c r="R2316" s="39"/>
    </row>
    <row r="2317" spans="1:18" s="2" customFormat="1" ht="14.4">
      <c r="A2317" s="20">
        <f t="shared" si="139"/>
        <v>2132</v>
      </c>
      <c r="B2317" s="30" t="s">
        <v>3480</v>
      </c>
      <c r="C2317" s="30" t="s">
        <v>3481</v>
      </c>
      <c r="D2317" s="9" t="s">
        <v>44</v>
      </c>
      <c r="E2317" s="20" t="s">
        <v>45</v>
      </c>
      <c r="F2317" s="18">
        <v>1</v>
      </c>
      <c r="G2317" s="19">
        <f>88.92</f>
        <v>88.92</v>
      </c>
      <c r="H2317" s="32">
        <v>449.28</v>
      </c>
      <c r="I2317" s="25">
        <f t="shared" si="140"/>
        <v>39949.977599999998</v>
      </c>
      <c r="J2317" s="40"/>
      <c r="K2317" s="39"/>
      <c r="L2317" s="39"/>
      <c r="M2317" s="39"/>
      <c r="N2317" s="23"/>
      <c r="O2317" s="39"/>
      <c r="P2317" s="39"/>
      <c r="Q2317" s="39"/>
      <c r="R2317" s="39"/>
    </row>
    <row r="2318" spans="1:18" s="2" customFormat="1" ht="14.4">
      <c r="A2318" s="20">
        <f t="shared" si="139"/>
        <v>2133</v>
      </c>
      <c r="B2318" s="30" t="s">
        <v>3482</v>
      </c>
      <c r="C2318" s="30" t="s">
        <v>3483</v>
      </c>
      <c r="D2318" s="20" t="s">
        <v>8</v>
      </c>
      <c r="E2318" s="20" t="s">
        <v>9</v>
      </c>
      <c r="F2318" s="18">
        <v>1</v>
      </c>
      <c r="G2318" s="19">
        <f>696.94</f>
        <v>696.94</v>
      </c>
      <c r="H2318" s="32">
        <v>881.28</v>
      </c>
      <c r="I2318" s="25">
        <f t="shared" si="140"/>
        <v>614199.28320000006</v>
      </c>
      <c r="J2318" s="40"/>
      <c r="K2318" s="39"/>
      <c r="L2318" s="39"/>
      <c r="M2318" s="39"/>
      <c r="N2318" s="23"/>
      <c r="O2318" s="39"/>
      <c r="P2318" s="39"/>
      <c r="Q2318" s="39"/>
      <c r="R2318" s="39"/>
    </row>
    <row r="2319" spans="1:18" s="2" customFormat="1" ht="14.4">
      <c r="A2319" s="20">
        <f t="shared" si="139"/>
        <v>2134</v>
      </c>
      <c r="B2319" s="30" t="s">
        <v>3484</v>
      </c>
      <c r="C2319" s="30" t="s">
        <v>3485</v>
      </c>
      <c r="D2319" s="9" t="s">
        <v>44</v>
      </c>
      <c r="E2319" s="20" t="s">
        <v>45</v>
      </c>
      <c r="F2319" s="18">
        <v>1</v>
      </c>
      <c r="G2319" s="19">
        <f>84.22</f>
        <v>84.22</v>
      </c>
      <c r="H2319" s="32">
        <v>16.416</v>
      </c>
      <c r="I2319" s="25">
        <f t="shared" si="140"/>
        <v>1382.5555200000001</v>
      </c>
      <c r="J2319" s="40"/>
      <c r="K2319" s="39"/>
      <c r="L2319" s="39"/>
      <c r="M2319" s="39"/>
      <c r="N2319" s="23"/>
      <c r="O2319" s="39"/>
      <c r="P2319" s="39"/>
      <c r="Q2319" s="39"/>
      <c r="R2319" s="39"/>
    </row>
    <row r="2320" spans="1:18" s="2" customFormat="1" ht="14.4">
      <c r="A2320" s="20">
        <f t="shared" si="139"/>
        <v>2135</v>
      </c>
      <c r="B2320" s="41" t="s">
        <v>1077</v>
      </c>
      <c r="C2320" s="41" t="s">
        <v>219</v>
      </c>
      <c r="D2320" s="42" t="s">
        <v>48</v>
      </c>
      <c r="E2320" s="42" t="s">
        <v>49</v>
      </c>
      <c r="F2320" s="18">
        <v>1</v>
      </c>
      <c r="G2320" s="19"/>
      <c r="H2320" s="58">
        <v>1</v>
      </c>
      <c r="I2320" s="25">
        <f>SUM(I2306:I2319)*0.05</f>
        <v>123500.96172063396</v>
      </c>
      <c r="J2320" s="40"/>
      <c r="K2320" s="39"/>
      <c r="L2320" s="39"/>
      <c r="M2320" s="39"/>
      <c r="N2320" s="23"/>
      <c r="O2320" s="39"/>
      <c r="P2320" s="39"/>
      <c r="Q2320" s="39"/>
      <c r="R2320" s="39"/>
    </row>
    <row r="2321" spans="1:18" ht="39.6">
      <c r="A2321" s="9" t="s">
        <v>61</v>
      </c>
      <c r="B2321" s="13" t="s">
        <v>3486</v>
      </c>
      <c r="C2321" s="13" t="s">
        <v>3487</v>
      </c>
      <c r="D2321" s="85"/>
      <c r="E2321" s="85"/>
      <c r="F2321" s="18"/>
      <c r="G2321" s="19"/>
      <c r="H2321" s="86"/>
      <c r="I2321" s="25"/>
      <c r="J2321" s="24"/>
      <c r="K2321" s="22"/>
      <c r="L2321" s="22"/>
      <c r="M2321" s="22"/>
      <c r="N2321" s="23"/>
      <c r="O2321" s="22"/>
      <c r="P2321" s="22"/>
      <c r="Q2321" s="22"/>
      <c r="R2321" s="22"/>
    </row>
    <row r="2322" spans="1:18" ht="79.5" customHeight="1">
      <c r="A2322" s="9" t="s">
        <v>61</v>
      </c>
      <c r="B2322" s="13" t="s">
        <v>3488</v>
      </c>
      <c r="C2322" s="13" t="s">
        <v>3489</v>
      </c>
      <c r="D2322" s="85"/>
      <c r="E2322" s="85"/>
      <c r="F2322" s="18"/>
      <c r="G2322" s="19"/>
      <c r="H2322" s="86"/>
      <c r="I2322" s="25"/>
      <c r="J2322" s="24" t="s">
        <v>3490</v>
      </c>
      <c r="K2322" s="22">
        <v>135.69999999999999</v>
      </c>
      <c r="L2322" s="22"/>
      <c r="M2322" s="22"/>
      <c r="N2322" s="23"/>
      <c r="O2322" s="22"/>
      <c r="P2322" s="22"/>
      <c r="Q2322" s="22"/>
      <c r="R2322" s="22"/>
    </row>
    <row r="2323" spans="1:18" s="2" customFormat="1" ht="39.6">
      <c r="A2323" s="20">
        <f>A2320+1</f>
        <v>2136</v>
      </c>
      <c r="B2323" s="30" t="s">
        <v>3393</v>
      </c>
      <c r="C2323" s="30" t="s">
        <v>3394</v>
      </c>
      <c r="D2323" s="20" t="s">
        <v>8</v>
      </c>
      <c r="E2323" s="20" t="s">
        <v>9</v>
      </c>
      <c r="F2323" s="18">
        <v>1</v>
      </c>
      <c r="G2323" s="19">
        <f>1.633198857*60.41</f>
        <v>98.661542951369995</v>
      </c>
      <c r="H2323" s="32">
        <f>0.1357*1000</f>
        <v>135.69999999999999</v>
      </c>
      <c r="I2323" s="25">
        <f t="shared" si="140"/>
        <v>13388.371378500908</v>
      </c>
      <c r="J2323" s="40"/>
      <c r="K2323" s="39"/>
      <c r="L2323" s="39"/>
      <c r="M2323" s="39"/>
      <c r="N2323" s="23"/>
      <c r="O2323" s="39"/>
      <c r="P2323" s="39"/>
      <c r="Q2323" s="39"/>
      <c r="R2323" s="39"/>
    </row>
    <row r="2324" spans="1:18" s="2" customFormat="1" ht="14.4">
      <c r="A2324" s="20">
        <f>A2323+1</f>
        <v>2137</v>
      </c>
      <c r="B2324" s="30" t="s">
        <v>177</v>
      </c>
      <c r="C2324" s="30" t="s">
        <v>58</v>
      </c>
      <c r="D2324" s="20" t="s">
        <v>17</v>
      </c>
      <c r="E2324" s="20" t="s">
        <v>43</v>
      </c>
      <c r="F2324" s="18">
        <v>1</v>
      </c>
      <c r="G2324" s="19">
        <f>714</f>
        <v>714</v>
      </c>
      <c r="H2324" s="32">
        <v>0.33825</v>
      </c>
      <c r="I2324" s="25">
        <f t="shared" si="140"/>
        <v>241.51050000000001</v>
      </c>
      <c r="J2324" s="40"/>
      <c r="K2324" s="39"/>
      <c r="L2324" s="39"/>
      <c r="M2324" s="39"/>
      <c r="N2324" s="23"/>
      <c r="O2324" s="39"/>
      <c r="P2324" s="39"/>
      <c r="Q2324" s="39"/>
      <c r="R2324" s="39"/>
    </row>
    <row r="2325" spans="1:18" s="2" customFormat="1" ht="26.4">
      <c r="A2325" s="20">
        <f t="shared" ref="A2325:A2334" si="141">A2324+1</f>
        <v>2138</v>
      </c>
      <c r="B2325" s="30" t="s">
        <v>3395</v>
      </c>
      <c r="C2325" s="30" t="s">
        <v>3396</v>
      </c>
      <c r="D2325" s="9" t="s">
        <v>17</v>
      </c>
      <c r="E2325" s="20" t="s">
        <v>43</v>
      </c>
      <c r="F2325" s="18">
        <v>1</v>
      </c>
      <c r="G2325" s="19">
        <f>1.633198857*123.83</f>
        <v>202.23901446231</v>
      </c>
      <c r="H2325" s="32">
        <v>27.14</v>
      </c>
      <c r="I2325" s="25">
        <f t="shared" si="140"/>
        <v>5488.7668525070931</v>
      </c>
      <c r="J2325" s="40"/>
      <c r="K2325" s="39"/>
      <c r="L2325" s="39"/>
      <c r="M2325" s="39"/>
      <c r="N2325" s="23"/>
      <c r="O2325" s="39"/>
      <c r="P2325" s="39"/>
      <c r="Q2325" s="39"/>
      <c r="R2325" s="39"/>
    </row>
    <row r="2326" spans="1:18" s="2" customFormat="1" ht="14.4">
      <c r="A2326" s="20">
        <f t="shared" si="141"/>
        <v>2139</v>
      </c>
      <c r="B2326" s="30" t="s">
        <v>177</v>
      </c>
      <c r="C2326" s="30" t="s">
        <v>58</v>
      </c>
      <c r="D2326" s="20" t="s">
        <v>17</v>
      </c>
      <c r="E2326" s="20" t="s">
        <v>43</v>
      </c>
      <c r="F2326" s="18">
        <v>1</v>
      </c>
      <c r="G2326" s="19">
        <f>714</f>
        <v>714</v>
      </c>
      <c r="H2326" s="32">
        <v>20.295000000000002</v>
      </c>
      <c r="I2326" s="25">
        <f t="shared" si="140"/>
        <v>14490.630000000001</v>
      </c>
      <c r="J2326" s="40"/>
      <c r="K2326" s="39"/>
      <c r="L2326" s="39"/>
      <c r="M2326" s="39"/>
      <c r="N2326" s="23"/>
      <c r="O2326" s="39"/>
      <c r="P2326" s="39"/>
      <c r="Q2326" s="39"/>
      <c r="R2326" s="39"/>
    </row>
    <row r="2327" spans="1:18" s="2" customFormat="1" ht="39.6">
      <c r="A2327" s="20">
        <f t="shared" si="141"/>
        <v>2140</v>
      </c>
      <c r="B2327" s="30" t="s">
        <v>3397</v>
      </c>
      <c r="C2327" s="30" t="s">
        <v>3491</v>
      </c>
      <c r="D2327" s="20" t="s">
        <v>8</v>
      </c>
      <c r="E2327" s="20" t="s">
        <v>9</v>
      </c>
      <c r="F2327" s="18">
        <v>1</v>
      </c>
      <c r="G2327" s="19">
        <f>1.633198857*396.07</f>
        <v>646.86107129199002</v>
      </c>
      <c r="H2327" s="32">
        <f>0.1357*1000</f>
        <v>135.69999999999999</v>
      </c>
      <c r="I2327" s="25">
        <f t="shared" si="140"/>
        <v>87779.04737432304</v>
      </c>
      <c r="J2327" s="40"/>
      <c r="K2327" s="39"/>
      <c r="L2327" s="39"/>
      <c r="M2327" s="39"/>
      <c r="N2327" s="23"/>
      <c r="O2327" s="39"/>
      <c r="P2327" s="39"/>
      <c r="Q2327" s="39"/>
      <c r="R2327" s="39"/>
    </row>
    <row r="2328" spans="1:18" s="2" customFormat="1" ht="39.6">
      <c r="A2328" s="20">
        <f t="shared" si="141"/>
        <v>2141</v>
      </c>
      <c r="B2328" s="30" t="s">
        <v>3399</v>
      </c>
      <c r="C2328" s="30" t="s">
        <v>3400</v>
      </c>
      <c r="D2328" s="20" t="s">
        <v>8</v>
      </c>
      <c r="E2328" s="20" t="s">
        <v>9</v>
      </c>
      <c r="F2328" s="18">
        <v>1</v>
      </c>
      <c r="G2328" s="19">
        <f>1.633198857*115.19</f>
        <v>188.12817633782998</v>
      </c>
      <c r="H2328" s="32">
        <f>0.1357*1000</f>
        <v>135.69999999999999</v>
      </c>
      <c r="I2328" s="25">
        <f t="shared" si="140"/>
        <v>25528.993529043528</v>
      </c>
      <c r="J2328" s="40"/>
      <c r="K2328" s="39"/>
      <c r="L2328" s="39"/>
      <c r="M2328" s="39"/>
      <c r="N2328" s="23"/>
      <c r="O2328" s="39"/>
      <c r="P2328" s="39"/>
      <c r="Q2328" s="39"/>
      <c r="R2328" s="39"/>
    </row>
    <row r="2329" spans="1:18" s="2" customFormat="1" ht="52.8">
      <c r="A2329" s="20">
        <f t="shared" si="141"/>
        <v>2142</v>
      </c>
      <c r="B2329" s="30" t="s">
        <v>3401</v>
      </c>
      <c r="C2329" s="30" t="s">
        <v>3402</v>
      </c>
      <c r="D2329" s="20" t="s">
        <v>8</v>
      </c>
      <c r="E2329" s="20" t="s">
        <v>9</v>
      </c>
      <c r="F2329" s="18">
        <v>1</v>
      </c>
      <c r="G2329" s="19">
        <f>1.633198857*22.74</f>
        <v>37.138942008179995</v>
      </c>
      <c r="H2329" s="32">
        <f>0.1357*1000</f>
        <v>135.69999999999999</v>
      </c>
      <c r="I2329" s="25">
        <f t="shared" si="140"/>
        <v>5039.7544305100246</v>
      </c>
      <c r="J2329" s="40"/>
      <c r="K2329" s="39"/>
      <c r="L2329" s="39"/>
      <c r="M2329" s="39"/>
      <c r="N2329" s="23"/>
      <c r="O2329" s="39"/>
      <c r="P2329" s="39"/>
      <c r="Q2329" s="39"/>
      <c r="R2329" s="39"/>
    </row>
    <row r="2330" spans="1:18" s="2" customFormat="1" ht="66">
      <c r="A2330" s="20">
        <f t="shared" si="141"/>
        <v>2143</v>
      </c>
      <c r="B2330" s="30" t="s">
        <v>3403</v>
      </c>
      <c r="C2330" s="30" t="s">
        <v>3404</v>
      </c>
      <c r="D2330" s="20" t="s">
        <v>8</v>
      </c>
      <c r="E2330" s="20" t="s">
        <v>9</v>
      </c>
      <c r="F2330" s="18">
        <v>1</v>
      </c>
      <c r="G2330" s="19">
        <f>1.633198857*0.14</f>
        <v>0.22864783998000002</v>
      </c>
      <c r="H2330" s="32">
        <f>0.1357*1000</f>
        <v>135.69999999999999</v>
      </c>
      <c r="I2330" s="25">
        <f t="shared" si="140"/>
        <v>31.027511885286</v>
      </c>
      <c r="J2330" s="40"/>
      <c r="K2330" s="39"/>
      <c r="L2330" s="39"/>
      <c r="M2330" s="39"/>
      <c r="N2330" s="23"/>
      <c r="O2330" s="39"/>
      <c r="P2330" s="39"/>
      <c r="Q2330" s="39"/>
      <c r="R2330" s="39"/>
    </row>
    <row r="2331" spans="1:18" s="2" customFormat="1" ht="52.8">
      <c r="A2331" s="20">
        <f t="shared" si="141"/>
        <v>2144</v>
      </c>
      <c r="B2331" s="30" t="s">
        <v>3405</v>
      </c>
      <c r="C2331" s="30" t="s">
        <v>3406</v>
      </c>
      <c r="D2331" s="20" t="s">
        <v>8</v>
      </c>
      <c r="E2331" s="20" t="s">
        <v>9</v>
      </c>
      <c r="F2331" s="18">
        <v>1</v>
      </c>
      <c r="G2331" s="19">
        <f>1.633198857*20.94</f>
        <v>34.199184065579999</v>
      </c>
      <c r="H2331" s="32">
        <f>0.1357*1000</f>
        <v>135.69999999999999</v>
      </c>
      <c r="I2331" s="25">
        <f t="shared" si="140"/>
        <v>4640.8292776992057</v>
      </c>
      <c r="J2331" s="40"/>
      <c r="K2331" s="39"/>
      <c r="L2331" s="39"/>
      <c r="M2331" s="39"/>
      <c r="N2331" s="23"/>
      <c r="O2331" s="39"/>
      <c r="P2331" s="39"/>
      <c r="Q2331" s="39"/>
      <c r="R2331" s="39"/>
    </row>
    <row r="2332" spans="1:18" s="2" customFormat="1" ht="39.6">
      <c r="A2332" s="20">
        <f t="shared" si="141"/>
        <v>2145</v>
      </c>
      <c r="B2332" s="30" t="s">
        <v>3407</v>
      </c>
      <c r="C2332" s="30" t="s">
        <v>3408</v>
      </c>
      <c r="D2332" s="9" t="s">
        <v>25</v>
      </c>
      <c r="E2332" s="20" t="s">
        <v>26</v>
      </c>
      <c r="F2332" s="18">
        <v>1</v>
      </c>
      <c r="G2332" s="19">
        <f>1.633198857*179.99</f>
        <v>293.95946227143003</v>
      </c>
      <c r="H2332" s="32">
        <f>0.615*100</f>
        <v>61.5</v>
      </c>
      <c r="I2332" s="25">
        <f t="shared" si="140"/>
        <v>18078.506929692947</v>
      </c>
      <c r="J2332" s="40"/>
      <c r="K2332" s="39"/>
      <c r="L2332" s="39"/>
      <c r="M2332" s="39"/>
      <c r="N2332" s="23"/>
      <c r="O2332" s="39"/>
      <c r="P2332" s="39"/>
      <c r="Q2332" s="39"/>
      <c r="R2332" s="39"/>
    </row>
    <row r="2333" spans="1:18" s="2" customFormat="1" ht="14.4">
      <c r="A2333" s="20">
        <f t="shared" si="141"/>
        <v>2146</v>
      </c>
      <c r="B2333" s="30" t="s">
        <v>3409</v>
      </c>
      <c r="C2333" s="30" t="s">
        <v>3410</v>
      </c>
      <c r="D2333" s="20" t="s">
        <v>5</v>
      </c>
      <c r="E2333" s="20" t="s">
        <v>6</v>
      </c>
      <c r="F2333" s="18">
        <v>1</v>
      </c>
      <c r="G2333" s="19">
        <f>203.37</f>
        <v>203.37</v>
      </c>
      <c r="H2333" s="32">
        <v>61.5</v>
      </c>
      <c r="I2333" s="25">
        <f t="shared" si="140"/>
        <v>12507.255000000001</v>
      </c>
      <c r="J2333" s="40"/>
      <c r="K2333" s="39"/>
      <c r="L2333" s="39"/>
      <c r="M2333" s="39"/>
      <c r="N2333" s="23"/>
      <c r="O2333" s="39"/>
      <c r="P2333" s="39"/>
      <c r="Q2333" s="39"/>
      <c r="R2333" s="39"/>
    </row>
    <row r="2334" spans="1:18" s="2" customFormat="1" ht="14.4">
      <c r="A2334" s="20">
        <f t="shared" si="141"/>
        <v>2147</v>
      </c>
      <c r="B2334" s="41" t="s">
        <v>1077</v>
      </c>
      <c r="C2334" s="41" t="s">
        <v>219</v>
      </c>
      <c r="D2334" s="42" t="s">
        <v>48</v>
      </c>
      <c r="E2334" s="42" t="s">
        <v>49</v>
      </c>
      <c r="F2334" s="18">
        <v>1</v>
      </c>
      <c r="G2334" s="19"/>
      <c r="H2334" s="58">
        <v>1</v>
      </c>
      <c r="I2334" s="25">
        <f>SUM(I2323:I2333)*0.05</f>
        <v>9360.7346392081017</v>
      </c>
      <c r="J2334" s="40"/>
      <c r="K2334" s="39"/>
      <c r="L2334" s="39"/>
      <c r="M2334" s="39"/>
      <c r="N2334" s="23"/>
      <c r="O2334" s="39"/>
      <c r="P2334" s="39"/>
      <c r="Q2334" s="39"/>
      <c r="R2334" s="39"/>
    </row>
    <row r="2335" spans="1:18" ht="79.2">
      <c r="A2335" s="9" t="s">
        <v>61</v>
      </c>
      <c r="B2335" s="13" t="s">
        <v>3492</v>
      </c>
      <c r="C2335" s="13" t="s">
        <v>3493</v>
      </c>
      <c r="D2335" s="85"/>
      <c r="E2335" s="85"/>
      <c r="F2335" s="18"/>
      <c r="G2335" s="19"/>
      <c r="H2335" s="86"/>
      <c r="I2335" s="25"/>
      <c r="J2335" s="24" t="s">
        <v>3413</v>
      </c>
      <c r="K2335">
        <v>305.25</v>
      </c>
      <c r="M2335" s="22"/>
      <c r="N2335" s="23"/>
      <c r="O2335" s="22"/>
      <c r="P2335" s="22"/>
      <c r="Q2335" s="22"/>
      <c r="R2335" s="22"/>
    </row>
    <row r="2336" spans="1:18" s="2" customFormat="1" ht="39.6">
      <c r="A2336" s="20">
        <f>A2334+1</f>
        <v>2148</v>
      </c>
      <c r="B2336" s="30" t="s">
        <v>3359</v>
      </c>
      <c r="C2336" s="30" t="s">
        <v>3360</v>
      </c>
      <c r="D2336" s="20" t="s">
        <v>9</v>
      </c>
      <c r="E2336" s="20" t="s">
        <v>9</v>
      </c>
      <c r="F2336" s="18">
        <v>1</v>
      </c>
      <c r="G2336" s="19">
        <f>1.633198857*62.38</f>
        <v>101.87894469966001</v>
      </c>
      <c r="H2336" s="20">
        <v>305.25</v>
      </c>
      <c r="I2336" s="25">
        <f t="shared" si="140"/>
        <v>31098.547869571219</v>
      </c>
      <c r="J2336" s="40"/>
      <c r="M2336" s="39"/>
      <c r="N2336" s="23"/>
      <c r="O2336" s="39"/>
      <c r="P2336" s="39"/>
      <c r="Q2336" s="39"/>
      <c r="R2336" s="39"/>
    </row>
    <row r="2337" spans="1:18" s="2" customFormat="1" ht="14.4">
      <c r="A2337" s="20">
        <f>A2336+1</f>
        <v>2149</v>
      </c>
      <c r="B2337" s="30" t="s">
        <v>3361</v>
      </c>
      <c r="C2337" s="30" t="s">
        <v>3362</v>
      </c>
      <c r="D2337" s="20" t="s">
        <v>9</v>
      </c>
      <c r="E2337" s="20" t="s">
        <v>9</v>
      </c>
      <c r="F2337" s="18">
        <v>1</v>
      </c>
      <c r="G2337" s="19">
        <v>8.6</v>
      </c>
      <c r="H2337" s="20">
        <f>H2336</f>
        <v>305.25</v>
      </c>
      <c r="I2337" s="25">
        <f t="shared" si="140"/>
        <v>2625.15</v>
      </c>
      <c r="J2337" s="40"/>
      <c r="K2337" s="39"/>
      <c r="L2337" s="39"/>
      <c r="M2337" s="39"/>
      <c r="N2337" s="23"/>
      <c r="O2337" s="39"/>
      <c r="P2337" s="39"/>
      <c r="Q2337" s="39"/>
      <c r="R2337" s="39"/>
    </row>
    <row r="2338" spans="1:18" s="2" customFormat="1" ht="26.4">
      <c r="A2338" s="20">
        <f t="shared" ref="A2338:A2351" si="142">A2337+1</f>
        <v>2150</v>
      </c>
      <c r="B2338" s="30" t="s">
        <v>3363</v>
      </c>
      <c r="C2338" s="30" t="s">
        <v>3364</v>
      </c>
      <c r="D2338" s="20" t="s">
        <v>9</v>
      </c>
      <c r="E2338" s="20" t="s">
        <v>9</v>
      </c>
      <c r="F2338" s="18">
        <v>1</v>
      </c>
      <c r="G2338" s="19">
        <f>1.633198857*123.83</f>
        <v>202.23901446231</v>
      </c>
      <c r="H2338" s="20">
        <f>H2336</f>
        <v>305.25</v>
      </c>
      <c r="I2338" s="25">
        <f t="shared" si="140"/>
        <v>61733.45916462013</v>
      </c>
      <c r="J2338" s="40"/>
      <c r="K2338" s="39"/>
      <c r="L2338" s="39"/>
      <c r="M2338" s="39"/>
      <c r="N2338" s="23"/>
      <c r="O2338" s="39"/>
      <c r="P2338" s="39"/>
      <c r="Q2338" s="39"/>
      <c r="R2338" s="39"/>
    </row>
    <row r="2339" spans="1:18" s="2" customFormat="1" ht="14.4">
      <c r="A2339" s="20">
        <f t="shared" si="142"/>
        <v>2151</v>
      </c>
      <c r="B2339" s="30" t="s">
        <v>177</v>
      </c>
      <c r="C2339" s="30" t="s">
        <v>58</v>
      </c>
      <c r="D2339" s="20" t="s">
        <v>43</v>
      </c>
      <c r="E2339" s="20" t="s">
        <v>43</v>
      </c>
      <c r="F2339" s="18">
        <v>1</v>
      </c>
      <c r="G2339" s="19">
        <f>714</f>
        <v>714</v>
      </c>
      <c r="H2339" s="20">
        <f>SUM(H2338*0.15)</f>
        <v>45.787500000000001</v>
      </c>
      <c r="I2339" s="25">
        <f t="shared" si="140"/>
        <v>32692.275000000001</v>
      </c>
      <c r="J2339" s="40"/>
      <c r="K2339" s="39"/>
      <c r="L2339" s="39"/>
      <c r="M2339" s="39"/>
      <c r="N2339" s="23"/>
      <c r="O2339" s="39"/>
      <c r="P2339" s="39"/>
      <c r="Q2339" s="39"/>
      <c r="R2339" s="39"/>
    </row>
    <row r="2340" spans="1:18" s="2" customFormat="1" ht="42" customHeight="1">
      <c r="A2340" s="20">
        <f t="shared" si="142"/>
        <v>2152</v>
      </c>
      <c r="B2340" s="30" t="s">
        <v>3414</v>
      </c>
      <c r="C2340" s="30" t="s">
        <v>3370</v>
      </c>
      <c r="D2340" s="20" t="s">
        <v>9</v>
      </c>
      <c r="E2340" s="20" t="s">
        <v>9</v>
      </c>
      <c r="F2340" s="18">
        <v>1</v>
      </c>
      <c r="G2340" s="19">
        <f>1.633198857*123.83</f>
        <v>202.23901446231</v>
      </c>
      <c r="H2340" s="20">
        <f>H2336</f>
        <v>305.25</v>
      </c>
      <c r="I2340" s="25">
        <f t="shared" si="140"/>
        <v>61733.45916462013</v>
      </c>
      <c r="J2340" s="40"/>
      <c r="K2340" s="39"/>
      <c r="L2340" s="39"/>
      <c r="M2340" s="39"/>
      <c r="N2340" s="23"/>
      <c r="O2340" s="39"/>
      <c r="P2340" s="39"/>
      <c r="Q2340" s="39"/>
      <c r="R2340" s="39"/>
    </row>
    <row r="2341" spans="1:18" s="2" customFormat="1" ht="14.4">
      <c r="A2341" s="20">
        <f t="shared" si="142"/>
        <v>2153</v>
      </c>
      <c r="B2341" s="30" t="s">
        <v>3371</v>
      </c>
      <c r="C2341" s="30" t="s">
        <v>3372</v>
      </c>
      <c r="D2341" s="20" t="s">
        <v>43</v>
      </c>
      <c r="E2341" s="20" t="s">
        <v>43</v>
      </c>
      <c r="F2341" s="18">
        <v>1</v>
      </c>
      <c r="G2341" s="19">
        <v>250</v>
      </c>
      <c r="H2341" s="20">
        <f>H2340*0.15</f>
        <v>45.787500000000001</v>
      </c>
      <c r="I2341" s="25">
        <f t="shared" si="140"/>
        <v>11446.875</v>
      </c>
      <c r="J2341" s="40"/>
      <c r="K2341" s="39"/>
      <c r="L2341" s="39"/>
      <c r="M2341" s="39"/>
      <c r="N2341" s="23"/>
      <c r="O2341" s="39"/>
      <c r="P2341" s="39"/>
      <c r="Q2341" s="39"/>
      <c r="R2341" s="39"/>
    </row>
    <row r="2342" spans="1:18" s="2" customFormat="1" ht="26.4">
      <c r="A2342" s="20">
        <f t="shared" si="142"/>
        <v>2154</v>
      </c>
      <c r="B2342" s="30" t="s">
        <v>3373</v>
      </c>
      <c r="C2342" s="30" t="s">
        <v>3374</v>
      </c>
      <c r="D2342" s="20" t="s">
        <v>9</v>
      </c>
      <c r="E2342" s="20" t="s">
        <v>9</v>
      </c>
      <c r="F2342" s="18">
        <v>1</v>
      </c>
      <c r="G2342" s="19">
        <v>9.69</v>
      </c>
      <c r="H2342" s="20">
        <f>H2336</f>
        <v>305.25</v>
      </c>
      <c r="I2342" s="25">
        <f t="shared" si="140"/>
        <v>2957.8724999999999</v>
      </c>
      <c r="J2342" s="40"/>
      <c r="K2342" s="39"/>
      <c r="L2342" s="39"/>
      <c r="M2342" s="39"/>
      <c r="N2342" s="23"/>
      <c r="O2342" s="39"/>
      <c r="P2342" s="39"/>
      <c r="Q2342" s="39"/>
      <c r="R2342" s="39"/>
    </row>
    <row r="2343" spans="1:18" s="2" customFormat="1" ht="26.4">
      <c r="A2343" s="20">
        <f t="shared" si="142"/>
        <v>2155</v>
      </c>
      <c r="B2343" s="30" t="s">
        <v>3375</v>
      </c>
      <c r="C2343" s="30" t="s">
        <v>3376</v>
      </c>
      <c r="D2343" s="20" t="s">
        <v>43</v>
      </c>
      <c r="E2343" s="20" t="s">
        <v>43</v>
      </c>
      <c r="F2343" s="18">
        <v>1</v>
      </c>
      <c r="G2343" s="19">
        <v>2705</v>
      </c>
      <c r="H2343" s="20">
        <f>H2342*0.06</f>
        <v>18.314999999999998</v>
      </c>
      <c r="I2343" s="25">
        <f t="shared" si="140"/>
        <v>49542.074999999997</v>
      </c>
      <c r="J2343" s="40"/>
      <c r="K2343" s="39"/>
      <c r="L2343" s="39"/>
      <c r="M2343" s="39"/>
      <c r="N2343" s="23"/>
      <c r="O2343" s="39"/>
      <c r="P2343" s="39"/>
      <c r="Q2343" s="39"/>
      <c r="R2343" s="39"/>
    </row>
    <row r="2344" spans="1:18" s="2" customFormat="1" ht="26.4">
      <c r="A2344" s="20">
        <f t="shared" si="142"/>
        <v>2156</v>
      </c>
      <c r="B2344" s="30" t="s">
        <v>3377</v>
      </c>
      <c r="C2344" s="30" t="s">
        <v>3378</v>
      </c>
      <c r="D2344" s="20" t="s">
        <v>9</v>
      </c>
      <c r="E2344" s="20" t="s">
        <v>9</v>
      </c>
      <c r="F2344" s="18">
        <v>1</v>
      </c>
      <c r="G2344" s="19">
        <f>1.633198857*98.03</f>
        <v>160.10248395171001</v>
      </c>
      <c r="H2344" s="20">
        <f>H2336</f>
        <v>305.25</v>
      </c>
      <c r="I2344" s="25">
        <f t="shared" si="140"/>
        <v>48871.283226259482</v>
      </c>
      <c r="J2344" s="40"/>
      <c r="K2344" s="39"/>
      <c r="L2344" s="39"/>
      <c r="M2344" s="39"/>
      <c r="N2344" s="23"/>
      <c r="O2344" s="39"/>
      <c r="P2344" s="39"/>
      <c r="Q2344" s="39"/>
      <c r="R2344" s="39"/>
    </row>
    <row r="2345" spans="1:18" s="2" customFormat="1" ht="14.4">
      <c r="A2345" s="20">
        <f t="shared" si="142"/>
        <v>2157</v>
      </c>
      <c r="B2345" s="30" t="s">
        <v>3379</v>
      </c>
      <c r="C2345" s="30" t="s">
        <v>3380</v>
      </c>
      <c r="D2345" s="20" t="s">
        <v>9</v>
      </c>
      <c r="E2345" s="20" t="s">
        <v>9</v>
      </c>
      <c r="F2345" s="18">
        <v>1</v>
      </c>
      <c r="G2345" s="19">
        <f>764.98</f>
        <v>764.98</v>
      </c>
      <c r="H2345" s="20">
        <f>H2336</f>
        <v>305.25</v>
      </c>
      <c r="I2345" s="25">
        <f t="shared" si="140"/>
        <v>233510.14500000002</v>
      </c>
      <c r="J2345" s="40"/>
      <c r="K2345" s="39"/>
      <c r="L2345" s="39"/>
      <c r="M2345" s="39"/>
      <c r="N2345" s="23"/>
      <c r="O2345" s="39"/>
      <c r="P2345" s="39"/>
      <c r="Q2345" s="39"/>
      <c r="R2345" s="39"/>
    </row>
    <row r="2346" spans="1:18" s="2" customFormat="1" ht="14.4">
      <c r="A2346" s="20"/>
      <c r="B2346" s="30" t="s">
        <v>3381</v>
      </c>
      <c r="C2346" s="30" t="s">
        <v>3382</v>
      </c>
      <c r="D2346" s="20" t="s">
        <v>5</v>
      </c>
      <c r="E2346" s="20" t="s">
        <v>6</v>
      </c>
      <c r="F2346" s="18">
        <v>1</v>
      </c>
      <c r="G2346" s="19">
        <f>607.02</f>
        <v>607.02</v>
      </c>
      <c r="H2346" s="20">
        <v>39</v>
      </c>
      <c r="I2346" s="25">
        <f t="shared" si="140"/>
        <v>23673.78</v>
      </c>
      <c r="J2346" s="40"/>
      <c r="K2346" s="39"/>
      <c r="L2346" s="39"/>
      <c r="M2346" s="39"/>
      <c r="N2346" s="23"/>
      <c r="O2346" s="39"/>
      <c r="P2346" s="39"/>
      <c r="Q2346" s="39"/>
      <c r="R2346" s="39"/>
    </row>
    <row r="2347" spans="1:18" s="2" customFormat="1" ht="26.4">
      <c r="A2347" s="20"/>
      <c r="B2347" s="30" t="s">
        <v>3383</v>
      </c>
      <c r="C2347" s="30" t="s">
        <v>3384</v>
      </c>
      <c r="D2347" s="20" t="s">
        <v>25</v>
      </c>
      <c r="E2347" s="20" t="s">
        <v>26</v>
      </c>
      <c r="F2347" s="18">
        <v>1</v>
      </c>
      <c r="G2347" s="19">
        <f>1.633198857*179.99</f>
        <v>293.95946227143003</v>
      </c>
      <c r="H2347" s="20">
        <v>800</v>
      </c>
      <c r="I2347" s="25">
        <f t="shared" si="140"/>
        <v>235167.56981714402</v>
      </c>
      <c r="J2347" s="40"/>
      <c r="K2347" s="39"/>
      <c r="L2347" s="39"/>
      <c r="M2347" s="39"/>
      <c r="N2347" s="23"/>
      <c r="O2347" s="39"/>
      <c r="P2347" s="39"/>
      <c r="Q2347" s="39"/>
      <c r="R2347" s="39"/>
    </row>
    <row r="2348" spans="1:18" s="2" customFormat="1" ht="14.4">
      <c r="A2348" s="20">
        <f>A2345+1</f>
        <v>2158</v>
      </c>
      <c r="B2348" s="30" t="s">
        <v>3385</v>
      </c>
      <c r="C2348" s="30" t="s">
        <v>3386</v>
      </c>
      <c r="D2348" s="20" t="s">
        <v>43</v>
      </c>
      <c r="E2348" s="20" t="s">
        <v>43</v>
      </c>
      <c r="F2348" s="18">
        <v>1</v>
      </c>
      <c r="G2348" s="19">
        <f>2958</f>
        <v>2958</v>
      </c>
      <c r="H2348" s="20">
        <f>H2347*0.024</f>
        <v>19.2</v>
      </c>
      <c r="I2348" s="25">
        <f t="shared" si="140"/>
        <v>56793.599999999999</v>
      </c>
      <c r="J2348" s="40"/>
      <c r="K2348" s="39"/>
      <c r="L2348" s="39"/>
      <c r="M2348" s="39"/>
      <c r="N2348" s="23"/>
      <c r="O2348" s="39"/>
      <c r="P2348" s="39"/>
      <c r="Q2348" s="39"/>
      <c r="R2348" s="39"/>
    </row>
    <row r="2349" spans="1:18" s="2" customFormat="1" ht="14.4">
      <c r="A2349" s="20">
        <f t="shared" si="142"/>
        <v>2159</v>
      </c>
      <c r="B2349" s="30" t="s">
        <v>3387</v>
      </c>
      <c r="C2349" s="30" t="s">
        <v>3388</v>
      </c>
      <c r="D2349" s="20" t="s">
        <v>5</v>
      </c>
      <c r="E2349" s="20" t="s">
        <v>6</v>
      </c>
      <c r="F2349" s="18">
        <v>1</v>
      </c>
      <c r="G2349" s="19">
        <f>203.37</f>
        <v>203.37</v>
      </c>
      <c r="H2349" s="20">
        <f>H2347</f>
        <v>800</v>
      </c>
      <c r="I2349" s="25">
        <f t="shared" si="140"/>
        <v>162696</v>
      </c>
      <c r="J2349" s="40"/>
      <c r="K2349" s="39"/>
      <c r="L2349" s="39"/>
      <c r="M2349" s="39"/>
      <c r="N2349" s="23"/>
      <c r="O2349" s="39"/>
      <c r="P2349" s="39"/>
      <c r="Q2349" s="39"/>
      <c r="R2349" s="39"/>
    </row>
    <row r="2350" spans="1:18" s="2" customFormat="1" ht="14.4">
      <c r="A2350" s="20">
        <f t="shared" si="142"/>
        <v>2160</v>
      </c>
      <c r="B2350" s="30" t="s">
        <v>3389</v>
      </c>
      <c r="C2350" s="30" t="s">
        <v>3390</v>
      </c>
      <c r="D2350" s="20" t="s">
        <v>9</v>
      </c>
      <c r="E2350" s="20" t="s">
        <v>9</v>
      </c>
      <c r="F2350" s="18">
        <v>1</v>
      </c>
      <c r="G2350" s="19">
        <v>99</v>
      </c>
      <c r="H2350" s="20">
        <f>H2336</f>
        <v>305.25</v>
      </c>
      <c r="I2350" s="25">
        <f t="shared" si="140"/>
        <v>30219.75</v>
      </c>
      <c r="J2350" s="40"/>
      <c r="K2350" s="39"/>
      <c r="L2350" s="39"/>
      <c r="M2350" s="39"/>
      <c r="N2350" s="23"/>
      <c r="O2350" s="39"/>
      <c r="P2350" s="39"/>
      <c r="Q2350" s="39"/>
      <c r="R2350" s="39"/>
    </row>
    <row r="2351" spans="1:18" s="2" customFormat="1" ht="14.4">
      <c r="A2351" s="20">
        <f t="shared" si="142"/>
        <v>2161</v>
      </c>
      <c r="B2351" s="41" t="s">
        <v>1077</v>
      </c>
      <c r="C2351" s="41" t="s">
        <v>219</v>
      </c>
      <c r="D2351" s="42" t="s">
        <v>48</v>
      </c>
      <c r="E2351" s="42" t="s">
        <v>49</v>
      </c>
      <c r="F2351" s="18">
        <v>1</v>
      </c>
      <c r="G2351" s="19"/>
      <c r="H2351" s="58">
        <v>1</v>
      </c>
      <c r="I2351" s="25">
        <f>SUM(I2336:I2350)*0.05</f>
        <v>52238.092087110745</v>
      </c>
      <c r="J2351" s="40"/>
      <c r="K2351" s="39"/>
      <c r="L2351" s="39"/>
      <c r="M2351" s="39"/>
      <c r="N2351" s="23"/>
      <c r="O2351" s="39"/>
      <c r="P2351" s="39"/>
      <c r="Q2351" s="39"/>
      <c r="R2351" s="39"/>
    </row>
    <row r="2352" spans="1:18" ht="26.4">
      <c r="A2352" s="9" t="s">
        <v>61</v>
      </c>
      <c r="B2352" s="13" t="s">
        <v>3494</v>
      </c>
      <c r="C2352" s="13" t="s">
        <v>3495</v>
      </c>
      <c r="D2352" s="85"/>
      <c r="E2352" s="85"/>
      <c r="F2352" s="18"/>
      <c r="G2352" s="19"/>
      <c r="H2352" s="86"/>
      <c r="I2352" s="25"/>
      <c r="J2352" s="24" t="s">
        <v>3496</v>
      </c>
      <c r="K2352" s="22"/>
      <c r="L2352" s="22"/>
      <c r="M2352" s="22"/>
      <c r="N2352" s="23"/>
      <c r="O2352" s="22"/>
      <c r="P2352" s="22"/>
      <c r="Q2352" s="22"/>
      <c r="R2352" s="22"/>
    </row>
    <row r="2353" spans="1:18" s="2" customFormat="1" ht="52.8">
      <c r="A2353" s="20">
        <f>A2351+1</f>
        <v>2162</v>
      </c>
      <c r="B2353" s="30" t="s">
        <v>3497</v>
      </c>
      <c r="C2353" s="30" t="s">
        <v>3498</v>
      </c>
      <c r="D2353" s="9" t="s">
        <v>8</v>
      </c>
      <c r="E2353" s="20" t="s">
        <v>9</v>
      </c>
      <c r="F2353" s="18">
        <v>1</v>
      </c>
      <c r="G2353" s="19">
        <f>1.633198857*68.24</f>
        <v>111.44949000167999</v>
      </c>
      <c r="H2353" s="27">
        <f>4712.82+179.04</f>
        <v>4891.8599999999997</v>
      </c>
      <c r="I2353" s="25">
        <f t="shared" si="140"/>
        <v>545195.30215961824</v>
      </c>
      <c r="J2353" s="38">
        <f>74.75*100</f>
        <v>7475</v>
      </c>
      <c r="K2353" s="39"/>
      <c r="L2353" s="39"/>
      <c r="M2353" s="39">
        <f>J2353*0.15</f>
        <v>1121.25</v>
      </c>
      <c r="N2353" s="23"/>
      <c r="O2353" s="39">
        <f>F2353*0.15</f>
        <v>0.15</v>
      </c>
      <c r="P2353" s="39"/>
      <c r="Q2353" s="39"/>
      <c r="R2353" s="39"/>
    </row>
    <row r="2354" spans="1:18" s="2" customFormat="1" ht="14.4">
      <c r="A2354" s="20">
        <f>A2353+1</f>
        <v>2163</v>
      </c>
      <c r="B2354" s="30" t="s">
        <v>3499</v>
      </c>
      <c r="C2354" s="30" t="s">
        <v>3500</v>
      </c>
      <c r="D2354" s="20" t="s">
        <v>17</v>
      </c>
      <c r="E2354" s="20" t="s">
        <v>43</v>
      </c>
      <c r="F2354" s="18">
        <v>1</v>
      </c>
      <c r="G2354" s="19">
        <f>136.25</f>
        <v>136.25</v>
      </c>
      <c r="H2354" s="32">
        <v>733.77</v>
      </c>
      <c r="I2354" s="25">
        <f t="shared" si="140"/>
        <v>99976.162499999991</v>
      </c>
      <c r="J2354" s="40"/>
      <c r="K2354" s="39"/>
      <c r="L2354" s="39"/>
      <c r="M2354" s="39"/>
      <c r="N2354" s="23"/>
      <c r="O2354" s="39"/>
      <c r="P2354" s="39"/>
      <c r="Q2354" s="39"/>
      <c r="R2354" s="39"/>
    </row>
    <row r="2355" spans="1:18" s="2" customFormat="1" ht="39.6">
      <c r="A2355" s="20">
        <f t="shared" ref="A2355:A2368" si="143">A2354+1</f>
        <v>2164</v>
      </c>
      <c r="B2355" s="30" t="s">
        <v>3501</v>
      </c>
      <c r="C2355" s="30" t="s">
        <v>3502</v>
      </c>
      <c r="D2355" s="9" t="s">
        <v>8</v>
      </c>
      <c r="E2355" s="20" t="s">
        <v>9</v>
      </c>
      <c r="F2355" s="18">
        <v>1</v>
      </c>
      <c r="G2355" s="19">
        <f>1.633198857*9.33</f>
        <v>15.237745335810001</v>
      </c>
      <c r="H2355" s="27">
        <f>4712.82+179.04</f>
        <v>4891.8599999999997</v>
      </c>
      <c r="I2355" s="25">
        <f t="shared" si="140"/>
        <v>74540.916898435506</v>
      </c>
      <c r="J2355" s="40"/>
      <c r="K2355" s="39"/>
      <c r="L2355" s="39"/>
      <c r="M2355" s="39"/>
      <c r="N2355" s="23"/>
      <c r="O2355" s="39"/>
      <c r="P2355" s="39"/>
      <c r="Q2355" s="39"/>
      <c r="R2355" s="39"/>
    </row>
    <row r="2356" spans="1:18" s="2" customFormat="1" ht="14.4">
      <c r="A2356" s="20">
        <f t="shared" si="143"/>
        <v>2165</v>
      </c>
      <c r="B2356" s="30" t="s">
        <v>3499</v>
      </c>
      <c r="C2356" s="30" t="s">
        <v>3500</v>
      </c>
      <c r="D2356" s="20" t="s">
        <v>17</v>
      </c>
      <c r="E2356" s="20" t="s">
        <v>43</v>
      </c>
      <c r="F2356" s="18">
        <v>1</v>
      </c>
      <c r="G2356" s="19">
        <f>136.25</f>
        <v>136.25</v>
      </c>
      <c r="H2356" s="32">
        <f>H2353*0.05</f>
        <v>244.59299999999999</v>
      </c>
      <c r="I2356" s="25">
        <f t="shared" si="140"/>
        <v>33325.796249999999</v>
      </c>
      <c r="J2356" s="40"/>
      <c r="K2356" s="39"/>
      <c r="L2356" s="39"/>
      <c r="M2356" s="39"/>
      <c r="N2356" s="23"/>
      <c r="O2356" s="39"/>
      <c r="P2356" s="39"/>
      <c r="Q2356" s="39"/>
      <c r="R2356" s="39"/>
    </row>
    <row r="2357" spans="1:18" s="2" customFormat="1" ht="26.4">
      <c r="A2357" s="20">
        <f t="shared" si="143"/>
        <v>2166</v>
      </c>
      <c r="B2357" s="30" t="s">
        <v>3503</v>
      </c>
      <c r="C2357" s="30" t="s">
        <v>3504</v>
      </c>
      <c r="D2357" s="9" t="s">
        <v>8</v>
      </c>
      <c r="E2357" s="20" t="s">
        <v>9</v>
      </c>
      <c r="F2357" s="18">
        <v>1</v>
      </c>
      <c r="G2357" s="19">
        <f>1.633198857*13.76</f>
        <v>22.472816272319999</v>
      </c>
      <c r="H2357" s="27">
        <f>4712.82+179.04</f>
        <v>4891.8599999999997</v>
      </c>
      <c r="I2357" s="25">
        <f t="shared" si="140"/>
        <v>109933.87100991131</v>
      </c>
      <c r="J2357" s="40"/>
      <c r="K2357" s="39"/>
      <c r="L2357" s="39"/>
      <c r="M2357" s="39"/>
      <c r="N2357" s="23"/>
      <c r="O2357" s="39"/>
      <c r="P2357" s="39"/>
      <c r="Q2357" s="39"/>
      <c r="R2357" s="39"/>
    </row>
    <row r="2358" spans="1:18" s="2" customFormat="1" ht="14.4">
      <c r="A2358" s="20">
        <f t="shared" si="143"/>
        <v>2167</v>
      </c>
      <c r="B2358" s="30" t="s">
        <v>3505</v>
      </c>
      <c r="C2358" s="30" t="s">
        <v>3506</v>
      </c>
      <c r="D2358" s="20" t="s">
        <v>3507</v>
      </c>
      <c r="E2358" s="20" t="s">
        <v>3508</v>
      </c>
      <c r="F2358" s="18">
        <v>1</v>
      </c>
      <c r="G2358" s="19">
        <f>50406.67</f>
        <v>50406.67</v>
      </c>
      <c r="H2358" s="32">
        <v>1.4950000000000001</v>
      </c>
      <c r="I2358" s="25">
        <f t="shared" si="140"/>
        <v>75357.971650000007</v>
      </c>
      <c r="J2358" s="40"/>
      <c r="K2358" s="39"/>
      <c r="L2358" s="39"/>
      <c r="M2358" s="39"/>
      <c r="N2358" s="23"/>
      <c r="O2358" s="39"/>
      <c r="P2358" s="39"/>
      <c r="Q2358" s="39"/>
      <c r="R2358" s="39"/>
    </row>
    <row r="2359" spans="1:18" s="2" customFormat="1" ht="66">
      <c r="A2359" s="20">
        <f t="shared" si="143"/>
        <v>2168</v>
      </c>
      <c r="B2359" s="30" t="s">
        <v>3509</v>
      </c>
      <c r="C2359" s="30" t="s">
        <v>3510</v>
      </c>
      <c r="D2359" s="20" t="s">
        <v>5</v>
      </c>
      <c r="E2359" s="20" t="s">
        <v>6</v>
      </c>
      <c r="F2359" s="18">
        <v>1</v>
      </c>
      <c r="G2359" s="19">
        <f>1.633198857*347.73</f>
        <v>567.91223854460998</v>
      </c>
      <c r="H2359" s="32">
        <v>47</v>
      </c>
      <c r="I2359" s="25">
        <f t="shared" si="140"/>
        <v>26691.875211596667</v>
      </c>
      <c r="J2359" s="40"/>
      <c r="K2359" s="39"/>
      <c r="L2359" s="39"/>
      <c r="M2359" s="39"/>
      <c r="N2359" s="23"/>
      <c r="O2359" s="39"/>
      <c r="P2359" s="39"/>
      <c r="Q2359" s="39"/>
      <c r="R2359" s="39"/>
    </row>
    <row r="2360" spans="1:18" s="2" customFormat="1" ht="14.4">
      <c r="A2360" s="20">
        <f t="shared" si="143"/>
        <v>2169</v>
      </c>
      <c r="B2360" s="30" t="s">
        <v>3499</v>
      </c>
      <c r="C2360" s="30" t="s">
        <v>3500</v>
      </c>
      <c r="D2360" s="20" t="s">
        <v>17</v>
      </c>
      <c r="E2360" s="20" t="s">
        <v>43</v>
      </c>
      <c r="F2360" s="18">
        <v>1</v>
      </c>
      <c r="G2360" s="19">
        <v>136.25</v>
      </c>
      <c r="H2360" s="32">
        <v>18.643999999999998</v>
      </c>
      <c r="I2360" s="25">
        <f t="shared" si="140"/>
        <v>2540.2449999999999</v>
      </c>
      <c r="J2360" s="40"/>
      <c r="K2360" s="39"/>
      <c r="L2360" s="39"/>
      <c r="M2360" s="39"/>
      <c r="N2360" s="23"/>
      <c r="O2360" s="39"/>
      <c r="P2360" s="39"/>
      <c r="Q2360" s="39"/>
      <c r="R2360" s="39"/>
    </row>
    <row r="2361" spans="1:18" s="2" customFormat="1" ht="14.4">
      <c r="A2361" s="20">
        <f t="shared" si="143"/>
        <v>2170</v>
      </c>
      <c r="B2361" s="30" t="s">
        <v>3511</v>
      </c>
      <c r="C2361" s="30" t="s">
        <v>3512</v>
      </c>
      <c r="D2361" s="20" t="s">
        <v>17</v>
      </c>
      <c r="E2361" s="20" t="s">
        <v>43</v>
      </c>
      <c r="F2361" s="18">
        <v>1</v>
      </c>
      <c r="G2361" s="19">
        <f>133.38</f>
        <v>133.38</v>
      </c>
      <c r="H2361" s="32">
        <v>6.2409999999999997</v>
      </c>
      <c r="I2361" s="25">
        <f t="shared" si="140"/>
        <v>832.42457999999988</v>
      </c>
      <c r="J2361" s="40"/>
      <c r="K2361" s="39"/>
      <c r="L2361" s="39"/>
      <c r="M2361" s="39"/>
      <c r="N2361" s="23"/>
      <c r="O2361" s="39"/>
      <c r="P2361" s="39"/>
      <c r="Q2361" s="39"/>
      <c r="R2361" s="39"/>
    </row>
    <row r="2362" spans="1:18" s="2" customFormat="1" ht="39.6">
      <c r="A2362" s="20">
        <f t="shared" si="143"/>
        <v>2171</v>
      </c>
      <c r="B2362" s="30" t="s">
        <v>3513</v>
      </c>
      <c r="C2362" s="30" t="s">
        <v>3514</v>
      </c>
      <c r="D2362" s="20" t="s">
        <v>5</v>
      </c>
      <c r="E2362" s="20" t="s">
        <v>6</v>
      </c>
      <c r="F2362" s="18">
        <v>1</v>
      </c>
      <c r="G2362" s="19">
        <f>1.633198857*179.75</f>
        <v>293.56749454574998</v>
      </c>
      <c r="H2362" s="32">
        <v>47</v>
      </c>
      <c r="I2362" s="25">
        <f t="shared" si="140"/>
        <v>13797.67224365025</v>
      </c>
      <c r="J2362" s="40"/>
      <c r="K2362" s="39"/>
      <c r="L2362" s="39"/>
      <c r="M2362" s="39"/>
      <c r="N2362" s="23"/>
      <c r="O2362" s="39"/>
      <c r="P2362" s="39"/>
      <c r="Q2362" s="39"/>
      <c r="R2362" s="39"/>
    </row>
    <row r="2363" spans="1:18" s="2" customFormat="1" ht="14.4">
      <c r="A2363" s="20">
        <f t="shared" si="143"/>
        <v>2172</v>
      </c>
      <c r="B2363" s="30" t="s">
        <v>3515</v>
      </c>
      <c r="C2363" s="30" t="s">
        <v>3516</v>
      </c>
      <c r="D2363" s="20" t="s">
        <v>5</v>
      </c>
      <c r="E2363" s="20" t="s">
        <v>6</v>
      </c>
      <c r="F2363" s="18">
        <v>1</v>
      </c>
      <c r="G2363" s="19">
        <v>459</v>
      </c>
      <c r="H2363" s="32">
        <v>47</v>
      </c>
      <c r="I2363" s="25">
        <f t="shared" si="140"/>
        <v>21573</v>
      </c>
      <c r="J2363" s="40"/>
      <c r="K2363" s="39"/>
      <c r="L2363" s="39"/>
      <c r="M2363" s="39"/>
      <c r="N2363" s="23"/>
      <c r="O2363" s="39"/>
      <c r="P2363" s="39"/>
      <c r="Q2363" s="39"/>
      <c r="R2363" s="39"/>
    </row>
    <row r="2364" spans="1:18" s="2" customFormat="1" ht="52.8">
      <c r="A2364" s="20">
        <f t="shared" si="143"/>
        <v>2173</v>
      </c>
      <c r="B2364" s="30" t="s">
        <v>3517</v>
      </c>
      <c r="C2364" s="30" t="s">
        <v>3518</v>
      </c>
      <c r="D2364" s="20" t="s">
        <v>5</v>
      </c>
      <c r="E2364" s="20" t="s">
        <v>6</v>
      </c>
      <c r="F2364" s="18">
        <v>1</v>
      </c>
      <c r="G2364" s="19">
        <f>1.633198857*116.79</f>
        <v>190.74129450903001</v>
      </c>
      <c r="H2364" s="32">
        <v>112</v>
      </c>
      <c r="I2364" s="25">
        <f t="shared" si="140"/>
        <v>21363.024985011361</v>
      </c>
      <c r="J2364" s="40"/>
      <c r="K2364" s="39"/>
      <c r="L2364" s="39"/>
      <c r="M2364" s="39"/>
      <c r="N2364" s="23"/>
      <c r="O2364" s="39"/>
      <c r="P2364" s="39"/>
      <c r="Q2364" s="39"/>
      <c r="R2364" s="39"/>
    </row>
    <row r="2365" spans="1:18" s="2" customFormat="1" ht="14.4">
      <c r="A2365" s="20">
        <f t="shared" si="143"/>
        <v>2174</v>
      </c>
      <c r="B2365" s="30" t="s">
        <v>3499</v>
      </c>
      <c r="C2365" s="30" t="s">
        <v>3500</v>
      </c>
      <c r="D2365" s="20" t="s">
        <v>17</v>
      </c>
      <c r="E2365" s="20" t="s">
        <v>43</v>
      </c>
      <c r="F2365" s="18">
        <v>1</v>
      </c>
      <c r="G2365" s="19">
        <f>136.25</f>
        <v>136.25</v>
      </c>
      <c r="H2365" s="32">
        <v>6</v>
      </c>
      <c r="I2365" s="25">
        <f t="shared" si="140"/>
        <v>817.5</v>
      </c>
      <c r="J2365" s="40"/>
      <c r="K2365" s="39"/>
      <c r="L2365" s="39"/>
      <c r="M2365" s="39"/>
      <c r="N2365" s="23"/>
      <c r="O2365" s="39"/>
      <c r="P2365" s="39"/>
      <c r="Q2365" s="39"/>
      <c r="R2365" s="39"/>
    </row>
    <row r="2366" spans="1:18" s="2" customFormat="1" ht="26.4">
      <c r="A2366" s="20">
        <f t="shared" si="143"/>
        <v>2175</v>
      </c>
      <c r="B2366" s="30" t="s">
        <v>3519</v>
      </c>
      <c r="C2366" s="30" t="s">
        <v>3520</v>
      </c>
      <c r="D2366" s="20" t="s">
        <v>5</v>
      </c>
      <c r="E2366" s="20" t="s">
        <v>6</v>
      </c>
      <c r="F2366" s="18">
        <v>1</v>
      </c>
      <c r="G2366" s="19">
        <f>1.633198857*33.63</f>
        <v>54.924477560910006</v>
      </c>
      <c r="H2366" s="32">
        <v>112</v>
      </c>
      <c r="I2366" s="25">
        <f t="shared" si="140"/>
        <v>6151.5414868219204</v>
      </c>
      <c r="J2366" s="40"/>
      <c r="K2366" s="39"/>
      <c r="L2366" s="39"/>
      <c r="M2366" s="39"/>
      <c r="N2366" s="23"/>
      <c r="O2366" s="39"/>
      <c r="P2366" s="39"/>
      <c r="Q2366" s="39"/>
      <c r="R2366" s="39"/>
    </row>
    <row r="2367" spans="1:18" s="2" customFormat="1" ht="14.4">
      <c r="A2367" s="20">
        <f t="shared" si="143"/>
        <v>2176</v>
      </c>
      <c r="B2367" s="30" t="s">
        <v>3521</v>
      </c>
      <c r="C2367" s="30" t="s">
        <v>3522</v>
      </c>
      <c r="D2367" s="20" t="s">
        <v>5</v>
      </c>
      <c r="E2367" s="20" t="s">
        <v>6</v>
      </c>
      <c r="F2367" s="18">
        <v>1</v>
      </c>
      <c r="G2367" s="19">
        <f>103.35</f>
        <v>103.35</v>
      </c>
      <c r="H2367" s="32">
        <v>112</v>
      </c>
      <c r="I2367" s="25">
        <f t="shared" si="140"/>
        <v>11575.199999999999</v>
      </c>
      <c r="J2367" s="40"/>
      <c r="K2367" s="39"/>
      <c r="L2367" s="39"/>
      <c r="M2367" s="39"/>
      <c r="N2367" s="23"/>
      <c r="O2367" s="39"/>
      <c r="P2367" s="39"/>
      <c r="Q2367" s="39"/>
      <c r="R2367" s="39"/>
    </row>
    <row r="2368" spans="1:18" s="2" customFormat="1" ht="14.4">
      <c r="A2368" s="20">
        <f t="shared" si="143"/>
        <v>2177</v>
      </c>
      <c r="B2368" s="41" t="s">
        <v>1077</v>
      </c>
      <c r="C2368" s="41" t="s">
        <v>219</v>
      </c>
      <c r="D2368" s="42" t="s">
        <v>48</v>
      </c>
      <c r="E2368" s="42" t="s">
        <v>49</v>
      </c>
      <c r="F2368" s="18">
        <v>1</v>
      </c>
      <c r="G2368" s="19"/>
      <c r="H2368" s="58">
        <v>1</v>
      </c>
      <c r="I2368" s="25">
        <f>SUM(I2353:I2367)*0.05</f>
        <v>52183.625198752263</v>
      </c>
      <c r="J2368" s="40"/>
      <c r="K2368" s="39"/>
      <c r="L2368" s="39"/>
      <c r="M2368" s="39"/>
      <c r="N2368" s="23"/>
      <c r="O2368" s="39"/>
      <c r="P2368" s="39"/>
      <c r="Q2368" s="39"/>
      <c r="R2368" s="39"/>
    </row>
    <row r="2369" spans="1:18" ht="14.4">
      <c r="A2369" s="9" t="s">
        <v>61</v>
      </c>
      <c r="B2369" s="13" t="s">
        <v>3523</v>
      </c>
      <c r="C2369" s="13" t="s">
        <v>3524</v>
      </c>
      <c r="D2369" s="85"/>
      <c r="E2369" s="85"/>
      <c r="F2369" s="18"/>
      <c r="G2369" s="19"/>
      <c r="H2369" s="86"/>
      <c r="I2369" s="25"/>
      <c r="J2369" s="24"/>
      <c r="K2369" s="22"/>
      <c r="L2369" s="22"/>
      <c r="M2369" s="22"/>
      <c r="N2369" s="23"/>
      <c r="O2369" s="22"/>
      <c r="P2369" s="22"/>
      <c r="Q2369" s="22"/>
      <c r="R2369" s="22"/>
    </row>
    <row r="2370" spans="1:18" s="2" customFormat="1" ht="39.6">
      <c r="A2370" s="20">
        <f>A2368+1</f>
        <v>2178</v>
      </c>
      <c r="B2370" s="30" t="s">
        <v>3525</v>
      </c>
      <c r="C2370" s="30" t="s">
        <v>3526</v>
      </c>
      <c r="D2370" s="20" t="s">
        <v>25</v>
      </c>
      <c r="E2370" s="20" t="s">
        <v>26</v>
      </c>
      <c r="F2370" s="18">
        <v>1</v>
      </c>
      <c r="G2370" s="19">
        <f>1.633198857*791.94</f>
        <v>1293.3955028125802</v>
      </c>
      <c r="H2370" s="32">
        <f>1.78*100</f>
        <v>178</v>
      </c>
      <c r="I2370" s="25">
        <f t="shared" si="140"/>
        <v>230224.39950063927</v>
      </c>
      <c r="J2370" s="38">
        <f>1.78*100</f>
        <v>178</v>
      </c>
      <c r="K2370" s="39"/>
      <c r="L2370" s="39"/>
      <c r="M2370" s="39"/>
      <c r="N2370" s="23"/>
      <c r="O2370" s="39"/>
      <c r="P2370" s="39"/>
      <c r="Q2370" s="39"/>
      <c r="R2370" s="39"/>
    </row>
    <row r="2371" spans="1:18" s="2" customFormat="1" ht="14.4">
      <c r="A2371" s="20">
        <f>A2370+1</f>
        <v>2179</v>
      </c>
      <c r="B2371" s="30" t="s">
        <v>3527</v>
      </c>
      <c r="C2371" s="30" t="s">
        <v>3528</v>
      </c>
      <c r="D2371" s="9" t="s">
        <v>3529</v>
      </c>
      <c r="E2371" s="20" t="s">
        <v>42</v>
      </c>
      <c r="F2371" s="18">
        <v>1</v>
      </c>
      <c r="G2371" s="19">
        <f>57360.45</f>
        <v>57360.45</v>
      </c>
      <c r="H2371" s="32">
        <v>4.32</v>
      </c>
      <c r="I2371" s="25">
        <f t="shared" si="140"/>
        <v>247797.144</v>
      </c>
      <c r="J2371" s="40"/>
      <c r="K2371" s="39"/>
      <c r="L2371" s="39"/>
      <c r="M2371" s="39"/>
      <c r="N2371" s="23"/>
      <c r="O2371" s="39"/>
      <c r="P2371" s="39"/>
      <c r="Q2371" s="39"/>
      <c r="R2371" s="39"/>
    </row>
    <row r="2372" spans="1:18" s="2" customFormat="1" ht="39.6">
      <c r="A2372" s="20">
        <f t="shared" ref="A2372:A2383" si="144">A2371+1</f>
        <v>2180</v>
      </c>
      <c r="B2372" s="30" t="s">
        <v>3530</v>
      </c>
      <c r="C2372" s="30" t="s">
        <v>3531</v>
      </c>
      <c r="D2372" s="9" t="s">
        <v>8</v>
      </c>
      <c r="E2372" s="20" t="s">
        <v>9</v>
      </c>
      <c r="F2372" s="18">
        <v>1</v>
      </c>
      <c r="G2372" s="19">
        <f>1.633198857*171.48</f>
        <v>280.06093999835997</v>
      </c>
      <c r="H2372" s="32">
        <f>1.385*100</f>
        <v>138.5</v>
      </c>
      <c r="I2372" s="25">
        <f t="shared" si="140"/>
        <v>38788.440189772853</v>
      </c>
      <c r="J2372" s="40"/>
      <c r="K2372" s="39"/>
      <c r="L2372" s="39"/>
      <c r="M2372" s="39"/>
      <c r="N2372" s="23"/>
      <c r="O2372" s="39"/>
      <c r="P2372" s="39"/>
      <c r="Q2372" s="39"/>
      <c r="R2372" s="39"/>
    </row>
    <row r="2373" spans="1:18" s="2" customFormat="1" ht="26.4">
      <c r="A2373" s="20">
        <f t="shared" si="144"/>
        <v>2181</v>
      </c>
      <c r="B2373" s="30" t="s">
        <v>3532</v>
      </c>
      <c r="C2373" s="30" t="s">
        <v>3533</v>
      </c>
      <c r="D2373" s="9" t="s">
        <v>5</v>
      </c>
      <c r="E2373" s="20" t="s">
        <v>6</v>
      </c>
      <c r="F2373" s="18">
        <v>1</v>
      </c>
      <c r="G2373" s="19">
        <f>1.633198857*6315.76</f>
        <v>10314.892013086321</v>
      </c>
      <c r="H2373" s="32">
        <f>0.02*100</f>
        <v>2</v>
      </c>
      <c r="I2373" s="25">
        <f t="shared" si="140"/>
        <v>20629.784026172641</v>
      </c>
      <c r="J2373" s="40"/>
      <c r="K2373" s="39"/>
      <c r="L2373" s="39"/>
      <c r="M2373" s="39"/>
      <c r="N2373" s="23"/>
      <c r="O2373" s="39"/>
      <c r="P2373" s="39"/>
      <c r="Q2373" s="39"/>
      <c r="R2373" s="39"/>
    </row>
    <row r="2374" spans="1:18" s="2" customFormat="1" ht="14.4">
      <c r="A2374" s="20">
        <f t="shared" si="144"/>
        <v>2182</v>
      </c>
      <c r="B2374" s="30" t="s">
        <v>3527</v>
      </c>
      <c r="C2374" s="30" t="s">
        <v>3528</v>
      </c>
      <c r="D2374" s="9" t="s">
        <v>56</v>
      </c>
      <c r="E2374" s="20" t="s">
        <v>42</v>
      </c>
      <c r="F2374" s="18">
        <v>1</v>
      </c>
      <c r="G2374" s="19">
        <v>57360.45</v>
      </c>
      <c r="H2374" s="32">
        <v>1.038</v>
      </c>
      <c r="I2374" s="25">
        <f t="shared" si="140"/>
        <v>59540.147100000002</v>
      </c>
      <c r="J2374" s="40"/>
      <c r="K2374" s="39"/>
      <c r="L2374" s="39"/>
      <c r="M2374" s="39"/>
      <c r="N2374" s="23"/>
      <c r="O2374" s="39"/>
      <c r="P2374" s="39"/>
      <c r="Q2374" s="39"/>
      <c r="R2374" s="39"/>
    </row>
    <row r="2375" spans="1:18" s="2" customFormat="1" ht="39.6">
      <c r="A2375" s="20">
        <f t="shared" si="144"/>
        <v>2183</v>
      </c>
      <c r="B2375" s="30" t="s">
        <v>3530</v>
      </c>
      <c r="C2375" s="30" t="s">
        <v>3531</v>
      </c>
      <c r="D2375" s="9" t="s">
        <v>8</v>
      </c>
      <c r="E2375" s="20" t="s">
        <v>9</v>
      </c>
      <c r="F2375" s="18">
        <v>1</v>
      </c>
      <c r="G2375" s="19">
        <f>1.633198857*171.48</f>
        <v>280.06093999835997</v>
      </c>
      <c r="H2375" s="32">
        <f>0.332*100</f>
        <v>33.200000000000003</v>
      </c>
      <c r="I2375" s="25">
        <f t="shared" si="140"/>
        <v>9298.0232079455527</v>
      </c>
      <c r="J2375" s="40"/>
      <c r="K2375" s="39"/>
      <c r="L2375" s="39"/>
      <c r="M2375" s="39"/>
      <c r="N2375" s="23"/>
      <c r="O2375" s="39"/>
      <c r="P2375" s="39"/>
      <c r="Q2375" s="39"/>
      <c r="R2375" s="39"/>
    </row>
    <row r="2376" spans="1:18" s="2" customFormat="1" ht="26.4">
      <c r="A2376" s="20">
        <f t="shared" si="144"/>
        <v>2184</v>
      </c>
      <c r="B2376" s="30" t="s">
        <v>3534</v>
      </c>
      <c r="C2376" s="30" t="s">
        <v>3535</v>
      </c>
      <c r="D2376" s="9" t="s">
        <v>5</v>
      </c>
      <c r="E2376" s="20" t="s">
        <v>6</v>
      </c>
      <c r="F2376" s="18">
        <v>1</v>
      </c>
      <c r="G2376" s="19">
        <f>1.633198857*1723.06</f>
        <v>2814.0996225424201</v>
      </c>
      <c r="H2376" s="32">
        <f>0.01*100</f>
        <v>1</v>
      </c>
      <c r="I2376" s="25">
        <f t="shared" si="140"/>
        <v>2814.0996225424201</v>
      </c>
      <c r="J2376" s="40"/>
      <c r="K2376" s="39"/>
      <c r="L2376" s="39"/>
      <c r="M2376" s="39"/>
      <c r="N2376" s="23"/>
      <c r="O2376" s="39"/>
      <c r="P2376" s="39"/>
      <c r="Q2376" s="39"/>
      <c r="R2376" s="39"/>
    </row>
    <row r="2377" spans="1:18" s="2" customFormat="1" ht="14.4">
      <c r="A2377" s="20">
        <f t="shared" si="144"/>
        <v>2185</v>
      </c>
      <c r="B2377" s="30" t="s">
        <v>3527</v>
      </c>
      <c r="C2377" s="30" t="s">
        <v>3528</v>
      </c>
      <c r="D2377" s="9" t="s">
        <v>56</v>
      </c>
      <c r="E2377" s="20" t="s">
        <v>42</v>
      </c>
      <c r="F2377" s="18">
        <v>1</v>
      </c>
      <c r="G2377" s="19">
        <f>57360.45</f>
        <v>57360.45</v>
      </c>
      <c r="H2377" s="32">
        <v>9.8000000000000004E-2</v>
      </c>
      <c r="I2377" s="25">
        <f t="shared" si="140"/>
        <v>5621.3240999999998</v>
      </c>
      <c r="J2377" s="40"/>
      <c r="K2377" s="39"/>
      <c r="L2377" s="39"/>
      <c r="M2377" s="39"/>
      <c r="N2377" s="23"/>
      <c r="O2377" s="39"/>
      <c r="P2377" s="39"/>
      <c r="Q2377" s="39"/>
      <c r="R2377" s="39"/>
    </row>
    <row r="2378" spans="1:18" s="2" customFormat="1" ht="39.6">
      <c r="A2378" s="20">
        <f t="shared" si="144"/>
        <v>2186</v>
      </c>
      <c r="B2378" s="30" t="s">
        <v>3530</v>
      </c>
      <c r="C2378" s="30" t="s">
        <v>3531</v>
      </c>
      <c r="D2378" s="9" t="s">
        <v>8</v>
      </c>
      <c r="E2378" s="20" t="s">
        <v>9</v>
      </c>
      <c r="F2378" s="18">
        <v>1</v>
      </c>
      <c r="G2378" s="19">
        <f>1.633198857*171.48</f>
        <v>280.06093999835997</v>
      </c>
      <c r="H2378" s="32">
        <f>0.12*100</f>
        <v>12</v>
      </c>
      <c r="I2378" s="25">
        <f t="shared" si="140"/>
        <v>3360.7312799803194</v>
      </c>
      <c r="J2378" s="40"/>
      <c r="K2378" s="39"/>
      <c r="L2378" s="39"/>
      <c r="M2378" s="39"/>
      <c r="N2378" s="23"/>
      <c r="O2378" s="39"/>
      <c r="P2378" s="39"/>
      <c r="Q2378" s="39"/>
      <c r="R2378" s="39"/>
    </row>
    <row r="2379" spans="1:18" s="2" customFormat="1" ht="39.6">
      <c r="A2379" s="20">
        <f t="shared" si="144"/>
        <v>2187</v>
      </c>
      <c r="B2379" s="30" t="s">
        <v>3525</v>
      </c>
      <c r="C2379" s="30" t="s">
        <v>3526</v>
      </c>
      <c r="D2379" s="20" t="s">
        <v>25</v>
      </c>
      <c r="E2379" s="20" t="s">
        <v>26</v>
      </c>
      <c r="F2379" s="18">
        <v>1</v>
      </c>
      <c r="G2379" s="19">
        <f>1.633198857*791.94</f>
        <v>1293.3955028125802</v>
      </c>
      <c r="H2379" s="32">
        <f>10.18*100</f>
        <v>1018</v>
      </c>
      <c r="I2379" s="25">
        <f t="shared" ref="I2379:I2400" si="145">G2379*H2379</f>
        <v>1316676.6218632066</v>
      </c>
      <c r="J2379" s="40"/>
      <c r="K2379" s="39"/>
      <c r="L2379" s="39"/>
      <c r="M2379" s="39"/>
      <c r="N2379" s="23"/>
      <c r="O2379" s="39"/>
      <c r="P2379" s="39"/>
      <c r="Q2379" s="39"/>
      <c r="R2379" s="39"/>
    </row>
    <row r="2380" spans="1:18" s="2" customFormat="1" ht="14.4">
      <c r="A2380" s="20">
        <f t="shared" si="144"/>
        <v>2188</v>
      </c>
      <c r="B2380" s="30" t="s">
        <v>3536</v>
      </c>
      <c r="C2380" s="83" t="s">
        <v>3537</v>
      </c>
      <c r="D2380" s="20" t="s">
        <v>5</v>
      </c>
      <c r="E2380" s="20" t="s">
        <v>6</v>
      </c>
      <c r="F2380" s="18">
        <v>1</v>
      </c>
      <c r="G2380" s="19">
        <f>1434.87</f>
        <v>1434.87</v>
      </c>
      <c r="H2380" s="32">
        <v>264</v>
      </c>
      <c r="I2380" s="25">
        <f t="shared" si="145"/>
        <v>378805.68</v>
      </c>
      <c r="J2380" s="40"/>
      <c r="K2380" s="39"/>
      <c r="L2380" s="39"/>
      <c r="M2380" s="39"/>
      <c r="N2380" s="23"/>
      <c r="O2380" s="39"/>
      <c r="P2380" s="39"/>
      <c r="Q2380" s="39"/>
      <c r="R2380" s="39"/>
    </row>
    <row r="2381" spans="1:18" s="2" customFormat="1" ht="26.4">
      <c r="A2381" s="20">
        <f t="shared" si="144"/>
        <v>2189</v>
      </c>
      <c r="B2381" s="30" t="s">
        <v>3538</v>
      </c>
      <c r="C2381" s="30" t="s">
        <v>3539</v>
      </c>
      <c r="D2381" s="20" t="s">
        <v>5</v>
      </c>
      <c r="E2381" s="20" t="s">
        <v>6</v>
      </c>
      <c r="F2381" s="18">
        <v>1</v>
      </c>
      <c r="G2381" s="19">
        <f>1888.25</f>
        <v>1888.25</v>
      </c>
      <c r="H2381" s="32">
        <v>147</v>
      </c>
      <c r="I2381" s="25">
        <f t="shared" si="145"/>
        <v>277572.75</v>
      </c>
      <c r="J2381" s="40"/>
      <c r="K2381" s="39"/>
      <c r="L2381" s="39"/>
      <c r="M2381" s="39"/>
      <c r="N2381" s="23"/>
      <c r="O2381" s="39"/>
      <c r="P2381" s="39"/>
      <c r="Q2381" s="39"/>
      <c r="R2381" s="39"/>
    </row>
    <row r="2382" spans="1:18" s="2" customFormat="1" ht="14.4">
      <c r="A2382" s="20">
        <f t="shared" si="144"/>
        <v>2190</v>
      </c>
      <c r="B2382" s="30" t="s">
        <v>3540</v>
      </c>
      <c r="C2382" s="30" t="s">
        <v>3541</v>
      </c>
      <c r="D2382" s="20" t="s">
        <v>48</v>
      </c>
      <c r="E2382" s="20" t="s">
        <v>49</v>
      </c>
      <c r="F2382" s="18">
        <v>1</v>
      </c>
      <c r="G2382" s="19">
        <v>19.29</v>
      </c>
      <c r="H2382" s="32">
        <v>4884</v>
      </c>
      <c r="I2382" s="25">
        <f t="shared" si="145"/>
        <v>94212.36</v>
      </c>
      <c r="J2382" s="40"/>
      <c r="K2382" s="39"/>
      <c r="L2382" s="39"/>
      <c r="M2382" s="39"/>
      <c r="N2382" s="23"/>
      <c r="O2382" s="39"/>
      <c r="P2382" s="39"/>
      <c r="Q2382" s="39"/>
      <c r="R2382" s="39"/>
    </row>
    <row r="2383" spans="1:18" s="2" customFormat="1" ht="14.4">
      <c r="A2383" s="20">
        <f t="shared" si="144"/>
        <v>2191</v>
      </c>
      <c r="B2383" s="41" t="s">
        <v>1077</v>
      </c>
      <c r="C2383" s="41" t="s">
        <v>219</v>
      </c>
      <c r="D2383" s="42" t="s">
        <v>48</v>
      </c>
      <c r="E2383" s="42" t="s">
        <v>49</v>
      </c>
      <c r="F2383" s="18">
        <v>1</v>
      </c>
      <c r="G2383" s="19"/>
      <c r="H2383" s="58">
        <v>1</v>
      </c>
      <c r="I2383" s="25">
        <f>SUM(I2370:I2382)*0.05</f>
        <v>134267.07524451296</v>
      </c>
      <c r="J2383" s="40"/>
      <c r="K2383" s="39"/>
      <c r="L2383" s="39"/>
      <c r="M2383" s="39"/>
      <c r="N2383" s="23"/>
      <c r="O2383" s="39"/>
      <c r="P2383" s="39"/>
      <c r="Q2383" s="39"/>
      <c r="R2383" s="39"/>
    </row>
    <row r="2384" spans="1:18" ht="14.4">
      <c r="A2384" s="9" t="s">
        <v>61</v>
      </c>
      <c r="B2384" s="13" t="s">
        <v>3542</v>
      </c>
      <c r="C2384" s="13" t="s">
        <v>3543</v>
      </c>
      <c r="D2384" s="85"/>
      <c r="E2384" s="85"/>
      <c r="F2384" s="18"/>
      <c r="G2384" s="19"/>
      <c r="H2384" s="86"/>
      <c r="I2384" s="25"/>
      <c r="J2384" s="22" t="s">
        <v>3544</v>
      </c>
      <c r="K2384" s="22"/>
      <c r="L2384" s="22"/>
      <c r="M2384" s="22"/>
      <c r="N2384" s="23"/>
      <c r="O2384" s="22"/>
      <c r="P2384" s="22"/>
      <c r="Q2384" s="22"/>
      <c r="R2384" s="22"/>
    </row>
    <row r="2385" spans="1:18" s="2" customFormat="1" ht="14.4">
      <c r="A2385" s="20">
        <f>A2383+1</f>
        <v>2192</v>
      </c>
      <c r="B2385" s="30" t="s">
        <v>3545</v>
      </c>
      <c r="C2385" s="30" t="s">
        <v>3546</v>
      </c>
      <c r="D2385" s="20" t="s">
        <v>5</v>
      </c>
      <c r="E2385" s="20" t="s">
        <v>6</v>
      </c>
      <c r="F2385" s="18">
        <v>1</v>
      </c>
      <c r="G2385" s="19">
        <f>7925</f>
        <v>7925</v>
      </c>
      <c r="H2385" s="32">
        <v>27</v>
      </c>
      <c r="I2385" s="25">
        <f t="shared" si="145"/>
        <v>213975</v>
      </c>
      <c r="J2385" s="40"/>
      <c r="K2385" s="39"/>
      <c r="L2385" s="39"/>
      <c r="M2385" s="39"/>
      <c r="N2385" s="23"/>
      <c r="O2385" s="39"/>
      <c r="P2385" s="39"/>
      <c r="Q2385" s="39"/>
      <c r="R2385" s="39"/>
    </row>
    <row r="2386" spans="1:18" s="2" customFormat="1" ht="14.4">
      <c r="A2386" s="20">
        <f>A2385+1</f>
        <v>2193</v>
      </c>
      <c r="B2386" s="30" t="s">
        <v>3547</v>
      </c>
      <c r="C2386" s="83" t="s">
        <v>3548</v>
      </c>
      <c r="D2386" s="20" t="s">
        <v>5</v>
      </c>
      <c r="E2386" s="20" t="s">
        <v>6</v>
      </c>
      <c r="F2386" s="18">
        <v>1</v>
      </c>
      <c r="G2386" s="19">
        <f>5741.67</f>
        <v>5741.67</v>
      </c>
      <c r="H2386" s="32">
        <v>21</v>
      </c>
      <c r="I2386" s="25">
        <f t="shared" si="145"/>
        <v>120575.07</v>
      </c>
      <c r="J2386" s="40"/>
      <c r="K2386" s="39"/>
      <c r="L2386" s="39"/>
      <c r="M2386" s="39"/>
      <c r="N2386" s="23"/>
      <c r="O2386" s="39"/>
      <c r="P2386" s="39"/>
      <c r="Q2386" s="39"/>
      <c r="R2386" s="39"/>
    </row>
    <row r="2387" spans="1:18" s="2" customFormat="1" ht="14.4">
      <c r="A2387" s="20">
        <f t="shared" ref="A2387:A2401" si="146">A2386+1</f>
        <v>2194</v>
      </c>
      <c r="B2387" s="30" t="s">
        <v>3549</v>
      </c>
      <c r="C2387" s="83" t="s">
        <v>3550</v>
      </c>
      <c r="D2387" s="20" t="s">
        <v>5</v>
      </c>
      <c r="E2387" s="20" t="s">
        <v>6</v>
      </c>
      <c r="F2387" s="18">
        <v>1</v>
      </c>
      <c r="G2387" s="19">
        <v>49269.3</v>
      </c>
      <c r="H2387" s="32">
        <v>7</v>
      </c>
      <c r="I2387" s="25">
        <f t="shared" si="145"/>
        <v>344885.10000000003</v>
      </c>
      <c r="J2387" s="40"/>
      <c r="K2387" s="39"/>
      <c r="L2387" s="39"/>
      <c r="M2387" s="39"/>
      <c r="N2387" s="23"/>
      <c r="O2387" s="39"/>
      <c r="P2387" s="39"/>
      <c r="Q2387" s="39"/>
      <c r="R2387" s="39"/>
    </row>
    <row r="2388" spans="1:18" s="2" customFormat="1" ht="14.4">
      <c r="A2388" s="20">
        <f t="shared" si="146"/>
        <v>2195</v>
      </c>
      <c r="B2388" s="30" t="s">
        <v>3551</v>
      </c>
      <c r="C2388" s="30" t="s">
        <v>3552</v>
      </c>
      <c r="D2388" s="20" t="s">
        <v>5</v>
      </c>
      <c r="E2388" s="20" t="s">
        <v>6</v>
      </c>
      <c r="F2388" s="18">
        <v>1</v>
      </c>
      <c r="G2388" s="19">
        <v>3814</v>
      </c>
      <c r="H2388" s="32">
        <v>6</v>
      </c>
      <c r="I2388" s="25">
        <f t="shared" si="145"/>
        <v>22884</v>
      </c>
      <c r="J2388" s="40"/>
      <c r="K2388" s="39"/>
      <c r="L2388" s="39"/>
      <c r="M2388" s="39"/>
      <c r="N2388" s="23"/>
      <c r="O2388" s="39"/>
      <c r="P2388" s="39"/>
      <c r="Q2388" s="39"/>
      <c r="R2388" s="39"/>
    </row>
    <row r="2389" spans="1:18" s="2" customFormat="1" ht="14.4">
      <c r="A2389" s="20">
        <f t="shared" si="146"/>
        <v>2196</v>
      </c>
      <c r="B2389" s="30" t="s">
        <v>3553</v>
      </c>
      <c r="C2389" s="30" t="s">
        <v>3554</v>
      </c>
      <c r="D2389" s="20" t="s">
        <v>5</v>
      </c>
      <c r="E2389" s="20" t="s">
        <v>6</v>
      </c>
      <c r="F2389" s="18">
        <v>1</v>
      </c>
      <c r="G2389" s="19">
        <v>1099.8599999999999</v>
      </c>
      <c r="H2389" s="32">
        <v>1</v>
      </c>
      <c r="I2389" s="25">
        <f t="shared" si="145"/>
        <v>1099.8599999999999</v>
      </c>
      <c r="J2389" s="40"/>
      <c r="K2389" s="39"/>
      <c r="L2389" s="39"/>
      <c r="M2389" s="39"/>
      <c r="N2389" s="23"/>
      <c r="O2389" s="39"/>
      <c r="P2389" s="39"/>
      <c r="Q2389" s="39"/>
      <c r="R2389" s="39"/>
    </row>
    <row r="2390" spans="1:18" s="2" customFormat="1" ht="14.4">
      <c r="A2390" s="20">
        <f t="shared" si="146"/>
        <v>2197</v>
      </c>
      <c r="B2390" s="30" t="s">
        <v>3555</v>
      </c>
      <c r="C2390" s="30" t="s">
        <v>3556</v>
      </c>
      <c r="D2390" s="20" t="s">
        <v>5</v>
      </c>
      <c r="E2390" s="20" t="s">
        <v>6</v>
      </c>
      <c r="F2390" s="18">
        <v>1</v>
      </c>
      <c r="G2390" s="19">
        <v>23359.86</v>
      </c>
      <c r="H2390" s="32">
        <v>1</v>
      </c>
      <c r="I2390" s="25">
        <f t="shared" si="145"/>
        <v>23359.86</v>
      </c>
      <c r="J2390" s="40"/>
      <c r="K2390" s="39"/>
      <c r="L2390" s="39"/>
      <c r="M2390" s="39"/>
      <c r="N2390" s="23"/>
      <c r="O2390" s="39"/>
      <c r="P2390" s="39"/>
      <c r="Q2390" s="39"/>
      <c r="R2390" s="39"/>
    </row>
    <row r="2391" spans="1:18" s="2" customFormat="1" ht="14.4">
      <c r="A2391" s="20">
        <f t="shared" si="146"/>
        <v>2198</v>
      </c>
      <c r="B2391" s="30" t="s">
        <v>3557</v>
      </c>
      <c r="C2391" s="30" t="s">
        <v>3558</v>
      </c>
      <c r="D2391" s="20" t="s">
        <v>5</v>
      </c>
      <c r="E2391" s="20" t="s">
        <v>6</v>
      </c>
      <c r="F2391" s="18">
        <v>1</v>
      </c>
      <c r="G2391" s="19">
        <v>427</v>
      </c>
      <c r="H2391" s="32">
        <v>7</v>
      </c>
      <c r="I2391" s="25">
        <f t="shared" si="145"/>
        <v>2989</v>
      </c>
      <c r="J2391" s="40"/>
      <c r="K2391" s="39"/>
      <c r="L2391" s="39"/>
      <c r="M2391" s="39"/>
      <c r="N2391" s="23"/>
      <c r="O2391" s="39"/>
      <c r="P2391" s="39"/>
      <c r="Q2391" s="39"/>
      <c r="R2391" s="39"/>
    </row>
    <row r="2392" spans="1:18" s="2" customFormat="1" ht="14.4">
      <c r="A2392" s="20">
        <f t="shared" si="146"/>
        <v>2199</v>
      </c>
      <c r="B2392" s="101" t="s">
        <v>3559</v>
      </c>
      <c r="C2392" s="101" t="s">
        <v>3560</v>
      </c>
      <c r="D2392" s="20" t="s">
        <v>5</v>
      </c>
      <c r="E2392" s="20" t="s">
        <v>6</v>
      </c>
      <c r="F2392" s="18">
        <v>1</v>
      </c>
      <c r="G2392" s="19">
        <v>11500</v>
      </c>
      <c r="H2392" s="58">
        <v>2</v>
      </c>
      <c r="I2392" s="25">
        <f t="shared" si="145"/>
        <v>23000</v>
      </c>
      <c r="J2392" s="40"/>
      <c r="K2392" s="39"/>
      <c r="L2392" s="39"/>
      <c r="M2392" s="39"/>
      <c r="N2392" s="23"/>
      <c r="O2392" s="39"/>
      <c r="P2392" s="39"/>
      <c r="Q2392" s="39"/>
      <c r="R2392" s="39"/>
    </row>
    <row r="2393" spans="1:18" s="2" customFormat="1" ht="14.4">
      <c r="A2393" s="20">
        <f t="shared" si="146"/>
        <v>2200</v>
      </c>
      <c r="B2393" s="101" t="s">
        <v>3561</v>
      </c>
      <c r="C2393" s="101" t="s">
        <v>3561</v>
      </c>
      <c r="D2393" s="20" t="s">
        <v>5</v>
      </c>
      <c r="E2393" s="20" t="s">
        <v>6</v>
      </c>
      <c r="F2393" s="18">
        <v>1</v>
      </c>
      <c r="G2393" s="19">
        <v>4300</v>
      </c>
      <c r="H2393" s="58">
        <v>2</v>
      </c>
      <c r="I2393" s="25">
        <f t="shared" si="145"/>
        <v>8600</v>
      </c>
      <c r="J2393" s="40"/>
      <c r="K2393" s="39"/>
      <c r="L2393" s="39"/>
      <c r="M2393" s="39"/>
      <c r="N2393" s="23"/>
      <c r="O2393" s="39"/>
      <c r="P2393" s="39"/>
      <c r="Q2393" s="39"/>
      <c r="R2393" s="39"/>
    </row>
    <row r="2394" spans="1:18" s="2" customFormat="1" ht="14.4">
      <c r="A2394" s="20">
        <f t="shared" si="146"/>
        <v>2201</v>
      </c>
      <c r="B2394" s="101" t="s">
        <v>3562</v>
      </c>
      <c r="C2394" s="101" t="s">
        <v>3562</v>
      </c>
      <c r="D2394" s="20" t="s">
        <v>5</v>
      </c>
      <c r="E2394" s="20" t="s">
        <v>6</v>
      </c>
      <c r="F2394" s="18">
        <v>1</v>
      </c>
      <c r="G2394" s="19">
        <v>2899</v>
      </c>
      <c r="H2394" s="58">
        <v>2</v>
      </c>
      <c r="I2394" s="25">
        <f t="shared" si="145"/>
        <v>5798</v>
      </c>
      <c r="J2394" s="40"/>
      <c r="K2394" s="39"/>
      <c r="L2394" s="39"/>
      <c r="M2394" s="39"/>
      <c r="N2394" s="23"/>
      <c r="O2394" s="39"/>
      <c r="P2394" s="39"/>
      <c r="Q2394" s="39"/>
      <c r="R2394" s="39"/>
    </row>
    <row r="2395" spans="1:18" s="2" customFormat="1" ht="14.4">
      <c r="A2395" s="20">
        <f t="shared" si="146"/>
        <v>2202</v>
      </c>
      <c r="B2395" s="101" t="s">
        <v>3563</v>
      </c>
      <c r="C2395" s="101" t="s">
        <v>3563</v>
      </c>
      <c r="D2395" s="20" t="s">
        <v>5</v>
      </c>
      <c r="E2395" s="20" t="s">
        <v>6</v>
      </c>
      <c r="F2395" s="18">
        <v>1</v>
      </c>
      <c r="G2395" s="19">
        <v>11200</v>
      </c>
      <c r="H2395" s="58">
        <v>3</v>
      </c>
      <c r="I2395" s="25">
        <f t="shared" si="145"/>
        <v>33600</v>
      </c>
      <c r="J2395" s="40"/>
      <c r="K2395" s="39"/>
      <c r="L2395" s="39"/>
      <c r="M2395" s="39"/>
      <c r="N2395" s="23"/>
      <c r="O2395" s="39"/>
      <c r="P2395" s="39"/>
      <c r="Q2395" s="39"/>
      <c r="R2395" s="39"/>
    </row>
    <row r="2396" spans="1:18" s="2" customFormat="1" ht="14.4">
      <c r="A2396" s="20">
        <f t="shared" si="146"/>
        <v>2203</v>
      </c>
      <c r="B2396" s="101" t="s">
        <v>3564</v>
      </c>
      <c r="C2396" s="101" t="s">
        <v>3564</v>
      </c>
      <c r="D2396" s="20" t="s">
        <v>5</v>
      </c>
      <c r="E2396" s="20" t="s">
        <v>6</v>
      </c>
      <c r="F2396" s="18">
        <v>1</v>
      </c>
      <c r="G2396" s="19">
        <v>16188</v>
      </c>
      <c r="H2396" s="58">
        <v>12</v>
      </c>
      <c r="I2396" s="25">
        <f t="shared" si="145"/>
        <v>194256</v>
      </c>
      <c r="J2396" s="40"/>
      <c r="K2396" s="39"/>
      <c r="L2396" s="39"/>
      <c r="M2396" s="39"/>
      <c r="N2396" s="23"/>
      <c r="O2396" s="39"/>
      <c r="P2396" s="39"/>
      <c r="Q2396" s="39"/>
      <c r="R2396" s="39"/>
    </row>
    <row r="2397" spans="1:18" s="2" customFormat="1" ht="14.4">
      <c r="A2397" s="20">
        <f t="shared" si="146"/>
        <v>2204</v>
      </c>
      <c r="B2397" s="101" t="s">
        <v>3565</v>
      </c>
      <c r="C2397" s="101" t="s">
        <v>3565</v>
      </c>
      <c r="D2397" s="20" t="s">
        <v>5</v>
      </c>
      <c r="E2397" s="20" t="s">
        <v>6</v>
      </c>
      <c r="F2397" s="18">
        <v>1</v>
      </c>
      <c r="G2397" s="19">
        <v>8112</v>
      </c>
      <c r="H2397" s="58">
        <v>9</v>
      </c>
      <c r="I2397" s="25">
        <f t="shared" si="145"/>
        <v>73008</v>
      </c>
      <c r="J2397" s="40"/>
      <c r="K2397" s="39"/>
      <c r="L2397" s="39"/>
      <c r="M2397" s="39"/>
      <c r="N2397" s="23"/>
      <c r="O2397" s="39"/>
      <c r="P2397" s="39"/>
      <c r="Q2397" s="39"/>
      <c r="R2397" s="39"/>
    </row>
    <row r="2398" spans="1:18" s="2" customFormat="1" ht="14.4">
      <c r="A2398" s="20">
        <f t="shared" si="146"/>
        <v>2205</v>
      </c>
      <c r="B2398" s="101" t="s">
        <v>3566</v>
      </c>
      <c r="C2398" s="101" t="s">
        <v>3566</v>
      </c>
      <c r="D2398" s="20" t="s">
        <v>5</v>
      </c>
      <c r="E2398" s="20" t="s">
        <v>6</v>
      </c>
      <c r="F2398" s="18">
        <v>1</v>
      </c>
      <c r="G2398" s="19">
        <v>8500</v>
      </c>
      <c r="H2398" s="58">
        <v>1</v>
      </c>
      <c r="I2398" s="25">
        <f t="shared" si="145"/>
        <v>8500</v>
      </c>
      <c r="J2398" s="40"/>
      <c r="K2398" s="39"/>
      <c r="L2398" s="39"/>
      <c r="M2398" s="39"/>
      <c r="N2398" s="23"/>
      <c r="O2398" s="39"/>
      <c r="P2398" s="39"/>
      <c r="Q2398" s="39"/>
      <c r="R2398" s="39"/>
    </row>
    <row r="2399" spans="1:18" s="2" customFormat="1" ht="14.4">
      <c r="A2399" s="20">
        <f t="shared" si="146"/>
        <v>2206</v>
      </c>
      <c r="B2399" s="101" t="s">
        <v>3567</v>
      </c>
      <c r="C2399" s="101" t="s">
        <v>3567</v>
      </c>
      <c r="D2399" s="20" t="s">
        <v>5</v>
      </c>
      <c r="E2399" s="20" t="s">
        <v>6</v>
      </c>
      <c r="F2399" s="18">
        <v>1</v>
      </c>
      <c r="G2399" s="19">
        <v>524</v>
      </c>
      <c r="H2399" s="58">
        <v>6</v>
      </c>
      <c r="I2399" s="25">
        <f t="shared" si="145"/>
        <v>3144</v>
      </c>
      <c r="J2399" s="40"/>
      <c r="K2399" s="39"/>
      <c r="L2399" s="39"/>
      <c r="M2399" s="39"/>
      <c r="N2399" s="23"/>
      <c r="O2399" s="39"/>
      <c r="P2399" s="39"/>
      <c r="Q2399" s="39"/>
      <c r="R2399" s="39"/>
    </row>
    <row r="2400" spans="1:18" s="2" customFormat="1" ht="14.4">
      <c r="A2400" s="20">
        <f t="shared" si="146"/>
        <v>2207</v>
      </c>
      <c r="B2400" s="101" t="s">
        <v>3568</v>
      </c>
      <c r="C2400" s="101" t="s">
        <v>3568</v>
      </c>
      <c r="D2400" s="20" t="s">
        <v>5</v>
      </c>
      <c r="E2400" s="20" t="s">
        <v>6</v>
      </c>
      <c r="F2400" s="18">
        <v>1</v>
      </c>
      <c r="G2400" s="19">
        <f>1300</f>
        <v>1300</v>
      </c>
      <c r="H2400" s="58">
        <v>6</v>
      </c>
      <c r="I2400" s="25">
        <f t="shared" si="145"/>
        <v>7800</v>
      </c>
      <c r="J2400" s="40"/>
      <c r="K2400" s="39"/>
      <c r="L2400" s="39"/>
      <c r="M2400" s="39"/>
      <c r="N2400" s="23"/>
      <c r="O2400" s="39"/>
      <c r="P2400" s="39"/>
      <c r="Q2400" s="39"/>
      <c r="R2400" s="39"/>
    </row>
    <row r="2401" spans="1:18" s="2" customFormat="1" ht="14.4">
      <c r="A2401" s="20">
        <f t="shared" si="146"/>
        <v>2208</v>
      </c>
      <c r="B2401" s="41" t="s">
        <v>1077</v>
      </c>
      <c r="C2401" s="41" t="s">
        <v>219</v>
      </c>
      <c r="D2401" s="42" t="s">
        <v>48</v>
      </c>
      <c r="E2401" s="42" t="s">
        <v>49</v>
      </c>
      <c r="F2401" s="18">
        <v>1</v>
      </c>
      <c r="G2401" s="19"/>
      <c r="H2401" s="58">
        <v>1</v>
      </c>
      <c r="I2401" s="25">
        <f>SUM(I2385:I2400)*0.05</f>
        <v>54373.694500000012</v>
      </c>
      <c r="J2401" s="40"/>
      <c r="K2401" s="39"/>
      <c r="L2401" s="39"/>
      <c r="M2401" s="39"/>
      <c r="N2401" s="23"/>
      <c r="O2401" s="39"/>
      <c r="P2401" s="39"/>
      <c r="Q2401" s="39"/>
      <c r="R2401" s="39"/>
    </row>
    <row r="2402" spans="1:18" ht="15" customHeight="1">
      <c r="I2402" s="25"/>
    </row>
    <row r="2404" spans="1:18" ht="15" customHeight="1">
      <c r="B2404" s="129" t="s">
        <v>3569</v>
      </c>
      <c r="C2404" s="130"/>
      <c r="D2404" s="131" t="s">
        <v>3570</v>
      </c>
      <c r="E2404" s="131"/>
      <c r="F2404" s="131"/>
      <c r="G2404" s="131"/>
      <c r="H2404" s="102"/>
      <c r="I2404" s="106">
        <f>SUM(I9:I2401)</f>
        <v>206652129.53010455</v>
      </c>
    </row>
    <row r="2405" spans="1:18" ht="15" customHeight="1">
      <c r="B2405" s="132" t="s">
        <v>3571</v>
      </c>
      <c r="C2405" s="133"/>
      <c r="D2405" s="134" t="s">
        <v>73</v>
      </c>
      <c r="E2405" s="134"/>
      <c r="F2405" s="134"/>
      <c r="G2405" s="134"/>
      <c r="H2405" s="103"/>
      <c r="I2405" s="107"/>
    </row>
    <row r="2406" spans="1:18" ht="15" customHeight="1">
      <c r="B2406" s="135" t="s">
        <v>3572</v>
      </c>
      <c r="C2406" s="133"/>
      <c r="D2406" s="134" t="s">
        <v>3573</v>
      </c>
      <c r="E2406" s="134"/>
      <c r="F2406" s="134"/>
      <c r="G2406" s="134"/>
      <c r="H2406" s="103"/>
      <c r="I2406" s="108">
        <f>I2407-I2404</f>
        <v>41330425.90602091</v>
      </c>
    </row>
    <row r="2407" spans="1:18" ht="15" customHeight="1">
      <c r="B2407" s="136" t="s">
        <v>3574</v>
      </c>
      <c r="C2407" s="137"/>
      <c r="D2407" s="138" t="s">
        <v>3575</v>
      </c>
      <c r="E2407" s="138"/>
      <c r="F2407" s="138"/>
      <c r="G2407" s="138"/>
      <c r="H2407" s="104"/>
      <c r="I2407" s="109">
        <f>I2404*1.2</f>
        <v>247982555.43612546</v>
      </c>
    </row>
    <row r="2409" spans="1:18" ht="15" customHeight="1">
      <c r="I2409" s="110"/>
    </row>
    <row r="2410" spans="1:18" ht="166.2" customHeight="1">
      <c r="B2410" s="105" t="s">
        <v>3576</v>
      </c>
      <c r="C2410" s="105" t="s">
        <v>3577</v>
      </c>
    </row>
    <row r="2411" spans="1:18" ht="15" customHeight="1">
      <c r="B2411" s="105"/>
      <c r="C2411" s="105"/>
    </row>
    <row r="2412" spans="1:18" ht="15" customHeight="1">
      <c r="B2412" s="105"/>
      <c r="C2412" s="105"/>
    </row>
    <row r="2413" spans="1:18" ht="15" customHeight="1">
      <c r="B2413" s="105"/>
      <c r="C2413" s="105"/>
    </row>
    <row r="2414" spans="1:18" ht="15" customHeight="1">
      <c r="B2414" s="105"/>
      <c r="C2414" s="105"/>
    </row>
    <row r="2415" spans="1:18" ht="15" customHeight="1">
      <c r="B2415" s="105"/>
      <c r="C2415" s="105"/>
    </row>
    <row r="2416" spans="1:18" ht="15" customHeight="1">
      <c r="B2416" s="105"/>
      <c r="C2416" s="105"/>
    </row>
    <row r="2417" spans="2:3" ht="15" customHeight="1">
      <c r="B2417" s="105"/>
      <c r="C2417" s="105"/>
    </row>
    <row r="2418" spans="2:3" ht="15" customHeight="1">
      <c r="B2418" s="105"/>
      <c r="C2418" s="105"/>
    </row>
    <row r="2419" spans="2:3" ht="15" customHeight="1">
      <c r="B2419" s="105"/>
      <c r="C2419" s="105"/>
    </row>
    <row r="2420" spans="2:3" ht="15" customHeight="1">
      <c r="B2420" s="105"/>
      <c r="C2420" s="105"/>
    </row>
    <row r="2421" spans="2:3" ht="15" customHeight="1">
      <c r="B2421" s="105"/>
      <c r="C2421" s="105"/>
    </row>
    <row r="2422" spans="2:3" ht="15" customHeight="1">
      <c r="B2422" s="105"/>
      <c r="C2422" s="105"/>
    </row>
  </sheetData>
  <autoFilter ref="A5:I2401" xr:uid="{00000000-0009-0000-0000-000002000000}"/>
  <mergeCells count="12">
    <mergeCell ref="B2405:C2405"/>
    <mergeCell ref="D2405:G2405"/>
    <mergeCell ref="B2406:C2406"/>
    <mergeCell ref="D2406:G2406"/>
    <mergeCell ref="B2407:C2407"/>
    <mergeCell ref="D2407:G2407"/>
    <mergeCell ref="A1:J1"/>
    <mergeCell ref="A2:I2"/>
    <mergeCell ref="A3:I3"/>
    <mergeCell ref="A4:I4"/>
    <mergeCell ref="B2404:C2404"/>
    <mergeCell ref="D2404:G2404"/>
  </mergeCells>
  <pageMargins left="0.7" right="0.7" top="0.75" bottom="0.75" header="0" footer="0"/>
  <pageSetup orientation="landscape" r:id="rId1"/>
  <headerFooter>
    <oddHeader>&amp;LПрограмний комплекс АВК - 5 (3.9.2)  &amp;C&amp;P&amp;R 56_ДЦ_КК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c023c8-7b34-4b3d-a645-39b6beed55be">
      <Value>12</Value>
      <Value>32</Value>
      <Value>1</Value>
      <Value>168</Value>
    </TaxCatchAll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UKR24001</TermName>
          <TermId xmlns="http://schemas.microsoft.com/office/infopath/2007/PartnerControls">35ff42be-5d83-40a5-90aa-02075e4babe4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UKR</TermName>
          <TermId xmlns="http://schemas.microsoft.com/office/infopath/2007/PartnerControls">7def722a-1665-457a-9449-ba768f8840c2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UKR24001-10197</TermName>
          <TermId xmlns="http://schemas.microsoft.com/office/infopath/2007/PartnerControls">c0138fe3-c803-45a1-9f94-8874a2cbd710</TermId>
        </TermInfo>
      </Terms>
    </l9d65098618b4a8fbbe87718e7187e6b>
    <_dlc_DocId xmlns="508ba6eb-9e09-4fd5-92f2-2d9921329f2d">UKRENABEL-897847285-49339</_dlc_DocId>
    <_dlc_DocIdUrl xmlns="508ba6eb-9e09-4fd5-92f2-2d9921329f2d">
      <Url>https://enabelbe.sharepoint.com/sites/UKR/_layouts/15/DocIdRedir.aspx?ID=UKRENABEL-897847285-49339</Url>
      <Description>UKRENABEL-897847285-49339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2C34C447E6454A40A553EE97A6C4718600A418D12E6E36A64E9F774715E5D6A491" ma:contentTypeVersion="23" ma:contentTypeDescription="" ma:contentTypeScope="" ma:versionID="70a0598fc23ae87f11e6865eb96040c5">
  <xsd:schema xmlns:xsd="http://www.w3.org/2001/XMLSchema" xmlns:xs="http://www.w3.org/2001/XMLSchema" xmlns:p="http://schemas.microsoft.com/office/2006/metadata/properties" xmlns:ns1="http://schemas.microsoft.com/sharepoint/v3" xmlns:ns2="14a9c00f-d9e3-4eb9-aad3-f69239d17d9c" xmlns:ns3="cdc023c8-7b34-4b3d-a645-39b6beed55be" xmlns:ns4="96fff1cf-56a1-468e-a250-80fb996b62cb" xmlns:ns5="508ba6eb-9e09-4fd5-92f2-2d9921329f2d" targetNamespace="http://schemas.microsoft.com/office/2006/metadata/properties" ma:root="true" ma:fieldsID="b1749bd68543f4c32c7bc3b7d640f9f0" ns1:_="" ns2:_="" ns3:_="" ns4:_="" ns5:_="">
    <xsd:import namespace="http://schemas.microsoft.com/sharepoint/v3"/>
    <xsd:import namespace="14a9c00f-d9e3-4eb9-aad3-f69239d17d9c"/>
    <xsd:import namespace="cdc023c8-7b34-4b3d-a645-39b6beed55be"/>
    <xsd:import namespace="96fff1cf-56a1-468e-a250-80fb996b62cb"/>
    <xsd:import namespace="508ba6eb-9e09-4fd5-92f2-2d9921329f2d"/>
    <xsd:element name="properties">
      <xsd:complexType>
        <xsd:sequence>
          <xsd:element name="documentManagement">
            <xsd:complexType>
              <xsd:all>
                <xsd:element ref="ns2:o99d250c03344da181939f0145dbc023" minOccurs="0"/>
                <xsd:element ref="ns3:TaxCatchAll" minOccurs="0"/>
                <xsd:element ref="ns4:TaxCatchAllLabel" minOccurs="0"/>
                <xsd:element ref="ns2:kecc0e8a0a3349c79c5d1d6e51bea7c3" minOccurs="0"/>
                <xsd:element ref="ns2:j50cb40f2a0941d2947e6bcbd5d19dce" minOccurs="0"/>
                <xsd:element ref="ns2:jcd7455606374210a964e5d7a999097a" minOccurs="0"/>
                <xsd:element ref="ns2:l9d65098618b4a8fbbe87718e7187e6b" minOccurs="0"/>
                <xsd:element ref="ns2:e2b781e9cad840cd89b90f5a7e989839" minOccurs="0"/>
                <xsd:element ref="ns5:_dlc_DocIdPersistId" minOccurs="0"/>
                <xsd:element ref="ns5:_dlc_DocId" minOccurs="0"/>
                <xsd:element ref="ns5:_dlc_DocIdUrl" minOccurs="0"/>
                <xsd:element ref="ns4:MediaServiceDateTaken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8" nillable="true" ma:taxonomy="true" ma:internalName="o99d250c03344da181939f0145dbc023" ma:taxonomyFieldName="Document_Language" ma:displayName="Document_Language" ma:readOnly="false" ma:default="12;#EN|eb0f068f-7d92-44c4-a2e1-052290512cff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2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4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UKR|7def722a-1665-457a-9449-ba768f8840c2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8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0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023c8-7b34-4b3d-a645-39b6beed55be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description="" ma:hidden="true" ma:list="{ee7a6f7a-ea42-4b0d-a232-12d364487828}" ma:internalName="TaxCatchAll" ma:showField="CatchAllData" ma:web="cdc023c8-7b34-4b3d-a645-39b6beed5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ff1cf-56a1-468e-a250-80fb996b62cb" elementFormDefault="qualified">
    <xsd:import namespace="http://schemas.microsoft.com/office/2006/documentManagement/types"/>
    <xsd:import namespace="http://schemas.microsoft.com/office/infopath/2007/PartnerControls"/>
    <xsd:element name="TaxCatchAllLabel" ma:index="10" nillable="true" ma:displayName="Taxonomy Catch All Column1" ma:hidden="true" ma:list="{ee7a6f7a-ea42-4b0d-a232-12d364487828}" ma:internalName="TaxCatchAllLabel" ma:readOnly="true" ma:showField="CatchAllDataLabel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22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A3ECC0-F71E-4C62-8101-60705FC7EEC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1C4B3E0-FBD2-416C-971C-C6880610B5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3CAB89-95F8-48AE-B532-C9FEEA4562A5}">
  <ds:schemaRefs>
    <ds:schemaRef ds:uri="508ba6eb-9e09-4fd5-92f2-2d9921329f2d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6fff1cf-56a1-468e-a250-80fb996b62cb"/>
    <ds:schemaRef ds:uri="cdc023c8-7b34-4b3d-a645-39b6beed55be"/>
    <ds:schemaRef ds:uri="http://www.w3.org/XML/1998/namespace"/>
    <ds:schemaRef ds:uri="14a9c00f-d9e3-4eb9-aad3-f69239d17d9c"/>
    <ds:schemaRef ds:uri="http://schemas.microsoft.com/sharepoint/v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EF1C6E4-6E1A-4828-A64E-DFC68C612D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4a9c00f-d9e3-4eb9-aad3-f69239d17d9c"/>
    <ds:schemaRef ds:uri="cdc023c8-7b34-4b3d-a645-39b6beed55be"/>
    <ds:schemaRef ds:uri="96fff1cf-56a1-468e-a250-80fb996b62cb"/>
    <ds:schemaRef ds:uri="508ba6eb-9e09-4fd5-92f2-2d9921329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Демонтаж</vt:lpstr>
      <vt:lpstr>DC_KK</vt:lpstr>
      <vt:lpstr>Демонтаж!Заголовки_для_печати</vt:lpstr>
      <vt:lpstr>Демонтаж!Область_печати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Наталія Кушнир</dc:creator>
  <cp:keywords/>
  <dc:description/>
  <cp:lastModifiedBy>Ігор</cp:lastModifiedBy>
  <cp:revision/>
  <cp:lastPrinted>2026-02-25T10:05:13Z</cp:lastPrinted>
  <dcterms:created xsi:type="dcterms:W3CDTF">2024-12-24T10:18:00Z</dcterms:created>
  <dcterms:modified xsi:type="dcterms:W3CDTF">2026-04-09T17:14:13Z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0x0101002C34C447E6454A40A553EE97A6C4718600A418D12E6E36A64E9F774715E5D6A491</vt:lpwstr>
  </property>
  <property fmtid="{D5CDD505-2E9C-101B-9397-08002B2CF9AE}" pid="3" name="Document_Language">
    <vt:lpwstr>12</vt:lpwstr>
  </property>
  <property fmtid="{D5CDD505-2E9C-101B-9397-08002B2CF9AE}" pid="4" name="Country">
    <vt:lpwstr>1;#UKR|7def722a-1665-457a-9449-ba768f8840c2</vt:lpwstr>
  </property>
  <property fmtid="{D5CDD505-2E9C-101B-9397-08002B2CF9AE}" pid="5" name="Contract_reference">
    <vt:lpwstr>168</vt:lpwstr>
  </property>
  <property fmtid="{D5CDD505-2E9C-101B-9397-08002B2CF9AE}" pid="6" name="Project_code">
    <vt:lpwstr>32</vt:lpwstr>
  </property>
  <property fmtid="{D5CDD505-2E9C-101B-9397-08002B2CF9AE}" pid="7" name="_dlc_DocIdItemGuid">
    <vt:lpwstr>55a8be4b-fb1c-40f9-b126-1ce34561b96d</vt:lpwstr>
  </property>
  <property fmtid="{D5CDD505-2E9C-101B-9397-08002B2CF9AE}" pid="8" name="_docset_NoMedatataSyncRequired">
    <vt:lpwstr>False</vt:lpwstr>
  </property>
  <property fmtid="{D5CDD505-2E9C-101B-9397-08002B2CF9AE}" pid="9" name="MediaServiceImageTags">
    <vt:lpwstr/>
  </property>
  <property fmtid="{D5CDD505-2E9C-101B-9397-08002B2CF9AE}" pid="10" name="Document_Type">
    <vt:lpwstr/>
  </property>
  <property fmtid="{D5CDD505-2E9C-101B-9397-08002B2CF9AE}" pid="11" name="Document_Status">
    <vt:lpwstr/>
  </property>
  <property fmtid="{D5CDD505-2E9C-101B-9397-08002B2CF9AE}" pid="12" name="lcf76f155ced4ddcb4097134ff3c332f">
    <vt:lpwstr/>
  </property>
  <property fmtid="{D5CDD505-2E9C-101B-9397-08002B2CF9AE}" pid="13" name="ICV">
    <vt:lpwstr>CD46441AE4BF413C9029AEE8185010B6_12</vt:lpwstr>
  </property>
  <property fmtid="{D5CDD505-2E9C-101B-9397-08002B2CF9AE}" pid="14" name="KSOProductBuildVer">
    <vt:lpwstr>1033-12.2.0.23155</vt:lpwstr>
  </property>
</Properties>
</file>