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120" windowHeight="8970" tabRatio="785"/>
  </bookViews>
  <sheets>
    <sheet name="ТЗ на сендвіч " sheetId="44" r:id="rId1"/>
    <sheet name="ТЗ на сендвіч не роб" sheetId="41" state="hidden" r:id="rId2"/>
    <sheet name="сендвічі" sheetId="45" r:id="rId3"/>
    <sheet name="Лист1" sheetId="43" r:id="rId4"/>
  </sheets>
  <definedNames>
    <definedName name="_xlnm._FilterDatabase" localSheetId="0" hidden="1">'ТЗ на сендвіч '!$A$14:$K$87</definedName>
    <definedName name="_xlnm._FilterDatabase" localSheetId="1" hidden="1">'ТЗ на сендвіч не роб'!$A$14:$K$90</definedName>
    <definedName name="_xlnm.Print_Area" localSheetId="0">'ТЗ на сендвіч '!$A$1:$K$102</definedName>
    <definedName name="_xlnm.Print_Area" localSheetId="1">'ТЗ на сендвіч не роб'!$A$1:$K$105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5" l="1"/>
  <c r="E3" i="45" s="1"/>
  <c r="F33" i="44" l="1"/>
  <c r="F35" i="44" s="1"/>
  <c r="F37" i="44"/>
  <c r="F38" i="44"/>
  <c r="F44" i="44"/>
  <c r="F40" i="44"/>
  <c r="F32" i="44" l="1"/>
  <c r="D3" i="45"/>
  <c r="F39" i="44"/>
  <c r="F4" i="45"/>
  <c r="D4" i="45" s="1"/>
  <c r="F3" i="45"/>
  <c r="H85" i="44"/>
  <c r="K85" i="44" s="1"/>
  <c r="H84" i="44"/>
  <c r="K84" i="44" s="1"/>
  <c r="H83" i="44"/>
  <c r="K83" i="44" s="1"/>
  <c r="H82" i="44"/>
  <c r="K82" i="44" s="1"/>
  <c r="H81" i="44"/>
  <c r="K81" i="44" s="1"/>
  <c r="H80" i="44"/>
  <c r="K80" i="44" s="1"/>
  <c r="H79" i="44"/>
  <c r="K79" i="44" s="1"/>
  <c r="H78" i="44"/>
  <c r="K78" i="44" s="1"/>
  <c r="H77" i="44"/>
  <c r="K77" i="44" s="1"/>
  <c r="H76" i="44"/>
  <c r="K76" i="44" s="1"/>
  <c r="H75" i="44"/>
  <c r="K75" i="44" s="1"/>
  <c r="H74" i="44"/>
  <c r="K74" i="44" s="1"/>
  <c r="F62" i="44"/>
  <c r="H62" i="44" s="1"/>
  <c r="K62" i="44" s="1"/>
  <c r="F59" i="44"/>
  <c r="H59" i="44" s="1"/>
  <c r="K59" i="44" s="1"/>
  <c r="H58" i="44"/>
  <c r="K58" i="44" s="1"/>
  <c r="H57" i="44"/>
  <c r="K57" i="44" s="1"/>
  <c r="F56" i="44"/>
  <c r="H56" i="44" s="1"/>
  <c r="K56" i="44" s="1"/>
  <c r="F54" i="44"/>
  <c r="F53" i="44"/>
  <c r="H53" i="44" s="1"/>
  <c r="H54" i="44" s="1"/>
  <c r="F48" i="44"/>
  <c r="H48" i="44" s="1"/>
  <c r="K48" i="44" s="1"/>
  <c r="F45" i="44"/>
  <c r="J44" i="44"/>
  <c r="K44" i="44" s="1"/>
  <c r="F43" i="44"/>
  <c r="J43" i="44" s="1"/>
  <c r="K43" i="44" s="1"/>
  <c r="F41" i="44"/>
  <c r="J40" i="44"/>
  <c r="K40" i="44" s="1"/>
  <c r="J39" i="44"/>
  <c r="K39" i="44" s="1"/>
  <c r="K38" i="44"/>
  <c r="J33" i="44"/>
  <c r="K33" i="44" s="1"/>
  <c r="F34" i="44"/>
  <c r="H34" i="44" s="1"/>
  <c r="K34" i="44" s="1"/>
  <c r="F26" i="44"/>
  <c r="H26" i="44" s="1"/>
  <c r="K26" i="44" s="1"/>
  <c r="F25" i="44"/>
  <c r="H25" i="44" s="1"/>
  <c r="K25" i="44" s="1"/>
  <c r="F24" i="44"/>
  <c r="H24" i="44" s="1"/>
  <c r="K24" i="44" s="1"/>
  <c r="F23" i="44"/>
  <c r="H23" i="44" s="1"/>
  <c r="K23" i="44" s="1"/>
  <c r="F22" i="44"/>
  <c r="H22" i="44" s="1"/>
  <c r="K22" i="44" s="1"/>
  <c r="F21" i="44"/>
  <c r="H21" i="44" s="1"/>
  <c r="K21" i="44" s="1"/>
  <c r="F20" i="44"/>
  <c r="F19" i="44"/>
  <c r="F17" i="44"/>
  <c r="J17" i="44" s="1"/>
  <c r="K17" i="44" s="1"/>
  <c r="L68" i="41"/>
  <c r="H19" i="44" l="1"/>
  <c r="K19" i="44" s="1"/>
  <c r="F18" i="44"/>
  <c r="F27" i="44" s="1"/>
  <c r="F63" i="44"/>
  <c r="F64" i="44" s="1"/>
  <c r="F65" i="44" s="1"/>
  <c r="F61" i="44"/>
  <c r="H61" i="44" s="1"/>
  <c r="K61" i="44" s="1"/>
  <c r="F50" i="44"/>
  <c r="F60" i="44"/>
  <c r="F47" i="44"/>
  <c r="K53" i="44"/>
  <c r="K54" i="44"/>
  <c r="H50" i="44"/>
  <c r="K50" i="44" s="1"/>
  <c r="H35" i="44"/>
  <c r="K35" i="44" s="1"/>
  <c r="J41" i="44"/>
  <c r="K41" i="44" s="1"/>
  <c r="F42" i="44"/>
  <c r="J42" i="44" s="1"/>
  <c r="K42" i="44" s="1"/>
  <c r="H60" i="44"/>
  <c r="K60" i="44" s="1"/>
  <c r="H27" i="44"/>
  <c r="K27" i="44" s="1"/>
  <c r="F36" i="44"/>
  <c r="H36" i="44" s="1"/>
  <c r="K36" i="44" s="1"/>
  <c r="F66" i="44"/>
  <c r="H66" i="44" s="1"/>
  <c r="K66" i="44" s="1"/>
  <c r="F68" i="44"/>
  <c r="H68" i="44" s="1"/>
  <c r="K68" i="44" s="1"/>
  <c r="H65" i="44"/>
  <c r="F67" i="44"/>
  <c r="H67" i="44" s="1"/>
  <c r="K67" i="44" s="1"/>
  <c r="J64" i="44"/>
  <c r="F69" i="44"/>
  <c r="J45" i="44"/>
  <c r="K45" i="44" s="1"/>
  <c r="F46" i="44"/>
  <c r="J46" i="44" s="1"/>
  <c r="K46" i="44" s="1"/>
  <c r="F52" i="44"/>
  <c r="H32" i="44"/>
  <c r="K32" i="44" s="1"/>
  <c r="H20" i="44"/>
  <c r="F49" i="44" l="1"/>
  <c r="H49" i="44" s="1"/>
  <c r="K49" i="44" s="1"/>
  <c r="J47" i="44"/>
  <c r="K47" i="44" s="1"/>
  <c r="F28" i="44"/>
  <c r="F30" i="44" s="1"/>
  <c r="H30" i="44" s="1"/>
  <c r="K30" i="44" s="1"/>
  <c r="F31" i="44"/>
  <c r="J31" i="44" s="1"/>
  <c r="K31" i="44" s="1"/>
  <c r="J18" i="44"/>
  <c r="K18" i="44" s="1"/>
  <c r="H52" i="44"/>
  <c r="K52" i="44" s="1"/>
  <c r="F55" i="44"/>
  <c r="H55" i="44" s="1"/>
  <c r="K55" i="44" s="1"/>
  <c r="F51" i="44"/>
  <c r="H51" i="44" s="1"/>
  <c r="K51" i="44" s="1"/>
  <c r="K65" i="44"/>
  <c r="K20" i="44"/>
  <c r="F71" i="44"/>
  <c r="H71" i="44" s="1"/>
  <c r="K71" i="44" s="1"/>
  <c r="F73" i="44"/>
  <c r="H73" i="44" s="1"/>
  <c r="K73" i="44" s="1"/>
  <c r="F70" i="44"/>
  <c r="H70" i="44" s="1"/>
  <c r="K70" i="44" s="1"/>
  <c r="F72" i="44"/>
  <c r="H72" i="44" s="1"/>
  <c r="K72" i="44" s="1"/>
  <c r="J69" i="44"/>
  <c r="K69" i="44" s="1"/>
  <c r="K64" i="44"/>
  <c r="J28" i="44" l="1"/>
  <c r="K28" i="44" s="1"/>
  <c r="F29" i="44"/>
  <c r="H29" i="44" s="1"/>
  <c r="K29" i="44" s="1"/>
  <c r="H63" i="44"/>
  <c r="J63" i="44"/>
  <c r="J16" i="44" s="1"/>
  <c r="J86" i="44" s="1"/>
  <c r="J88" i="44" s="1"/>
  <c r="J87" i="44" s="1"/>
  <c r="H86" i="44" l="1"/>
  <c r="K63" i="44"/>
  <c r="K16" i="44" l="1"/>
  <c r="H88" i="44"/>
  <c r="H87" i="44" s="1"/>
  <c r="K86" i="44"/>
  <c r="K87" i="44" l="1"/>
  <c r="K88" i="44" s="1"/>
  <c r="H77" i="41" l="1"/>
  <c r="K77" i="41" s="1"/>
  <c r="H78" i="41"/>
  <c r="K78" i="41" s="1"/>
  <c r="F54" i="41"/>
  <c r="F53" i="41"/>
  <c r="F61" i="41"/>
  <c r="F63" i="41"/>
  <c r="F59" i="41" l="1"/>
  <c r="F56" i="41" l="1"/>
  <c r="F48" i="41"/>
  <c r="F33" i="41" l="1"/>
  <c r="F45" i="41"/>
  <c r="F43" i="41"/>
  <c r="F44" i="41"/>
  <c r="F41" i="41"/>
  <c r="F66" i="41" s="1"/>
  <c r="F67" i="41" s="1"/>
  <c r="F40" i="41"/>
  <c r="J40" i="41" s="1"/>
  <c r="K40" i="41" s="1"/>
  <c r="F39" i="41"/>
  <c r="F38" i="41"/>
  <c r="F37" i="41"/>
  <c r="J67" i="41" l="1"/>
  <c r="F68" i="41"/>
  <c r="H68" i="41" s="1"/>
  <c r="F69" i="41"/>
  <c r="H69" i="41" s="1"/>
  <c r="K69" i="41" s="1"/>
  <c r="F71" i="41"/>
  <c r="H71" i="41" s="1"/>
  <c r="K71" i="41" s="1"/>
  <c r="F70" i="41"/>
  <c r="H70" i="41" s="1"/>
  <c r="K70" i="41" s="1"/>
  <c r="F72" i="41"/>
  <c r="F52" i="41"/>
  <c r="F65" i="41"/>
  <c r="F50" i="41"/>
  <c r="F62" i="41"/>
  <c r="F60" i="41"/>
  <c r="F34" i="41"/>
  <c r="F17" i="41"/>
  <c r="F64" i="41"/>
  <c r="E13" i="41"/>
  <c r="J41" i="41"/>
  <c r="K41" i="41" s="1"/>
  <c r="F55" i="41"/>
  <c r="J44" i="41"/>
  <c r="K44" i="41" s="1"/>
  <c r="F32" i="41"/>
  <c r="F47" i="41"/>
  <c r="F49" i="41" s="1"/>
  <c r="F36" i="41"/>
  <c r="F35" i="41"/>
  <c r="F46" i="41"/>
  <c r="F42" i="41"/>
  <c r="J43" i="41"/>
  <c r="K43" i="41" s="1"/>
  <c r="J45" i="41"/>
  <c r="K45" i="41" s="1"/>
  <c r="J39" i="41"/>
  <c r="K39" i="41" s="1"/>
  <c r="F73" i="41" l="1"/>
  <c r="H73" i="41" s="1"/>
  <c r="K73" i="41" s="1"/>
  <c r="F76" i="41"/>
  <c r="H76" i="41" s="1"/>
  <c r="K76" i="41" s="1"/>
  <c r="F75" i="41"/>
  <c r="H75" i="41" s="1"/>
  <c r="K75" i="41" s="1"/>
  <c r="J72" i="41"/>
  <c r="K72" i="41" s="1"/>
  <c r="F74" i="41"/>
  <c r="H74" i="41" s="1"/>
  <c r="K74" i="41" s="1"/>
  <c r="K68" i="41"/>
  <c r="H66" i="41"/>
  <c r="K67" i="41"/>
  <c r="J66" i="41"/>
  <c r="F51" i="41"/>
  <c r="J46" i="41"/>
  <c r="K46" i="41" s="1"/>
  <c r="J33" i="41"/>
  <c r="F25" i="41"/>
  <c r="F26" i="41"/>
  <c r="F19" i="41"/>
  <c r="F22" i="41"/>
  <c r="F21" i="41"/>
  <c r="F23" i="41"/>
  <c r="F24" i="41"/>
  <c r="F20" i="41"/>
  <c r="K66" i="41" l="1"/>
  <c r="H87" i="41"/>
  <c r="K87" i="41" s="1"/>
  <c r="H86" i="41"/>
  <c r="K86" i="41" s="1"/>
  <c r="H85" i="41"/>
  <c r="K85" i="41" s="1"/>
  <c r="H83" i="41"/>
  <c r="K83" i="41" s="1"/>
  <c r="H82" i="41"/>
  <c r="K82" i="41" s="1"/>
  <c r="H81" i="41"/>
  <c r="K81" i="41" s="1"/>
  <c r="H80" i="41"/>
  <c r="K80" i="41" s="1"/>
  <c r="H79" i="41"/>
  <c r="K79" i="41" s="1"/>
  <c r="H63" i="41"/>
  <c r="K63" i="41" s="1"/>
  <c r="H62" i="41"/>
  <c r="K62" i="41" s="1"/>
  <c r="H60" i="41"/>
  <c r="K60" i="41" s="1"/>
  <c r="H59" i="41"/>
  <c r="K59" i="41" s="1"/>
  <c r="H58" i="41"/>
  <c r="K58" i="41" s="1"/>
  <c r="H57" i="41"/>
  <c r="K57" i="41" s="1"/>
  <c r="H56" i="41"/>
  <c r="K56" i="41" s="1"/>
  <c r="H55" i="41"/>
  <c r="K55" i="41" s="1"/>
  <c r="H54" i="41"/>
  <c r="K54" i="41" s="1"/>
  <c r="H52" i="41"/>
  <c r="K52" i="41" s="1"/>
  <c r="H51" i="41"/>
  <c r="K51" i="41" s="1"/>
  <c r="H50" i="41"/>
  <c r="K50" i="41" s="1"/>
  <c r="H49" i="41"/>
  <c r="K49" i="41" s="1"/>
  <c r="H48" i="41"/>
  <c r="K48" i="41" s="1"/>
  <c r="J42" i="41"/>
  <c r="K42" i="41" s="1"/>
  <c r="K38" i="41"/>
  <c r="H36" i="41"/>
  <c r="K36" i="41" s="1"/>
  <c r="H35" i="41"/>
  <c r="K35" i="41" s="1"/>
  <c r="H34" i="41"/>
  <c r="K34" i="41" s="1"/>
  <c r="K33" i="41"/>
  <c r="H32" i="41"/>
  <c r="K32" i="41" s="1"/>
  <c r="H26" i="41"/>
  <c r="K26" i="41" s="1"/>
  <c r="H25" i="41"/>
  <c r="K25" i="41" s="1"/>
  <c r="H24" i="41"/>
  <c r="K24" i="41" s="1"/>
  <c r="H23" i="41"/>
  <c r="K23" i="41" s="1"/>
  <c r="H22" i="41"/>
  <c r="K22" i="41" s="1"/>
  <c r="H21" i="41"/>
  <c r="K21" i="41" s="1"/>
  <c r="H20" i="41"/>
  <c r="K20" i="41" s="1"/>
  <c r="H19" i="41"/>
  <c r="K19" i="41" s="1"/>
  <c r="F18" i="41"/>
  <c r="J17" i="41" l="1"/>
  <c r="K17" i="41" s="1"/>
  <c r="F28" i="41"/>
  <c r="F29" i="41" s="1"/>
  <c r="H84" i="41"/>
  <c r="K84" i="41" s="1"/>
  <c r="F27" i="41"/>
  <c r="H27" i="41" s="1"/>
  <c r="K27" i="41" s="1"/>
  <c r="F31" i="41"/>
  <c r="J31" i="41" s="1"/>
  <c r="K31" i="41" s="1"/>
  <c r="J18" i="41"/>
  <c r="K18" i="41" s="1"/>
  <c r="F30" i="41" l="1"/>
  <c r="H30" i="41" s="1"/>
  <c r="K30" i="41" s="1"/>
  <c r="H29" i="41"/>
  <c r="K29" i="41" s="1"/>
  <c r="J28" i="41"/>
  <c r="K28" i="41" s="1"/>
  <c r="H88" i="41" l="1"/>
  <c r="K88" i="41" s="1"/>
  <c r="J16" i="41" l="1"/>
  <c r="J89" i="41" s="1"/>
  <c r="J91" i="41" s="1"/>
  <c r="J90" i="41" s="1"/>
  <c r="H16" i="41"/>
  <c r="K16" i="41" l="1"/>
  <c r="H89" i="41"/>
  <c r="K89" i="41" l="1"/>
  <c r="H91" i="41"/>
  <c r="H90" i="41" s="1"/>
  <c r="K90" i="41" l="1"/>
  <c r="K91" i="41" s="1"/>
</calcChain>
</file>

<file path=xl/comments1.xml><?xml version="1.0" encoding="utf-8"?>
<comments xmlns="http://schemas.openxmlformats.org/spreadsheetml/2006/main">
  <authors>
    <author>Автор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 і 7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мк каркас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кріп. П-1, П-10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>Елена Ильченко
вузол ЗБ пл +сендвіч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 і 7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мк каркас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кріп. П-1, П-10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>Елена Ильченко
вузол ЗБ пл +сендвіч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вузол спок та сенвіч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вузол парапету</t>
        </r>
      </text>
    </comment>
  </commentList>
</comments>
</file>

<file path=xl/sharedStrings.xml><?xml version="1.0" encoding="utf-8"?>
<sst xmlns="http://schemas.openxmlformats.org/spreadsheetml/2006/main" count="534" uniqueCount="211">
  <si>
    <t>Додаток 3.1</t>
  </si>
  <si>
    <t>Генеральному підряднику: ТОВ "ЗАЛІЗОБУД"</t>
  </si>
  <si>
    <t>КОМЕРЦІЙНА ПРОПОЗИЦІЯ</t>
  </si>
  <si>
    <t xml:space="preserve">на виконання комплексу робіт </t>
  </si>
  <si>
    <t>по влаштуванню навісних стінових сендвіч-панелей та парапетних накривків фасаду Е-01 секції 00104</t>
  </si>
  <si>
    <t>на об'єкті: «Будівництво торгово-розважального і спортивно-оздоровчого комплексу з підземним паркінгом, кінотеатром та житловими будинками з вбудовано-прибудованими приміщеннями за адресою: вул. Васильківська,1 у Голосіївському районі м. Києва»</t>
  </si>
  <si>
    <t>(дата подачі пропозиції)</t>
  </si>
  <si>
    <t xml:space="preserve">1. Ми, </t>
  </si>
  <si>
    <t>(найменування організації)</t>
  </si>
  <si>
    <t xml:space="preserve">№ </t>
  </si>
  <si>
    <t>Найменування робіт, матеріалів та механізмів</t>
  </si>
  <si>
    <t>Код за ДК 016:2010</t>
  </si>
  <si>
    <t>Од. вим.</t>
  </si>
  <si>
    <t>Норма витрат</t>
  </si>
  <si>
    <t>Кіл-ть</t>
  </si>
  <si>
    <t>Вартість матеріалів та механізмів,
грн. (без ПДВ)</t>
  </si>
  <si>
    <r>
      <t>Вартість</t>
    </r>
    <r>
      <rPr>
        <b/>
        <i/>
        <sz val="11"/>
        <rFont val="Calibri"/>
        <family val="2"/>
        <charset val="204"/>
        <scheme val="minor"/>
      </rPr>
      <t xml:space="preserve"> робіт</t>
    </r>
    <r>
      <rPr>
        <i/>
        <sz val="11"/>
        <rFont val="Calibri"/>
        <family val="2"/>
        <charset val="204"/>
        <scheme val="minor"/>
      </rPr>
      <t>,
грн. (без ПДВ)</t>
    </r>
  </si>
  <si>
    <t>Всього,
грн. (без ПДВ)</t>
  </si>
  <si>
    <t>Ціна, за одиницю</t>
  </si>
  <si>
    <t>Вартість,
всього</t>
  </si>
  <si>
    <t>1</t>
  </si>
  <si>
    <t xml:space="preserve">Комплекс робіт по влаштуванню сендвіч-панелей в/о (7-15/1)/А на відмітках з -0,320 до +15,990
(Е-01) </t>
  </si>
  <si>
    <t>0</t>
  </si>
  <si>
    <t>Адаптація проєктних рішень</t>
  </si>
  <si>
    <t>м2</t>
  </si>
  <si>
    <t>1.1</t>
  </si>
  <si>
    <t>Виготовлення підконструкції з чорного металу С255</t>
  </si>
  <si>
    <t>т</t>
  </si>
  <si>
    <t>1.1.1</t>
  </si>
  <si>
    <t>Труба сталева 60х60х3мм</t>
  </si>
  <si>
    <t>5,3</t>
  </si>
  <si>
    <t>1.1.2</t>
  </si>
  <si>
    <t xml:space="preserve">Труба сталева 80х80х3мм </t>
  </si>
  <si>
    <t>7,15</t>
  </si>
  <si>
    <t>1.1.3</t>
  </si>
  <si>
    <t xml:space="preserve">Труба сталева 200х100х4мм </t>
  </si>
  <si>
    <t>18,12</t>
  </si>
  <si>
    <t>1.1.4</t>
  </si>
  <si>
    <t>Труба сталева 100х100х3мм</t>
  </si>
  <si>
    <t>9</t>
  </si>
  <si>
    <t>1.1.5</t>
  </si>
  <si>
    <t>Труба сталева 160х80х3мм</t>
  </si>
  <si>
    <t>11,16</t>
  </si>
  <si>
    <t>1.1.6</t>
  </si>
  <si>
    <t xml:space="preserve">Швелер сталевий 180х60х4 </t>
  </si>
  <si>
    <t>8,95</t>
  </si>
  <si>
    <t>1.1.7</t>
  </si>
  <si>
    <t>Прокат листовий гарячекатаний 6мм</t>
  </si>
  <si>
    <t>47,3</t>
  </si>
  <si>
    <t>1.1.8</t>
  </si>
  <si>
    <t xml:space="preserve">Прокат листовий гарячекатаний 8мм </t>
  </si>
  <si>
    <t>63</t>
  </si>
  <si>
    <t>1.1.9</t>
  </si>
  <si>
    <t>Електроди</t>
  </si>
  <si>
    <t>кг</t>
  </si>
  <si>
    <t>1.2</t>
  </si>
  <si>
    <t>Грунтування підконструкції з чорного металу за два рази</t>
  </si>
  <si>
    <t>1.2.1</t>
  </si>
  <si>
    <t>Грунтовка ГФ-021</t>
  </si>
  <si>
    <t>1.2.2</t>
  </si>
  <si>
    <t>Розчинник</t>
  </si>
  <si>
    <t>л</t>
  </si>
  <si>
    <t>1.3</t>
  </si>
  <si>
    <t>Монтаж підконструкції з чорного металу</t>
  </si>
  <si>
    <t>1.3.1</t>
  </si>
  <si>
    <t>ЕТDK Анкер М12х120/45 одноконус</t>
  </si>
  <si>
    <t>шт</t>
  </si>
  <si>
    <t>1.4</t>
  </si>
  <si>
    <t>Монтаж панелей, з очищенням від захисної плівки</t>
  </si>
  <si>
    <t>1.5.1</t>
  </si>
  <si>
    <t>Гвинт по металу 5.5/6.3*185 DIN 750K RAL 7016 matt</t>
  </si>
  <si>
    <t>26 шт решітка ов</t>
  </si>
  <si>
    <t>1.5.3</t>
  </si>
  <si>
    <t>Герметик силіконовий DOW CORNING 791, 300мл</t>
  </si>
  <si>
    <t>1.5.4</t>
  </si>
  <si>
    <t xml:space="preserve">Стрічка підкладочна 3х30 </t>
  </si>
  <si>
    <t>м.п.</t>
  </si>
  <si>
    <t>1.5.5</t>
  </si>
  <si>
    <r>
      <t xml:space="preserve">Стінова сендвіч-панель (наповнювач - мінеральна вата), товщин. 150 мм </t>
    </r>
    <r>
      <rPr>
        <b/>
        <i/>
        <sz val="11"/>
        <color theme="1"/>
        <rFont val="Calibri"/>
        <family val="2"/>
        <charset val="204"/>
        <scheme val="minor"/>
      </rPr>
      <t>RAL 9016, L=3,5м</t>
    </r>
  </si>
  <si>
    <t>1.5.6</t>
  </si>
  <si>
    <r>
      <t xml:space="preserve">Стінова сендвіч-панель (наповнювач - мінеральна вата), товщин. 150 мм </t>
    </r>
    <r>
      <rPr>
        <b/>
        <i/>
        <sz val="11"/>
        <color theme="1"/>
        <rFont val="Calibri"/>
        <family val="2"/>
        <charset val="204"/>
        <scheme val="minor"/>
      </rPr>
      <t>RAL 7016, L=7м</t>
    </r>
  </si>
  <si>
    <t>1.6</t>
  </si>
  <si>
    <r>
      <t xml:space="preserve">Виготовлення та монтаж фасонних елементів примикань ВЕРХ </t>
    </r>
    <r>
      <rPr>
        <b/>
        <sz val="11"/>
        <color rgb="FF00B050"/>
        <rFont val="Calibri"/>
        <family val="2"/>
        <charset val="204"/>
        <scheme val="minor"/>
      </rPr>
      <t>(внутрішніх горизонтальних)</t>
    </r>
    <r>
      <rPr>
        <b/>
        <sz val="1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</si>
  <si>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>1.7</t>
  </si>
  <si>
    <r>
      <t xml:space="preserve">Виготовлення та монтаж фасонних елементів примикань ВЕРХ </t>
    </r>
    <r>
      <rPr>
        <b/>
        <sz val="11"/>
        <color rgb="FF00B050"/>
        <rFont val="Calibri"/>
        <family val="2"/>
        <charset val="204"/>
        <scheme val="minor"/>
      </rPr>
      <t>(внутрішніх вертикальних)</t>
    </r>
    <r>
      <rPr>
        <b/>
        <sz val="1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</si>
  <si>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>1.8</t>
  </si>
  <si>
    <r>
      <t xml:space="preserve">Виготовлення та монтаж фасонних елементів примикань ВЕРХ </t>
    </r>
    <r>
      <rPr>
        <b/>
        <sz val="11"/>
        <color rgb="FF00B050"/>
        <rFont val="Calibri"/>
        <family val="2"/>
        <charset val="204"/>
        <scheme val="minor"/>
      </rPr>
      <t>(зовнішніх горизонтальних)</t>
    </r>
    <r>
      <rPr>
        <b/>
        <sz val="1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</si>
  <si>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>1.9</t>
  </si>
  <si>
    <r>
      <t xml:space="preserve">Виготовлення та монтаж фасонних елементів примикань ВЕРХ </t>
    </r>
    <r>
      <rPr>
        <b/>
        <sz val="11"/>
        <color rgb="FF00B050"/>
        <rFont val="Calibri"/>
        <family val="2"/>
        <charset val="204"/>
        <scheme val="minor"/>
      </rPr>
      <t>(зовнішніх вертикальних)</t>
    </r>
    <r>
      <rPr>
        <b/>
        <sz val="1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</si>
  <si>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>1.10</t>
  </si>
  <si>
    <r>
      <t>Виготовлення та монтаж фасонних елементів примикань НИЗ</t>
    </r>
    <r>
      <rPr>
        <b/>
        <sz val="11"/>
        <color rgb="FF00B050"/>
        <rFont val="Calibri"/>
        <family val="2"/>
        <charset val="204"/>
        <scheme val="minor"/>
      </rPr>
      <t xml:space="preserve"> (внутрішніх горизонтальних) </t>
    </r>
    <r>
      <rPr>
        <b/>
        <sz val="11"/>
        <color theme="1"/>
        <rFont val="Calibri"/>
        <family val="2"/>
        <charset val="204"/>
        <scheme val="minor"/>
      </rPr>
      <t>з зачеканюванням ватою, запіненням та герметизацією</t>
    </r>
  </si>
  <si>
    <t>1.11</t>
  </si>
  <si>
    <r>
      <t xml:space="preserve">Виготовлення та монтаж фасонних елементів примикань НИЗ </t>
    </r>
    <r>
      <rPr>
        <b/>
        <sz val="11"/>
        <color rgb="FF00B050"/>
        <rFont val="Calibri"/>
        <family val="2"/>
        <charset val="204"/>
        <scheme val="minor"/>
      </rPr>
      <t>(внутрішніх вертикальних)</t>
    </r>
    <r>
      <rPr>
        <b/>
        <sz val="11"/>
        <color theme="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</si>
  <si>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>1.12</t>
  </si>
  <si>
    <r>
      <t xml:space="preserve">Виготовлення та монтаж фасонних елементів примикань НИЗ  </t>
    </r>
    <r>
      <rPr>
        <b/>
        <sz val="11"/>
        <color rgb="FF00B050"/>
        <rFont val="Calibri"/>
        <family val="2"/>
        <charset val="204"/>
        <scheme val="minor"/>
      </rPr>
      <t>(зовнішніх горизонтальних)</t>
    </r>
    <r>
      <rPr>
        <b/>
        <sz val="11"/>
        <color theme="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</si>
  <si>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>1.13</t>
  </si>
  <si>
    <r>
      <t>Виготовлення та монтаж фасонних елементів примикань НИЗ</t>
    </r>
    <r>
      <rPr>
        <b/>
        <sz val="11"/>
        <color rgb="FF00B050"/>
        <rFont val="Calibri"/>
        <family val="2"/>
        <charset val="204"/>
        <scheme val="minor"/>
      </rPr>
      <t xml:space="preserve"> (зовнішніх вертикальних) </t>
    </r>
    <r>
      <rPr>
        <b/>
        <sz val="11"/>
        <color theme="1"/>
        <rFont val="Calibri"/>
        <family val="2"/>
        <charset val="204"/>
        <scheme val="minor"/>
      </rPr>
      <t>з зачеканюванням ватою, запіненням та герметизацією</t>
    </r>
  </si>
  <si>
    <t>1.14</t>
  </si>
  <si>
    <r>
      <t xml:space="preserve">Виготовлення та монтаж фасонних елементів примикань </t>
    </r>
    <r>
      <rPr>
        <b/>
        <sz val="11"/>
        <color rgb="FF00B050"/>
        <rFont val="Calibri"/>
        <family val="2"/>
        <charset val="204"/>
        <scheme val="minor"/>
      </rPr>
      <t>(внутрішніх та зовнішніх)</t>
    </r>
    <r>
      <rPr>
        <b/>
        <sz val="11"/>
        <rFont val="Calibri"/>
        <family val="2"/>
        <charset val="204"/>
        <scheme val="minor"/>
      </rPr>
      <t xml:space="preserve"> з зачеканюванням ватою, запіненням та герметизацією</t>
    </r>
  </si>
  <si>
    <t xml:space="preserve">м п </t>
  </si>
  <si>
    <t>1.14.1</t>
  </si>
  <si>
    <t>Мінераловатний утеплювач Isovat 75-80 FG/50, товщ.50мм</t>
  </si>
  <si>
    <t>1.14.2</t>
  </si>
  <si>
    <t>Мінераловатний утеплювач Isovat 125-135 /100, товщ.100мм</t>
  </si>
  <si>
    <t>1.14.3</t>
  </si>
  <si>
    <t>Гвинт самонарізний (ТЕХ) + шайба EPDM 4.8-19 DIN 7504K, RAL 7016 matt</t>
  </si>
  <si>
    <t>1.14.4</t>
  </si>
  <si>
    <t>Саморіз ПШ 4,2*13</t>
  </si>
  <si>
    <t>1.14.5</t>
  </si>
  <si>
    <t>Саморіз ПШ 4,8*19</t>
  </si>
  <si>
    <t>1.14.6</t>
  </si>
  <si>
    <t>Заклепка відривна 4,0*12 А1/А1 RAL 9016 matt</t>
  </si>
  <si>
    <t>Решітка ОВ + по гориз. Верх парапет</t>
  </si>
  <si>
    <t>1.14.7</t>
  </si>
  <si>
    <t>Заклепка відривна 4,0*12 А1/А1 RAL 7016 matt</t>
  </si>
  <si>
    <t>Решітка ОВ</t>
  </si>
  <si>
    <t>1.14.8</t>
  </si>
  <si>
    <t>Дюбель забивний поліпропіленовий грибок 6*80</t>
  </si>
  <si>
    <t>1.14.9</t>
  </si>
  <si>
    <t>1.14.10</t>
  </si>
  <si>
    <t>Піна монтажна НГ 700мл</t>
  </si>
  <si>
    <t>бал</t>
  </si>
  <si>
    <t>1.14.11</t>
  </si>
  <si>
    <t>Супердифузійна гідроізоляційна мембрана</t>
  </si>
  <si>
    <t>1.14.12</t>
  </si>
  <si>
    <r>
      <t>Кутик алюмінієвий 40*40*2</t>
    </r>
    <r>
      <rPr>
        <b/>
        <i/>
        <sz val="11"/>
        <color theme="1"/>
        <rFont val="Calibri"/>
        <family val="2"/>
        <charset val="204"/>
        <scheme val="minor"/>
      </rPr>
      <t xml:space="preserve"> RAL 7016 matt</t>
    </r>
  </si>
  <si>
    <t>1.14.13</t>
  </si>
  <si>
    <r>
      <t xml:space="preserve">Листовий метал для  фасонних елементів  товщ. 0,5мм, </t>
    </r>
    <r>
      <rPr>
        <b/>
        <i/>
        <sz val="11"/>
        <color theme="1"/>
        <rFont val="Calibri"/>
        <family val="2"/>
        <charset val="204"/>
        <scheme val="minor"/>
      </rPr>
      <t xml:space="preserve">RAL 7016 matt </t>
    </r>
  </si>
  <si>
    <t>1.14.15</t>
  </si>
  <si>
    <t xml:space="preserve"> Листовий метал для  фасонних елементів  товщ. 0,5мм, цинк</t>
  </si>
  <si>
    <t>Решітка ОВ + по зб плиті</t>
  </si>
  <si>
    <t>1.14.16</t>
  </si>
  <si>
    <r>
      <t xml:space="preserve">Полоса алюмінієва шир. 100мм, товщ. 1.5мм, 
</t>
    </r>
    <r>
      <rPr>
        <b/>
        <i/>
        <sz val="11"/>
        <color theme="1"/>
        <rFont val="Calibri"/>
        <family val="2"/>
        <charset val="204"/>
        <scheme val="minor"/>
      </rPr>
      <t>RAL 7016 matt</t>
    </r>
  </si>
  <si>
    <t>2</t>
  </si>
  <si>
    <t>Металеві конструкції фасаду Е-01 в/о (7-15/1)/А на відмітці +15,990</t>
  </si>
  <si>
    <t>2.1</t>
  </si>
  <si>
    <t>Виготовлення та монтаж підсистеми(каркасу) для парапетних накривок</t>
  </si>
  <si>
    <t>2.1.1</t>
  </si>
  <si>
    <t>Оцинкований куточок 50х50х1.5мм</t>
  </si>
  <si>
    <t>мп</t>
  </si>
  <si>
    <t>2.1.2</t>
  </si>
  <si>
    <t>Оцинкований омега профіль 20х20х60х20х29х1.0мм</t>
  </si>
  <si>
    <t>2.1.3</t>
  </si>
  <si>
    <t>Гвинт з свердлом 4.2х32мм</t>
  </si>
  <si>
    <t>2.1.4</t>
  </si>
  <si>
    <t>Гвинт з подовженим свердлом 5.5х38мм</t>
  </si>
  <si>
    <t>2.2</t>
  </si>
  <si>
    <t>Виготовлення та монтаж парапетних накривок зі стоячим фальцем (в т.ч. герметизація)</t>
  </si>
  <si>
    <t>2.2.1</t>
  </si>
  <si>
    <t>Метал з полімерним покриттям RAL 7016</t>
  </si>
  <si>
    <t>Клямер</t>
  </si>
  <si>
    <t>1.2.3</t>
  </si>
  <si>
    <t>Гвинт з свердлом 4.2х19мм</t>
  </si>
  <si>
    <t>1.2.4</t>
  </si>
  <si>
    <t>Заклепка 4.0х10мм</t>
  </si>
  <si>
    <t>Оренда вакуумного захвату</t>
  </si>
  <si>
    <t>доба</t>
  </si>
  <si>
    <t>Оренда генератора</t>
  </si>
  <si>
    <t>Оренда підіймача самохідного колісного JLG модель 800 AJ</t>
  </si>
  <si>
    <t>маш/зм</t>
  </si>
  <si>
    <t>Оренда автокрана 25т/32м</t>
  </si>
  <si>
    <t>Оренда підйомника НА41РХ</t>
  </si>
  <si>
    <t>дн</t>
  </si>
  <si>
    <t>Дизпаливо для роботи підйомника НА41РХ</t>
  </si>
  <si>
    <t>1.15</t>
  </si>
  <si>
    <t>Бензин для роботи генератора</t>
  </si>
  <si>
    <t>1.16</t>
  </si>
  <si>
    <t>Оренда підйомника Megni ES 1612</t>
  </si>
  <si>
    <t>1.17</t>
  </si>
  <si>
    <t>Оренда крана маніпулятора Palfinger PK21000</t>
  </si>
  <si>
    <t>Всього грн., без ПДВ</t>
  </si>
  <si>
    <t>ПДВ 20%</t>
  </si>
  <si>
    <t>Всього, з ПДВ</t>
  </si>
  <si>
    <r>
      <rPr>
        <b/>
        <sz val="11"/>
        <rFont val="Calibri"/>
        <family val="2"/>
        <charset val="204"/>
        <scheme val="minor"/>
      </rPr>
      <t>Примітки:</t>
    </r>
    <r>
      <rPr>
        <sz val="11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>1. Вартість робіт в договірній ціні включає:</t>
    </r>
    <r>
      <rPr>
        <sz val="11"/>
        <rFont val="Calibri"/>
        <family val="2"/>
        <charset val="204"/>
        <scheme val="minor"/>
      </rPr>
      <t xml:space="preserve">
- Всі витрати Підрядника на заробітну плату, загальновиробничі та адміністративні витрати, прибуток, вартість експлуатації і перебазування машин, механізмів та засобів малої механізації, інструмент, заготівельно-складські витрати на матеріали, обладнання і оснастки, вартість витратних, паливно-мастильних матеріалів, геодезичний супровід процесу виконання робіт та лабораторні випробування; дрібні, допоміжні та супутні операції необхідні для виконання робіт;
- Вартість тимчасових мереж електро та водопостачання (від точки підключення), освітлення місць проведення робіт;
- Засоби колективного захисту, заходи з охорони праці та з пожежної безпеки.
- Вартість та експлуатацію захисних огороджувальних конструкцій та систем;
- Розробка ПВР;
- Вартість монтажу, амортизації та/або оренди засобів підмощування (підмощування, риштування, драбини, тури тощо);
- Вартість автомобільних кранів, ліктьових та ножичних підйомників, інших механізмів необхідних для виконання комплексу робіт;
- Доставка (перенесення) матеріалів від місця складування до місця укладки та їх подача на засоби підмощування, риштування, драбини, тури тощо.
</t>
    </r>
    <r>
      <rPr>
        <b/>
        <sz val="11"/>
        <rFont val="Calibri"/>
        <family val="2"/>
        <charset val="204"/>
        <scheme val="minor"/>
      </rPr>
      <t>2. Вартість робіт в договірній ціні не включає:</t>
    </r>
    <r>
      <rPr>
        <sz val="11"/>
        <rFont val="Calibri"/>
        <family val="2"/>
        <charset val="204"/>
        <scheme val="minor"/>
      </rPr>
      <t xml:space="preserve">
- Тимчасове використання електроенергії та водопостачання.
</t>
    </r>
    <r>
      <rPr>
        <b/>
        <sz val="11"/>
        <rFont val="Calibri"/>
        <family val="2"/>
        <charset val="204"/>
        <scheme val="minor"/>
      </rPr>
      <t>3. Вартість матеріалів врахована з доставкою на об'єкт та буде погоджуватись сторонами додатково на момент закупівлі.</t>
    </r>
  </si>
  <si>
    <t xml:space="preserve">  2. Строк виконання комплексу робіт ________ календарних днів, з моменту укладення договору та перерахування авансу.</t>
  </si>
  <si>
    <t xml:space="preserve">  3. Умови оплати –  аванс у розмірі 100% від вартості матеріалів та 20% від вартості робіт по угоді, згідног погодженого Сторонами графіку виконання та фінансування.</t>
  </si>
  <si>
    <r>
      <t xml:space="preserve">  4. Вид договірної ціни – ___</t>
    </r>
    <r>
      <rPr>
        <b/>
        <sz val="11"/>
        <color theme="1"/>
        <rFont val="Calibri"/>
        <family val="2"/>
        <charset val="204"/>
        <scheme val="minor"/>
      </rPr>
      <t>тверда</t>
    </r>
    <r>
      <rPr>
        <sz val="11"/>
        <color theme="1"/>
        <rFont val="Calibri"/>
        <family val="2"/>
        <scheme val="minor"/>
      </rPr>
      <t>___ (тверда, динамічна)</t>
    </r>
  </si>
  <si>
    <t xml:space="preserve">  5. Термін дії пропозиції, до _____________.</t>
  </si>
  <si>
    <t xml:space="preserve">  6. Якщо наша пропозиція буде акцептована, ми візьмемо на себе зобов'язання виконати всі умови, передбачені умовами договору (Додаток 4 до тендерної документації).</t>
  </si>
  <si>
    <t xml:space="preserve">  7. Контактна особа __________________________________________________________________ (ПІБ, мобільний, е-mail). </t>
  </si>
  <si>
    <t>Додатки:
1. Копії ліцензії та дозволу на виконання робіт, довідка зі статистики (код ДК 016:2010 повинен відповідити видам діяльності по ліцензії), якщо такі вимагаються діючими нормативними документами України.</t>
  </si>
  <si>
    <t>Директор</t>
  </si>
  <si>
    <t>(підпис, печатка)</t>
  </si>
  <si>
    <t>(Прізвище та ініціали)</t>
  </si>
  <si>
    <t>(повна назва організації)</t>
  </si>
  <si>
    <r>
      <t xml:space="preserve">влаштуванню </t>
    </r>
    <r>
      <rPr>
        <sz val="11"/>
        <color rgb="FFFF0000"/>
        <rFont val="Calibri"/>
        <family val="2"/>
        <charset val="204"/>
        <scheme val="minor"/>
      </rPr>
      <t>металоконструкцій</t>
    </r>
  </si>
  <si>
    <r>
      <t xml:space="preserve">Стінова сендвіч-панель (наповнювач - мінеральна вата), товщин. 150 мм </t>
    </r>
    <r>
      <rPr>
        <b/>
        <i/>
        <sz val="11"/>
        <color theme="1"/>
        <rFont val="Calibri"/>
        <family val="2"/>
        <charset val="204"/>
        <scheme val="minor"/>
      </rPr>
      <t>RAL 7016, L=8,4м</t>
    </r>
  </si>
  <si>
    <t>Виготовлення та монтаж фасонних елементів примикань НИЗ (внутрішніх горизонтальних) з зачеканюванням ватою, запіненням та герметизацією</t>
  </si>
  <si>
    <t>Виготовлення та монтаж фасонних елементів примикань НИЗ (внутрішніх вертикальних) з зачеканюванням ватою, запіненням та герметизацією</t>
  </si>
  <si>
    <t>Виготовлення та монтаж фасонних елементів примикань НИЗ  (зовнішніх горизонтальних) з зачеканюванням ватою, запіненням та герметизацією</t>
  </si>
  <si>
    <t>Виготовлення та монтаж фасонних елементів примикань НИЗ (зовнішніх вертикальних) з зачеканюванням ватою, запіненням та герметизацією</t>
  </si>
  <si>
    <t>Кутик алюмінієвий 40*40*2 RAL 7016 matt</t>
  </si>
  <si>
    <t>П-9 Листовий метал для  фасонних елементів  товщ. 0,5мм,RAL 7016 matt 150мм</t>
  </si>
  <si>
    <t>1.14.14</t>
  </si>
  <si>
    <t>П-8.1 Листовий метал для  фасонних елементів  товщ. 0,5мм,RAL 7016 matt</t>
  </si>
  <si>
    <t xml:space="preserve"> П-8 Листовий метал для  фасонних елементів  товщ. 0,5мм, цинк</t>
  </si>
  <si>
    <t>Полоса алюмінієва шир. 100мм, товщ. 1.5мм, RAL 7016 matt</t>
  </si>
  <si>
    <t>1.14.17</t>
  </si>
  <si>
    <t xml:space="preserve"> П -1 Декор накладка оцинкована 0,5мм
RAL7016 mat</t>
  </si>
  <si>
    <t>1.14.18</t>
  </si>
  <si>
    <t>П-10 Декор накладка</t>
  </si>
  <si>
    <t>Металеві конструкції фасаду Е-01.05 в осях А-С/7 на відмітці +14,220</t>
  </si>
  <si>
    <t>№</t>
  </si>
  <si>
    <t>Позиція</t>
  </si>
  <si>
    <t>Матеріал</t>
  </si>
  <si>
    <t>кількість</t>
  </si>
  <si>
    <t>м2/1 шт</t>
  </si>
  <si>
    <t>55; 62</t>
  </si>
  <si>
    <r>
      <t xml:space="preserve">Стінова сендвіч-панель (наповнювач - мінеральна вата), товщин. 150 мм </t>
    </r>
    <r>
      <rPr>
        <b/>
        <i/>
        <sz val="11"/>
        <color rgb="FF00B050"/>
        <rFont val="Calibri"/>
        <family val="2"/>
        <charset val="204"/>
        <scheme val="minor"/>
      </rPr>
      <t>RAL 9016</t>
    </r>
    <r>
      <rPr>
        <b/>
        <i/>
        <sz val="11"/>
        <color theme="1"/>
        <rFont val="Calibri"/>
        <family val="2"/>
        <charset val="204"/>
        <scheme val="minor"/>
      </rPr>
      <t>, L=3,5м, b=1,18м</t>
    </r>
    <r>
      <rPr>
        <i/>
        <sz val="11"/>
        <color theme="1"/>
        <rFont val="Calibri"/>
        <family val="2"/>
        <charset val="204"/>
        <scheme val="minor"/>
      </rPr>
      <t xml:space="preserve">
</t>
    </r>
    <r>
      <rPr>
        <i/>
        <sz val="11"/>
        <color rgb="FFFF0000"/>
        <rFont val="Calibri"/>
        <family val="2"/>
        <charset val="204"/>
        <scheme val="minor"/>
      </rPr>
      <t>включено 3 шт гнутих панелей</t>
    </r>
  </si>
  <si>
    <t>7; 3</t>
  </si>
  <si>
    <r>
      <t xml:space="preserve">Стінова сендвіч-панель (наповнювач - мінеральна вата), товщин. 150 мм </t>
    </r>
    <r>
      <rPr>
        <b/>
        <i/>
        <sz val="11"/>
        <color rgb="FF00B050"/>
        <rFont val="Calibri"/>
        <family val="2"/>
        <charset val="204"/>
        <scheme val="minor"/>
      </rPr>
      <t>RAL 7016</t>
    </r>
    <r>
      <rPr>
        <b/>
        <i/>
        <sz val="11"/>
        <color theme="1"/>
        <rFont val="Calibri"/>
        <family val="2"/>
        <charset val="204"/>
        <scheme val="minor"/>
      </rPr>
      <t>, L=7м</t>
    </r>
    <r>
      <rPr>
        <i/>
        <sz val="11"/>
        <color theme="1"/>
        <rFont val="Calibri"/>
        <family val="2"/>
        <charset val="204"/>
        <scheme val="minor"/>
      </rPr>
      <t>,</t>
    </r>
    <r>
      <rPr>
        <b/>
        <i/>
        <sz val="11"/>
        <color theme="1"/>
        <rFont val="Calibri"/>
        <family val="2"/>
        <charset val="204"/>
        <scheme val="minor"/>
      </rPr>
      <t xml:space="preserve"> b=1,18м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</si>
</sst>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C22]d\ mmmm\ yyyy&quot; р.&quot;;@"/>
    <numFmt numFmtId="167" formatCode="#,##0.0000"/>
    <numFmt numFmtId="168" formatCode="#,##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i/>
      <sz val="11"/>
      <color theme="3" tint="0.39997558519241921"/>
      <name val="Calibri"/>
      <family val="2"/>
      <charset val="204"/>
      <scheme val="minor"/>
    </font>
    <font>
      <b/>
      <sz val="12"/>
      <color theme="3" tint="0.3999755851924192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3" tint="0.39997558519241921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5" fillId="0" borderId="0" applyFont="0" applyFill="0" applyBorder="0" applyAlignment="0" applyProtection="0"/>
    <xf numFmtId="0" fontId="25" fillId="0" borderId="0">
      <alignment horizontal="left"/>
    </xf>
    <xf numFmtId="0" fontId="4" fillId="0" borderId="0"/>
    <xf numFmtId="0" fontId="26" fillId="0" borderId="0"/>
    <xf numFmtId="0" fontId="27" fillId="0" borderId="0"/>
  </cellStyleXfs>
  <cellXfs count="233">
    <xf numFmtId="0" fontId="0" fillId="0" borderId="0" xfId="0"/>
    <xf numFmtId="0" fontId="8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righ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4" fontId="13" fillId="4" borderId="12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 wrapText="1"/>
    </xf>
    <xf numFmtId="4" fontId="11" fillId="4" borderId="7" xfId="2" applyNumberFormat="1" applyFont="1" applyFill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horizontal="center" vertical="center" wrapText="1"/>
    </xf>
    <xf numFmtId="4" fontId="15" fillId="4" borderId="3" xfId="2" applyNumberFormat="1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8" fillId="4" borderId="17" xfId="0" applyNumberFormat="1" applyFont="1" applyFill="1" applyBorder="1" applyAlignment="1">
      <alignment horizontal="center" vertical="center" wrapText="1"/>
    </xf>
    <xf numFmtId="49" fontId="12" fillId="4" borderId="16" xfId="0" applyNumberFormat="1" applyFont="1" applyFill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9" fontId="8" fillId="4" borderId="21" xfId="0" applyNumberFormat="1" applyFont="1" applyFill="1" applyBorder="1" applyAlignment="1">
      <alignment horizontal="center" vertical="center" wrapText="1"/>
    </xf>
    <xf numFmtId="167" fontId="8" fillId="0" borderId="19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9" fontId="12" fillId="5" borderId="10" xfId="0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left" vertical="center" wrapText="1"/>
    </xf>
    <xf numFmtId="49" fontId="12" fillId="5" borderId="28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" fontId="12" fillId="5" borderId="22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horizontal="righ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>
      <alignment horizontal="right" vertical="center" wrapText="1"/>
    </xf>
    <xf numFmtId="4" fontId="15" fillId="0" borderId="15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68" fontId="11" fillId="0" borderId="5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right" vertical="center"/>
    </xf>
    <xf numFmtId="49" fontId="14" fillId="0" borderId="18" xfId="0" applyNumberFormat="1" applyFont="1" applyBorder="1" applyAlignment="1">
      <alignment horizontal="right" vertical="center" wrapText="1"/>
    </xf>
    <xf numFmtId="49" fontId="14" fillId="0" borderId="6" xfId="0" applyNumberFormat="1" applyFont="1" applyBorder="1" applyAlignment="1">
      <alignment horizontal="right" vertical="center" wrapText="1"/>
    </xf>
    <xf numFmtId="49" fontId="14" fillId="0" borderId="15" xfId="0" applyNumberFormat="1" applyFont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49" fontId="10" fillId="0" borderId="18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9" fontId="9" fillId="3" borderId="15" xfId="0" applyNumberFormat="1" applyFont="1" applyFill="1" applyBorder="1" applyAlignment="1">
      <alignment horizontal="left" vertical="center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" fontId="11" fillId="3" borderId="19" xfId="0" applyNumberFormat="1" applyFont="1" applyFill="1" applyBorder="1" applyAlignment="1">
      <alignment horizontal="right" vertical="center" wrapText="1"/>
    </xf>
    <xf numFmtId="4" fontId="11" fillId="3" borderId="5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" xfId="0" applyNumberFormat="1" applyFont="1" applyFill="1" applyBorder="1" applyAlignment="1">
      <alignment horizontal="right" vertical="center" wrapText="1"/>
    </xf>
    <xf numFmtId="4" fontId="15" fillId="3" borderId="15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4" fontId="11" fillId="0" borderId="8" xfId="0" applyNumberFormat="1" applyFont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49" fontId="30" fillId="0" borderId="15" xfId="0" applyNumberFormat="1" applyFont="1" applyBorder="1" applyAlignment="1">
      <alignment horizontal="right" vertical="center" wrapText="1"/>
    </xf>
    <xf numFmtId="49" fontId="30" fillId="0" borderId="18" xfId="0" applyNumberFormat="1" applyFont="1" applyBorder="1" applyAlignment="1">
      <alignment horizontal="right" vertical="center" wrapText="1"/>
    </xf>
    <xf numFmtId="49" fontId="30" fillId="0" borderId="6" xfId="0" applyNumberFormat="1" applyFont="1" applyBorder="1" applyAlignment="1">
      <alignment horizontal="right" vertical="center" wrapText="1"/>
    </xf>
    <xf numFmtId="4" fontId="30" fillId="0" borderId="19" xfId="0" applyNumberFormat="1" applyFont="1" applyBorder="1" applyAlignment="1">
      <alignment horizontal="right" vertical="center" wrapText="1"/>
    </xf>
    <xf numFmtId="4" fontId="30" fillId="0" borderId="5" xfId="0" applyNumberFormat="1" applyFont="1" applyBorder="1" applyAlignment="1">
      <alignment horizontal="right" vertical="center" wrapText="1"/>
    </xf>
    <xf numFmtId="4" fontId="30" fillId="0" borderId="6" xfId="0" applyNumberFormat="1" applyFont="1" applyBorder="1" applyAlignment="1" applyProtection="1">
      <alignment horizontal="right" vertical="center" wrapText="1"/>
      <protection locked="0"/>
    </xf>
    <xf numFmtId="4" fontId="31" fillId="0" borderId="5" xfId="0" applyNumberFormat="1" applyFont="1" applyBorder="1" applyAlignment="1">
      <alignment horizontal="right" vertical="center" wrapText="1"/>
    </xf>
    <xf numFmtId="4" fontId="32" fillId="0" borderId="15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49" fontId="33" fillId="0" borderId="18" xfId="0" applyNumberFormat="1" applyFont="1" applyBorder="1" applyAlignment="1">
      <alignment horizontal="right" vertical="center" wrapText="1"/>
    </xf>
    <xf numFmtId="49" fontId="37" fillId="0" borderId="15" xfId="0" applyNumberFormat="1" applyFont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left" vertical="center" wrapText="1"/>
    </xf>
    <xf numFmtId="49" fontId="37" fillId="0" borderId="18" xfId="0" applyNumberFormat="1" applyFont="1" applyBorder="1" applyAlignment="1">
      <alignment horizontal="center" vertical="center" wrapText="1"/>
    </xf>
    <xf numFmtId="49" fontId="37" fillId="0" borderId="6" xfId="0" applyNumberFormat="1" applyFont="1" applyBorder="1" applyAlignment="1">
      <alignment horizontal="center" vertical="center" wrapText="1"/>
    </xf>
    <xf numFmtId="4" fontId="37" fillId="0" borderId="19" xfId="0" applyNumberFormat="1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wrapText="1"/>
    </xf>
    <xf numFmtId="4" fontId="38" fillId="0" borderId="6" xfId="0" applyNumberFormat="1" applyFont="1" applyBorder="1" applyAlignment="1" applyProtection="1">
      <alignment horizontal="center" vertical="center" wrapText="1"/>
      <protection locked="0"/>
    </xf>
    <xf numFmtId="4" fontId="39" fillId="0" borderId="15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" fontId="40" fillId="3" borderId="0" xfId="0" applyNumberFormat="1" applyFont="1" applyFill="1" applyAlignment="1">
      <alignment horizontal="center" vertical="center" wrapText="1"/>
    </xf>
    <xf numFmtId="4" fontId="14" fillId="0" borderId="19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 applyProtection="1">
      <alignment horizontal="right" vertical="center" wrapText="1"/>
      <protection locked="0"/>
    </xf>
    <xf numFmtId="4" fontId="29" fillId="0" borderId="5" xfId="0" applyNumberFormat="1" applyFont="1" applyBorder="1" applyAlignment="1">
      <alignment horizontal="right" vertical="center" wrapText="1"/>
    </xf>
    <xf numFmtId="4" fontId="17" fillId="0" borderId="15" xfId="0" applyNumberFormat="1" applyFont="1" applyBorder="1" applyAlignment="1">
      <alignment horizontal="right" vertical="center" wrapText="1"/>
    </xf>
    <xf numFmtId="49" fontId="37" fillId="0" borderId="8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4" fontId="41" fillId="0" borderId="5" xfId="0" applyNumberFormat="1" applyFont="1" applyBorder="1" applyAlignment="1">
      <alignment horizontal="center" vertical="center" wrapText="1"/>
    </xf>
    <xf numFmtId="49" fontId="41" fillId="5" borderId="14" xfId="0" applyNumberFormat="1" applyFont="1" applyFill="1" applyBorder="1" applyAlignment="1">
      <alignment horizontal="center" vertical="center" wrapText="1"/>
    </xf>
    <xf numFmtId="49" fontId="41" fillId="5" borderId="14" xfId="0" applyNumberFormat="1" applyFont="1" applyFill="1" applyBorder="1" applyAlignment="1">
      <alignment horizontal="left" vertical="center" wrapText="1"/>
    </xf>
    <xf numFmtId="49" fontId="41" fillId="5" borderId="27" xfId="0" applyNumberFormat="1" applyFont="1" applyFill="1" applyBorder="1" applyAlignment="1">
      <alignment horizontal="center" vertical="center" wrapText="1"/>
    </xf>
    <xf numFmtId="49" fontId="41" fillId="5" borderId="8" xfId="0" applyNumberFormat="1" applyFont="1" applyFill="1" applyBorder="1" applyAlignment="1">
      <alignment horizontal="center" vertical="center" wrapText="1"/>
    </xf>
    <xf numFmtId="4" fontId="41" fillId="5" borderId="20" xfId="0" applyNumberFormat="1" applyFont="1" applyFill="1" applyBorder="1" applyAlignment="1">
      <alignment horizontal="center" vertical="center" wrapText="1"/>
    </xf>
    <xf numFmtId="4" fontId="41" fillId="5" borderId="9" xfId="0" applyNumberFormat="1" applyFont="1" applyFill="1" applyBorder="1" applyAlignment="1">
      <alignment horizontal="center" vertical="center" wrapText="1"/>
    </xf>
    <xf numFmtId="4" fontId="42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41" fillId="5" borderId="14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 applyProtection="1">
      <alignment horizontal="right" vertical="center" wrapText="1"/>
      <protection locked="0"/>
    </xf>
    <xf numFmtId="4" fontId="9" fillId="3" borderId="15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43" fillId="0" borderId="15" xfId="0" applyNumberFormat="1" applyFont="1" applyBorder="1" applyAlignment="1">
      <alignment horizontal="right" vertical="center" wrapText="1"/>
    </xf>
    <xf numFmtId="49" fontId="41" fillId="0" borderId="18" xfId="0" applyNumberFormat="1" applyFont="1" applyBorder="1" applyAlignment="1">
      <alignment horizontal="center" vertical="center" wrapText="1"/>
    </xf>
    <xf numFmtId="49" fontId="43" fillId="0" borderId="6" xfId="0" applyNumberFormat="1" applyFont="1" applyBorder="1" applyAlignment="1">
      <alignment horizontal="right" vertical="center" wrapText="1"/>
    </xf>
    <xf numFmtId="168" fontId="41" fillId="3" borderId="19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Border="1" applyAlignment="1" applyProtection="1">
      <alignment horizontal="right" vertical="center" wrapText="1"/>
      <protection locked="0"/>
    </xf>
    <xf numFmtId="4" fontId="42" fillId="3" borderId="5" xfId="0" applyNumberFormat="1" applyFont="1" applyFill="1" applyBorder="1" applyAlignment="1">
      <alignment horizontal="right" vertical="center" wrapText="1"/>
    </xf>
    <xf numFmtId="4" fontId="43" fillId="0" borderId="6" xfId="0" applyNumberFormat="1" applyFont="1" applyBorder="1" applyAlignment="1" applyProtection="1">
      <alignment horizontal="right" vertical="center" wrapText="1"/>
      <protection locked="0"/>
    </xf>
    <xf numFmtId="4" fontId="42" fillId="0" borderId="5" xfId="0" applyNumberFormat="1" applyFont="1" applyBorder="1" applyAlignment="1">
      <alignment horizontal="right" vertical="center" wrapText="1"/>
    </xf>
    <xf numFmtId="4" fontId="42" fillId="3" borderId="15" xfId="0" applyNumberFormat="1" applyFont="1" applyFill="1" applyBorder="1" applyAlignment="1">
      <alignment horizontal="right" vertical="center" wrapText="1"/>
    </xf>
    <xf numFmtId="4" fontId="41" fillId="0" borderId="19" xfId="0" applyNumberFormat="1" applyFont="1" applyBorder="1" applyAlignment="1">
      <alignment horizontal="center" vertical="center" wrapText="1"/>
    </xf>
    <xf numFmtId="49" fontId="41" fillId="2" borderId="15" xfId="0" applyNumberFormat="1" applyFont="1" applyFill="1" applyBorder="1" applyAlignment="1">
      <alignment horizontal="center" vertical="center" wrapText="1"/>
    </xf>
    <xf numFmtId="49" fontId="41" fillId="0" borderId="15" xfId="0" applyNumberFormat="1" applyFont="1" applyBorder="1" applyAlignment="1">
      <alignment horizontal="left" vertical="center" wrapText="1"/>
    </xf>
    <xf numFmtId="49" fontId="41" fillId="0" borderId="6" xfId="0" applyNumberFormat="1" applyFont="1" applyBorder="1" applyAlignment="1">
      <alignment horizontal="center" vertical="center" wrapText="1"/>
    </xf>
    <xf numFmtId="4" fontId="43" fillId="0" borderId="19" xfId="0" applyNumberFormat="1" applyFont="1" applyBorder="1" applyAlignment="1">
      <alignment horizontal="right" vertical="center" wrapText="1"/>
    </xf>
    <xf numFmtId="4" fontId="43" fillId="0" borderId="5" xfId="0" applyNumberFormat="1" applyFont="1" applyBorder="1" applyAlignment="1">
      <alignment horizontal="right" vertical="center" wrapText="1"/>
    </xf>
    <xf numFmtId="168" fontId="43" fillId="0" borderId="19" xfId="0" applyNumberFormat="1" applyFont="1" applyBorder="1" applyAlignment="1">
      <alignment horizontal="right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29" fillId="0" borderId="6" xfId="0" applyNumberFormat="1" applyFont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168" fontId="11" fillId="3" borderId="19" xfId="0" applyNumberFormat="1" applyFont="1" applyFill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9" xfId="0" applyBorder="1"/>
    <xf numFmtId="49" fontId="14" fillId="0" borderId="19" xfId="0" applyNumberFormat="1" applyFont="1" applyBorder="1" applyAlignment="1">
      <alignment horizontal="right" vertical="center" wrapText="1"/>
    </xf>
    <xf numFmtId="4" fontId="0" fillId="0" borderId="19" xfId="0" applyNumberFormat="1" applyBorder="1"/>
    <xf numFmtId="4" fontId="44" fillId="0" borderId="5" xfId="0" applyNumberFormat="1" applyFont="1" applyBorder="1" applyAlignment="1">
      <alignment horizontal="right" vertical="center" wrapText="1"/>
    </xf>
    <xf numFmtId="4" fontId="37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8" fillId="4" borderId="2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4"/>
    <cellStyle name="Обычный 2 2 2" xfId="7"/>
    <cellStyle name="Обычный 3" xfId="6"/>
    <cellStyle name="Обычный 3 2" xfId="5"/>
    <cellStyle name="Обычный_Бланк смета" xfId="2"/>
    <cellStyle name="Финансовый 2" xfId="3"/>
  </cellStyles>
  <dxfs count="5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22859</xdr:colOff>
      <xdr:row>62</xdr:row>
      <xdr:rowOff>0</xdr:rowOff>
    </xdr:from>
    <xdr:to>
      <xdr:col>14</xdr:col>
      <xdr:colOff>470415</xdr:colOff>
      <xdr:row>63</xdr:row>
      <xdr:rowOff>227938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5A7ECA-E92D-4B0A-86DF-5415F757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9939" y="17076420"/>
          <a:ext cx="2314456" cy="593034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</xdr:colOff>
      <xdr:row>60</xdr:row>
      <xdr:rowOff>0</xdr:rowOff>
    </xdr:from>
    <xdr:to>
      <xdr:col>14</xdr:col>
      <xdr:colOff>476634</xdr:colOff>
      <xdr:row>63</xdr:row>
      <xdr:rowOff>173567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B7EC97D-1D19-4090-8EAC-744C292C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7560" y="16024861"/>
          <a:ext cx="2320674" cy="12803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23417</xdr:colOff>
      <xdr:row>50</xdr:row>
      <xdr:rowOff>60959</xdr:rowOff>
    </xdr:from>
    <xdr:to>
      <xdr:col>16</xdr:col>
      <xdr:colOff>399100</xdr:colOff>
      <xdr:row>59</xdr:row>
      <xdr:rowOff>283654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E42D60C-456C-49B7-B830-776A0B16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0497" y="13540739"/>
          <a:ext cx="3511313" cy="2346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22859</xdr:colOff>
      <xdr:row>63</xdr:row>
      <xdr:rowOff>0</xdr:rowOff>
    </xdr:from>
    <xdr:to>
      <xdr:col>14</xdr:col>
      <xdr:colOff>462795</xdr:colOff>
      <xdr:row>65</xdr:row>
      <xdr:rowOff>29154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2F2FABA-E75A-4104-A7D9-129501499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3419" y="18547080"/>
          <a:ext cx="2314457" cy="594360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</xdr:colOff>
      <xdr:row>60</xdr:row>
      <xdr:rowOff>45721</xdr:rowOff>
    </xdr:from>
    <xdr:to>
      <xdr:col>14</xdr:col>
      <xdr:colOff>476634</xdr:colOff>
      <xdr:row>63</xdr:row>
      <xdr:rowOff>228813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1CED13-2E8C-4200-93C9-4886C42C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1040" y="16771621"/>
          <a:ext cx="2320675" cy="1280372"/>
        </a:xfrm>
        <a:prstGeom prst="rect">
          <a:avLst/>
        </a:prstGeom>
      </xdr:spPr>
    </xdr:pic>
    <xdr:clientData/>
  </xdr:twoCellAnchor>
  <xdr:twoCellAnchor editAs="oneCell">
    <xdr:from>
      <xdr:col>11</xdr:col>
      <xdr:colOff>25074</xdr:colOff>
      <xdr:row>52</xdr:row>
      <xdr:rowOff>495299</xdr:rowOff>
    </xdr:from>
    <xdr:to>
      <xdr:col>16</xdr:col>
      <xdr:colOff>412187</xdr:colOff>
      <xdr:row>62</xdr:row>
      <xdr:rowOff>7429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A666F9-4473-48C8-B989-D6F65345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634" y="14371319"/>
          <a:ext cx="3511313" cy="2347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1859281</xdr:colOff>
      <xdr:row>6</xdr:row>
      <xdr:rowOff>99060</xdr:rowOff>
    </xdr:from>
    <xdr:to>
      <xdr:col>5</xdr:col>
      <xdr:colOff>603755</xdr:colOff>
      <xdr:row>21</xdr:row>
      <xdr:rowOff>167640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6173063-097E-44AF-B45B-54E6D4012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1" y="1562100"/>
          <a:ext cx="3720334" cy="2811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35357</xdr:rowOff>
    </xdr:from>
    <xdr:to>
      <xdr:col>2</xdr:col>
      <xdr:colOff>1836420</xdr:colOff>
      <xdr:row>23</xdr:row>
      <xdr:rowOff>10485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951CD9F-7B4D-4DA5-85DB-219F84D6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8397"/>
          <a:ext cx="3108960" cy="3084088"/>
        </a:xfrm>
        <a:prstGeom prst="rect">
          <a:avLst/>
        </a:prstGeom>
      </xdr:spPr>
    </xdr:pic>
    <xdr:clientData/>
  </xdr:twoCellAnchor>
  <xdr:twoCellAnchor>
    <xdr:from>
      <xdr:col>2</xdr:col>
      <xdr:colOff>3025140</xdr:colOff>
      <xdr:row>9</xdr:row>
      <xdr:rowOff>30480</xdr:rowOff>
    </xdr:from>
    <xdr:to>
      <xdr:col>3</xdr:col>
      <xdr:colOff>83820</xdr:colOff>
      <xdr:row>14</xdr:row>
      <xdr:rowOff>60960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293C2BB6-BCC3-4C07-87F1-5732F14AE4B5}"/>
            </a:ext>
          </a:extLst>
        </xdr:cNvPr>
        <xdr:cNvSpPr/>
      </xdr:nvSpPr>
      <xdr:spPr>
        <a:xfrm>
          <a:off x="4297680" y="2225040"/>
          <a:ext cx="815340" cy="944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6</xdr:col>
      <xdr:colOff>63219</xdr:colOff>
      <xdr:row>0</xdr:row>
      <xdr:rowOff>76200</xdr:rowOff>
    </xdr:from>
    <xdr:to>
      <xdr:col>11</xdr:col>
      <xdr:colOff>389828</xdr:colOff>
      <xdr:row>22</xdr:row>
      <xdr:rowOff>7619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4872D84-64D0-4547-89D5-BD27B0600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1219" y="76200"/>
          <a:ext cx="3374609" cy="450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02"/>
  <sheetViews>
    <sheetView tabSelected="1" view="pageBreakPreview" zoomScale="115" zoomScaleNormal="115" zoomScaleSheetLayoutView="115" workbookViewId="0">
      <pane xSplit="2" ySplit="15" topLeftCell="D45" activePane="bottomRight" state="frozen"/>
      <selection pane="topRight" activeCell="C1" sqref="C1"/>
      <selection pane="bottomLeft" activeCell="A16" sqref="A16"/>
      <selection pane="bottomRight" activeCell="H17" sqref="H17"/>
    </sheetView>
  </sheetViews>
  <sheetFormatPr defaultColWidth="9.140625" defaultRowHeight="15" outlineLevelRow="2" outlineLevelCol="1" x14ac:dyDescent="0.25"/>
  <cols>
    <col min="1" max="1" width="8.7109375" style="44" customWidth="1"/>
    <col min="2" max="2" width="52" style="44" customWidth="1"/>
    <col min="3" max="3" width="17.140625" style="44" hidden="1" customWidth="1" outlineLevel="1"/>
    <col min="4" max="4" width="9.7109375" style="44" customWidth="1" collapsed="1"/>
    <col min="5" max="5" width="9.7109375" style="44" customWidth="1" outlineLevel="1"/>
    <col min="6" max="6" width="11.5703125" style="44" customWidth="1"/>
    <col min="7" max="7" width="11.7109375" style="44" customWidth="1" outlineLevel="1"/>
    <col min="8" max="8" width="13.7109375" style="44" customWidth="1" outlineLevel="1"/>
    <col min="9" max="9" width="11.7109375" style="44" customWidth="1" outlineLevel="1"/>
    <col min="10" max="10" width="13.7109375" style="44" customWidth="1" outlineLevel="1"/>
    <col min="11" max="11" width="18.7109375" style="44" customWidth="1"/>
    <col min="12" max="16384" width="9.140625" style="44"/>
  </cols>
  <sheetData>
    <row r="1" spans="1:11" ht="15" customHeight="1" x14ac:dyDescent="0.2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36" customFormat="1" ht="15" customHeight="1" collapsed="1" x14ac:dyDescent="0.25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s="36" customFormat="1" ht="15" hidden="1" customHeight="1" outlineLevel="1" x14ac:dyDescent="0.25">
      <c r="A3" s="204" t="s">
        <v>1</v>
      </c>
      <c r="B3" s="204"/>
      <c r="C3" s="55"/>
      <c r="D3" s="204"/>
      <c r="E3" s="204"/>
      <c r="F3" s="204"/>
      <c r="G3" s="204"/>
      <c r="H3" s="204"/>
      <c r="I3" s="204"/>
      <c r="J3" s="35"/>
      <c r="K3" s="35"/>
    </row>
    <row r="4" spans="1:11" s="36" customFormat="1" hidden="1" outlineLevel="1" x14ac:dyDescent="0.25"/>
    <row r="5" spans="1:11" s="36" customFormat="1" hidden="1" outlineLevel="1" x14ac:dyDescent="0.25">
      <c r="A5" s="202" t="s">
        <v>2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s="36" customFormat="1" ht="15" hidden="1" customHeight="1" outlineLevel="1" x14ac:dyDescent="0.25">
      <c r="A6" s="205" t="s">
        <v>3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5" hidden="1" customHeight="1" outlineLevel="1" x14ac:dyDescent="0.25">
      <c r="A7" s="202" t="s">
        <v>4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s="36" customFormat="1" ht="33" hidden="1" customHeight="1" outlineLevel="1" x14ac:dyDescent="0.25">
      <c r="A8" s="205" t="s">
        <v>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20.100000000000001" hidden="1" customHeight="1" outlineLevel="1" x14ac:dyDescent="0.25">
      <c r="A9" s="54"/>
      <c r="B9" s="54"/>
      <c r="C9" s="54"/>
      <c r="D9" s="54"/>
      <c r="E9" s="54"/>
      <c r="F9" s="54"/>
      <c r="G9" s="54"/>
      <c r="H9" s="54"/>
      <c r="I9" s="54"/>
      <c r="J9" s="207">
        <v>46092</v>
      </c>
      <c r="K9" s="207"/>
    </row>
    <row r="10" spans="1:11" ht="15" hidden="1" customHeight="1" outlineLevel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208" t="s">
        <v>6</v>
      </c>
      <c r="K10" s="208"/>
    </row>
    <row r="11" spans="1:11" ht="20.100000000000001" hidden="1" customHeight="1" outlineLevel="1" x14ac:dyDescent="0.25">
      <c r="A11" s="37" t="s">
        <v>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spans="1:11" ht="15" hidden="1" customHeight="1" outlineLevel="1" x14ac:dyDescent="0.25">
      <c r="A12" s="54"/>
      <c r="B12" s="48" t="s">
        <v>8</v>
      </c>
      <c r="C12" s="48"/>
      <c r="D12" s="54"/>
      <c r="E12" s="54"/>
      <c r="F12" s="54"/>
      <c r="G12" s="54"/>
      <c r="H12" s="54"/>
      <c r="I12" s="54"/>
      <c r="J12" s="54"/>
      <c r="K12" s="54"/>
    </row>
    <row r="13" spans="1:11" ht="15" customHeight="1" thickBot="1" x14ac:dyDescent="0.3">
      <c r="A13" s="36"/>
      <c r="B13" s="36"/>
      <c r="C13" s="36"/>
      <c r="D13" s="36"/>
      <c r="E13" s="36"/>
      <c r="F13" s="36"/>
      <c r="G13" s="197"/>
      <c r="H13" s="197"/>
      <c r="I13" s="197"/>
      <c r="J13" s="197"/>
      <c r="K13" s="197"/>
    </row>
    <row r="14" spans="1:11" ht="50.1" customHeight="1" x14ac:dyDescent="0.25">
      <c r="A14" s="210" t="s">
        <v>9</v>
      </c>
      <c r="B14" s="210" t="s">
        <v>10</v>
      </c>
      <c r="C14" s="212" t="s">
        <v>11</v>
      </c>
      <c r="D14" s="214" t="s">
        <v>12</v>
      </c>
      <c r="E14" s="216" t="s">
        <v>13</v>
      </c>
      <c r="F14" s="218" t="s">
        <v>14</v>
      </c>
      <c r="G14" s="220" t="s">
        <v>15</v>
      </c>
      <c r="H14" s="218"/>
      <c r="I14" s="221" t="s">
        <v>16</v>
      </c>
      <c r="J14" s="222"/>
      <c r="K14" s="223" t="s">
        <v>17</v>
      </c>
    </row>
    <row r="15" spans="1:11" ht="30" customHeight="1" thickBot="1" x14ac:dyDescent="0.3">
      <c r="A15" s="211"/>
      <c r="B15" s="211"/>
      <c r="C15" s="213"/>
      <c r="D15" s="215"/>
      <c r="E15" s="217"/>
      <c r="F15" s="219"/>
      <c r="G15" s="1" t="s">
        <v>18</v>
      </c>
      <c r="H15" s="53" t="s">
        <v>19</v>
      </c>
      <c r="I15" s="2" t="s">
        <v>18</v>
      </c>
      <c r="J15" s="3" t="s">
        <v>19</v>
      </c>
      <c r="K15" s="224"/>
    </row>
    <row r="16" spans="1:11" s="79" customFormat="1" ht="63.75" thickBot="1" x14ac:dyDescent="0.3">
      <c r="A16" s="71" t="s">
        <v>20</v>
      </c>
      <c r="B16" s="72" t="s">
        <v>21</v>
      </c>
      <c r="C16" s="73"/>
      <c r="D16" s="74"/>
      <c r="E16" s="75"/>
      <c r="F16" s="76"/>
      <c r="G16" s="77"/>
      <c r="H16" s="76">
        <v>0</v>
      </c>
      <c r="I16" s="77"/>
      <c r="J16" s="76" t="e">
        <f>SUM(J18:J84)</f>
        <v>#VALUE!</v>
      </c>
      <c r="K16" s="78" t="e">
        <f>H16+J16</f>
        <v>#VALUE!</v>
      </c>
    </row>
    <row r="17" spans="1:18" s="79" customFormat="1" ht="15.75" outlineLevel="1" x14ac:dyDescent="0.25">
      <c r="A17" s="80" t="s">
        <v>22</v>
      </c>
      <c r="B17" s="64" t="s">
        <v>23</v>
      </c>
      <c r="C17" s="65"/>
      <c r="D17" s="66" t="s">
        <v>24</v>
      </c>
      <c r="E17" s="67"/>
      <c r="F17" s="196">
        <f>F33</f>
        <v>582.32999999999993</v>
      </c>
      <c r="G17" s="63"/>
      <c r="H17" s="68"/>
      <c r="I17" s="63">
        <v>0</v>
      </c>
      <c r="J17" s="68">
        <f t="shared" ref="J17:J18" si="0">$F17*I17</f>
        <v>0</v>
      </c>
      <c r="K17" s="81">
        <f t="shared" ref="K17:K77" si="1">H17+J17</f>
        <v>0</v>
      </c>
      <c r="L17"/>
      <c r="M17"/>
      <c r="N17"/>
      <c r="O17"/>
      <c r="P17"/>
      <c r="Q17" s="197"/>
      <c r="R17" s="198"/>
    </row>
    <row r="18" spans="1:18" s="79" customFormat="1" ht="15.75" outlineLevel="1" x14ac:dyDescent="0.25">
      <c r="A18" s="80" t="s">
        <v>25</v>
      </c>
      <c r="B18" s="64" t="s">
        <v>26</v>
      </c>
      <c r="C18" s="65"/>
      <c r="D18" s="66" t="s">
        <v>27</v>
      </c>
      <c r="E18" s="67"/>
      <c r="F18" s="68" t="e">
        <f>(F19+F20+F21+F22+F23+F24+F25+F26)/E19</f>
        <v>#VALUE!</v>
      </c>
      <c r="G18" s="63"/>
      <c r="H18" s="68"/>
      <c r="I18" s="63">
        <v>0</v>
      </c>
      <c r="J18" s="68" t="e">
        <f t="shared" si="0"/>
        <v>#VALUE!</v>
      </c>
      <c r="K18" s="81" t="e">
        <f t="shared" si="1"/>
        <v>#VALUE!</v>
      </c>
      <c r="L18"/>
      <c r="M18"/>
      <c r="N18"/>
      <c r="O18"/>
      <c r="P18"/>
      <c r="Q18" s="197"/>
      <c r="R18" s="198"/>
    </row>
    <row r="19" spans="1:18" s="89" customFormat="1" ht="15.75" outlineLevel="2" x14ac:dyDescent="0.25">
      <c r="A19" s="69" t="s">
        <v>28</v>
      </c>
      <c r="B19" s="69" t="s">
        <v>29</v>
      </c>
      <c r="C19" s="82" t="s">
        <v>30</v>
      </c>
      <c r="D19" s="83" t="s">
        <v>27</v>
      </c>
      <c r="E19" s="84">
        <v>1.04</v>
      </c>
      <c r="F19" s="85" t="e">
        <f>((2+8.6*5+7.5+0.75)*3+1.4*6+0.55*19)*C19/1000*E19</f>
        <v>#VALUE!</v>
      </c>
      <c r="G19" s="86">
        <v>0</v>
      </c>
      <c r="H19" s="85" t="e">
        <f t="shared" ref="H19:H26" si="2">$F19*G19</f>
        <v>#VALUE!</v>
      </c>
      <c r="I19" s="86"/>
      <c r="J19" s="87"/>
      <c r="K19" s="88" t="e">
        <f t="shared" si="1"/>
        <v>#VALUE!</v>
      </c>
      <c r="L19"/>
      <c r="M19"/>
      <c r="N19"/>
      <c r="O19"/>
      <c r="P19"/>
      <c r="R19"/>
    </row>
    <row r="20" spans="1:18" s="89" customFormat="1" ht="15.6" customHeight="1" outlineLevel="2" x14ac:dyDescent="0.25">
      <c r="A20" s="69" t="s">
        <v>31</v>
      </c>
      <c r="B20" s="69" t="s">
        <v>32</v>
      </c>
      <c r="C20" s="82" t="s">
        <v>33</v>
      </c>
      <c r="D20" s="83" t="s">
        <v>27</v>
      </c>
      <c r="E20" s="84">
        <v>1.04</v>
      </c>
      <c r="F20" s="85" t="e">
        <f>(0.41+1.66+0.93)*27*C20/1000*E20</f>
        <v>#VALUE!</v>
      </c>
      <c r="G20" s="86">
        <v>0</v>
      </c>
      <c r="H20" s="85" t="e">
        <f t="shared" si="2"/>
        <v>#VALUE!</v>
      </c>
      <c r="I20" s="86"/>
      <c r="J20" s="87"/>
      <c r="K20" s="88" t="e">
        <f t="shared" si="1"/>
        <v>#VALUE!</v>
      </c>
      <c r="L20" s="90"/>
      <c r="M20" s="90"/>
      <c r="N20" s="90"/>
      <c r="O20" s="90"/>
      <c r="P20" s="90"/>
      <c r="R20" s="90"/>
    </row>
    <row r="21" spans="1:18" s="89" customFormat="1" ht="15.75" outlineLevel="2" x14ac:dyDescent="0.25">
      <c r="A21" s="69" t="s">
        <v>34</v>
      </c>
      <c r="B21" s="69" t="s">
        <v>35</v>
      </c>
      <c r="C21" s="82" t="s">
        <v>36</v>
      </c>
      <c r="D21" s="83" t="s">
        <v>27</v>
      </c>
      <c r="E21" s="84">
        <v>1.04</v>
      </c>
      <c r="F21" s="85" t="e">
        <f>(0.153*27+(0.94+0.59)*27)*C21/1000*E21</f>
        <v>#VALUE!</v>
      </c>
      <c r="G21" s="86">
        <v>0</v>
      </c>
      <c r="H21" s="85" t="e">
        <f t="shared" si="2"/>
        <v>#VALUE!</v>
      </c>
      <c r="I21" s="86"/>
      <c r="J21" s="87"/>
      <c r="K21" s="88" t="e">
        <f t="shared" si="1"/>
        <v>#VALUE!</v>
      </c>
      <c r="L21"/>
      <c r="M21"/>
      <c r="N21"/>
      <c r="O21"/>
      <c r="P21"/>
      <c r="R21"/>
    </row>
    <row r="22" spans="1:18" s="89" customFormat="1" ht="15.75" outlineLevel="2" x14ac:dyDescent="0.25">
      <c r="A22" s="69" t="s">
        <v>37</v>
      </c>
      <c r="B22" s="69" t="s">
        <v>38</v>
      </c>
      <c r="C22" s="82" t="s">
        <v>39</v>
      </c>
      <c r="D22" s="83" t="s">
        <v>27</v>
      </c>
      <c r="E22" s="84">
        <v>1.04</v>
      </c>
      <c r="F22" s="85">
        <f>0.45*27*C22/1000*E22+2.7*6*C22/1000*E22</f>
        <v>0.26535600000000004</v>
      </c>
      <c r="G22" s="86">
        <v>0</v>
      </c>
      <c r="H22" s="85">
        <f t="shared" si="2"/>
        <v>0</v>
      </c>
      <c r="I22" s="86"/>
      <c r="J22" s="87"/>
      <c r="K22" s="88">
        <f t="shared" si="1"/>
        <v>0</v>
      </c>
      <c r="L22"/>
      <c r="M22"/>
      <c r="N22"/>
      <c r="O22"/>
      <c r="P22"/>
      <c r="R22"/>
    </row>
    <row r="23" spans="1:18" s="89" customFormat="1" ht="15.75" outlineLevel="2" x14ac:dyDescent="0.25">
      <c r="A23" s="69" t="s">
        <v>40</v>
      </c>
      <c r="B23" s="69" t="s">
        <v>41</v>
      </c>
      <c r="C23" s="82" t="s">
        <v>42</v>
      </c>
      <c r="D23" s="83" t="s">
        <v>27</v>
      </c>
      <c r="E23" s="84">
        <v>1.04</v>
      </c>
      <c r="F23" s="85" t="e">
        <f>(2+8.6*5+7.5+0.75)*C23/1000*E23</f>
        <v>#VALUE!</v>
      </c>
      <c r="G23" s="86">
        <v>0</v>
      </c>
      <c r="H23" s="85" t="e">
        <f t="shared" si="2"/>
        <v>#VALUE!</v>
      </c>
      <c r="I23" s="86"/>
      <c r="J23" s="87"/>
      <c r="K23" s="88" t="e">
        <f t="shared" si="1"/>
        <v>#VALUE!</v>
      </c>
      <c r="L23"/>
      <c r="M23"/>
      <c r="N23"/>
      <c r="O23"/>
      <c r="P23"/>
      <c r="R23"/>
    </row>
    <row r="24" spans="1:18" s="89" customFormat="1" ht="15.75" outlineLevel="2" x14ac:dyDescent="0.25">
      <c r="A24" s="69" t="s">
        <v>43</v>
      </c>
      <c r="B24" s="69" t="s">
        <v>44</v>
      </c>
      <c r="C24" s="82" t="s">
        <v>45</v>
      </c>
      <c r="D24" s="83" t="s">
        <v>27</v>
      </c>
      <c r="E24" s="84">
        <v>1.04</v>
      </c>
      <c r="F24" s="85" t="e">
        <f>(8.6+8.6+8.6+8.6+8.6+7.5+0.75+2)*7*E24*C24/1000</f>
        <v>#VALUE!</v>
      </c>
      <c r="G24" s="86">
        <v>0</v>
      </c>
      <c r="H24" s="85" t="e">
        <f t="shared" si="2"/>
        <v>#VALUE!</v>
      </c>
      <c r="I24" s="86"/>
      <c r="J24" s="87"/>
      <c r="K24" s="88" t="e">
        <f t="shared" si="1"/>
        <v>#VALUE!</v>
      </c>
      <c r="L24"/>
      <c r="M24"/>
      <c r="N24"/>
      <c r="O24"/>
      <c r="P24"/>
      <c r="R24"/>
    </row>
    <row r="25" spans="1:18" s="130" customFormat="1" ht="15.75" outlineLevel="2" x14ac:dyDescent="0.25">
      <c r="A25" s="122" t="s">
        <v>46</v>
      </c>
      <c r="B25" s="122" t="s">
        <v>47</v>
      </c>
      <c r="C25" s="123" t="s">
        <v>48</v>
      </c>
      <c r="D25" s="124" t="s">
        <v>27</v>
      </c>
      <c r="E25" s="125">
        <v>1.04</v>
      </c>
      <c r="F25" s="126" t="e">
        <f>(0.108*0.2*2*27*2+0.09*0.2*4*27)*C25*E25/1000</f>
        <v>#VALUE!</v>
      </c>
      <c r="G25" s="127">
        <v>0</v>
      </c>
      <c r="H25" s="126" t="e">
        <f t="shared" si="2"/>
        <v>#VALUE!</v>
      </c>
      <c r="I25" s="127"/>
      <c r="J25" s="128"/>
      <c r="K25" s="129" t="e">
        <f t="shared" si="1"/>
        <v>#VALUE!</v>
      </c>
      <c r="L25"/>
      <c r="M25"/>
      <c r="N25"/>
      <c r="O25"/>
      <c r="P25"/>
    </row>
    <row r="26" spans="1:18" s="89" customFormat="1" ht="15.75" outlineLevel="2" x14ac:dyDescent="0.25">
      <c r="A26" s="69" t="s">
        <v>49</v>
      </c>
      <c r="B26" s="69" t="s">
        <v>50</v>
      </c>
      <c r="C26" s="82" t="s">
        <v>51</v>
      </c>
      <c r="D26" s="83" t="s">
        <v>27</v>
      </c>
      <c r="E26" s="84">
        <v>1.04</v>
      </c>
      <c r="F26" s="85">
        <f>(0.2*0.3*2*27+0.15*(0.95+0.136+0.125)*27+0.2*0.31*27*2)*C26/1000</f>
        <v>0.72403064999999978</v>
      </c>
      <c r="G26" s="86">
        <v>0</v>
      </c>
      <c r="H26" s="85">
        <f t="shared" si="2"/>
        <v>0</v>
      </c>
      <c r="I26" s="86"/>
      <c r="J26" s="87"/>
      <c r="K26" s="88">
        <f t="shared" si="1"/>
        <v>0</v>
      </c>
      <c r="L26"/>
      <c r="M26"/>
      <c r="N26"/>
      <c r="O26"/>
      <c r="P26"/>
    </row>
    <row r="27" spans="1:18" s="92" customFormat="1" ht="15.75" outlineLevel="2" x14ac:dyDescent="0.25">
      <c r="A27" s="69" t="s">
        <v>52</v>
      </c>
      <c r="B27" s="69" t="s">
        <v>53</v>
      </c>
      <c r="C27" s="82"/>
      <c r="D27" s="83" t="s">
        <v>54</v>
      </c>
      <c r="E27" s="84">
        <v>16</v>
      </c>
      <c r="F27" s="91" t="e">
        <f>F18*E27</f>
        <v>#VALUE!</v>
      </c>
      <c r="G27" s="86">
        <v>0</v>
      </c>
      <c r="H27" s="85" t="e">
        <f>$F27*G27</f>
        <v>#VALUE!</v>
      </c>
      <c r="I27" s="86"/>
      <c r="J27" s="87"/>
      <c r="K27" s="88" t="e">
        <f t="shared" si="1"/>
        <v>#VALUE!</v>
      </c>
    </row>
    <row r="28" spans="1:18" s="36" customFormat="1" ht="30" outlineLevel="1" x14ac:dyDescent="0.25">
      <c r="A28" s="46" t="s">
        <v>55</v>
      </c>
      <c r="B28" s="30" t="s">
        <v>56</v>
      </c>
      <c r="C28" s="61"/>
      <c r="D28" s="31" t="s">
        <v>24</v>
      </c>
      <c r="E28" s="40"/>
      <c r="F28" s="32" t="e">
        <f>F18*45</f>
        <v>#VALUE!</v>
      </c>
      <c r="G28" s="33"/>
      <c r="H28" s="32"/>
      <c r="I28" s="33">
        <v>0</v>
      </c>
      <c r="J28" s="32" t="e">
        <f t="shared" ref="J28" si="3">$F28*I28</f>
        <v>#VALUE!</v>
      </c>
      <c r="K28" s="93" t="e">
        <f t="shared" si="1"/>
        <v>#VALUE!</v>
      </c>
      <c r="P28" s="94"/>
      <c r="R28" s="198"/>
    </row>
    <row r="29" spans="1:18" s="95" customFormat="1" ht="15.75" outlineLevel="2" x14ac:dyDescent="0.25">
      <c r="A29" s="69" t="s">
        <v>57</v>
      </c>
      <c r="B29" s="69" t="s">
        <v>58</v>
      </c>
      <c r="C29" s="82"/>
      <c r="D29" s="83" t="s">
        <v>54</v>
      </c>
      <c r="E29" s="84">
        <v>0.18</v>
      </c>
      <c r="F29" s="85" t="e">
        <f>E29*F28</f>
        <v>#VALUE!</v>
      </c>
      <c r="G29" s="86">
        <v>0</v>
      </c>
      <c r="H29" s="85" t="e">
        <f>$F29*G29</f>
        <v>#VALUE!</v>
      </c>
      <c r="I29" s="86"/>
      <c r="J29" s="87"/>
      <c r="K29" s="88" t="e">
        <f t="shared" si="1"/>
        <v>#VALUE!</v>
      </c>
    </row>
    <row r="30" spans="1:18" s="95" customFormat="1" ht="15.75" outlineLevel="2" x14ac:dyDescent="0.25">
      <c r="A30" s="69" t="s">
        <v>59</v>
      </c>
      <c r="B30" s="69" t="s">
        <v>60</v>
      </c>
      <c r="C30" s="82"/>
      <c r="D30" s="83" t="s">
        <v>61</v>
      </c>
      <c r="E30" s="84">
        <v>0.15</v>
      </c>
      <c r="F30" s="85" t="e">
        <f>E30*F28</f>
        <v>#VALUE!</v>
      </c>
      <c r="G30" s="86">
        <v>0</v>
      </c>
      <c r="H30" s="85" t="e">
        <f>$F30*G30</f>
        <v>#VALUE!</v>
      </c>
      <c r="I30" s="86"/>
      <c r="J30" s="87"/>
      <c r="K30" s="88" t="e">
        <f t="shared" si="1"/>
        <v>#VALUE!</v>
      </c>
    </row>
    <row r="31" spans="1:18" s="36" customFormat="1" ht="15.75" outlineLevel="1" x14ac:dyDescent="0.25">
      <c r="A31" s="46" t="s">
        <v>62</v>
      </c>
      <c r="B31" s="30" t="s">
        <v>63</v>
      </c>
      <c r="C31" s="61"/>
      <c r="D31" s="31" t="s">
        <v>27</v>
      </c>
      <c r="E31" s="40"/>
      <c r="F31" s="32" t="e">
        <f>F18</f>
        <v>#VALUE!</v>
      </c>
      <c r="G31" s="33"/>
      <c r="H31" s="32"/>
      <c r="I31" s="33">
        <v>0</v>
      </c>
      <c r="J31" s="32" t="e">
        <f t="shared" ref="J31" si="4">$F31*I31</f>
        <v>#VALUE!</v>
      </c>
      <c r="K31" s="93" t="e">
        <f t="shared" si="1"/>
        <v>#VALUE!</v>
      </c>
      <c r="R31" s="114"/>
    </row>
    <row r="32" spans="1:18" s="95" customFormat="1" ht="15.75" outlineLevel="2" x14ac:dyDescent="0.25">
      <c r="A32" s="69" t="s">
        <v>64</v>
      </c>
      <c r="B32" s="69" t="s">
        <v>65</v>
      </c>
      <c r="C32" s="82"/>
      <c r="D32" s="83" t="s">
        <v>66</v>
      </c>
      <c r="E32" s="84">
        <v>1.05</v>
      </c>
      <c r="F32" s="85">
        <f>(F44+F40)*E32</f>
        <v>518.17500000000007</v>
      </c>
      <c r="G32" s="86">
        <v>0</v>
      </c>
      <c r="H32" s="85">
        <f>$F32*G32</f>
        <v>0</v>
      </c>
      <c r="I32" s="86"/>
      <c r="J32" s="87"/>
      <c r="K32" s="88">
        <f t="shared" si="1"/>
        <v>0</v>
      </c>
    </row>
    <row r="33" spans="1:18" s="36" customFormat="1" ht="15.75" outlineLevel="1" x14ac:dyDescent="0.25">
      <c r="A33" s="46" t="s">
        <v>67</v>
      </c>
      <c r="B33" s="30" t="s">
        <v>68</v>
      </c>
      <c r="C33" s="61"/>
      <c r="D33" s="31" t="s">
        <v>24</v>
      </c>
      <c r="E33" s="40"/>
      <c r="F33" s="137">
        <f>3.5*1.18*49+7*1.18*46</f>
        <v>582.32999999999993</v>
      </c>
      <c r="G33" s="33"/>
      <c r="H33" s="32"/>
      <c r="I33" s="96">
        <v>0</v>
      </c>
      <c r="J33" s="32">
        <f>$F33*I33</f>
        <v>0</v>
      </c>
      <c r="K33" s="93">
        <f t="shared" si="1"/>
        <v>0</v>
      </c>
      <c r="R33" s="198"/>
    </row>
    <row r="34" spans="1:18" s="89" customFormat="1" ht="30" outlineLevel="2" x14ac:dyDescent="0.25">
      <c r="A34" s="100" t="s">
        <v>69</v>
      </c>
      <c r="B34" s="100" t="s">
        <v>70</v>
      </c>
      <c r="C34" s="82" t="s">
        <v>71</v>
      </c>
      <c r="D34" s="97" t="s">
        <v>66</v>
      </c>
      <c r="E34" s="142">
        <v>2.0499999999999998</v>
      </c>
      <c r="F34" s="143">
        <f>_xlfn.CEILING.MATH(E34*F33)+13*2</f>
        <v>1220</v>
      </c>
      <c r="G34" s="86">
        <v>0</v>
      </c>
      <c r="H34" s="143">
        <f>$F34*G34</f>
        <v>0</v>
      </c>
      <c r="I34" s="144"/>
      <c r="J34" s="145"/>
      <c r="K34" s="146">
        <f t="shared" si="1"/>
        <v>0</v>
      </c>
    </row>
    <row r="35" spans="1:18" s="89" customFormat="1" ht="15.75" outlineLevel="2" x14ac:dyDescent="0.25">
      <c r="A35" s="100" t="s">
        <v>72</v>
      </c>
      <c r="B35" s="100" t="s">
        <v>73</v>
      </c>
      <c r="C35" s="98"/>
      <c r="D35" s="99" t="s">
        <v>66</v>
      </c>
      <c r="E35" s="142">
        <v>0.12</v>
      </c>
      <c r="F35" s="143">
        <f>_xlfn.CEILING.MATH(E35*F33)</f>
        <v>70</v>
      </c>
      <c r="G35" s="86">
        <v>0</v>
      </c>
      <c r="H35" s="143">
        <f>$F35*G35</f>
        <v>0</v>
      </c>
      <c r="I35" s="144"/>
      <c r="J35" s="145"/>
      <c r="K35" s="146">
        <f t="shared" si="1"/>
        <v>0</v>
      </c>
    </row>
    <row r="36" spans="1:18" s="89" customFormat="1" ht="15.75" outlineLevel="2" x14ac:dyDescent="0.25">
      <c r="A36" s="100" t="s">
        <v>74</v>
      </c>
      <c r="B36" s="100" t="s">
        <v>75</v>
      </c>
      <c r="C36" s="98"/>
      <c r="D36" s="99" t="s">
        <v>76</v>
      </c>
      <c r="E36" s="142">
        <v>1.02</v>
      </c>
      <c r="F36" s="143">
        <f>_xlfn.CEILING.MATH(F33*E36)</f>
        <v>594</v>
      </c>
      <c r="G36" s="86">
        <v>0</v>
      </c>
      <c r="H36" s="143">
        <f>$F36*G36</f>
        <v>0</v>
      </c>
      <c r="I36" s="144"/>
      <c r="J36" s="145"/>
      <c r="K36" s="146">
        <f t="shared" si="1"/>
        <v>0</v>
      </c>
      <c r="M36" s="101"/>
    </row>
    <row r="37" spans="1:18" s="89" customFormat="1" ht="30" outlineLevel="2" x14ac:dyDescent="0.25">
      <c r="A37" s="69" t="s">
        <v>77</v>
      </c>
      <c r="B37" s="100" t="s">
        <v>78</v>
      </c>
      <c r="C37" s="98"/>
      <c r="D37" s="99" t="s">
        <v>24</v>
      </c>
      <c r="E37" s="84"/>
      <c r="F37" s="195">
        <f>3.5*1.18*49</f>
        <v>202.37</v>
      </c>
      <c r="G37" s="86">
        <v>0</v>
      </c>
      <c r="H37" s="85">
        <v>0</v>
      </c>
      <c r="I37" s="86"/>
      <c r="J37" s="87"/>
      <c r="K37" s="88"/>
      <c r="M37" s="101"/>
    </row>
    <row r="38" spans="1:18" s="89" customFormat="1" ht="30" outlineLevel="2" x14ac:dyDescent="0.25">
      <c r="A38" s="69" t="s">
        <v>79</v>
      </c>
      <c r="B38" s="100" t="s">
        <v>80</v>
      </c>
      <c r="C38" s="98"/>
      <c r="D38" s="99" t="s">
        <v>24</v>
      </c>
      <c r="E38" s="84"/>
      <c r="F38" s="195">
        <f>7*1.18*46</f>
        <v>379.96</v>
      </c>
      <c r="G38" s="86">
        <v>0</v>
      </c>
      <c r="H38" s="85">
        <v>0</v>
      </c>
      <c r="I38" s="86"/>
      <c r="J38" s="87"/>
      <c r="K38" s="88">
        <f t="shared" si="1"/>
        <v>0</v>
      </c>
    </row>
    <row r="39" spans="1:18" s="54" customFormat="1" ht="45" outlineLevel="1" x14ac:dyDescent="0.25">
      <c r="A39" s="46" t="s">
        <v>81</v>
      </c>
      <c r="B39" s="30" t="s">
        <v>82</v>
      </c>
      <c r="C39" s="61"/>
      <c r="D39" s="31" t="s">
        <v>76</v>
      </c>
      <c r="E39" s="40"/>
      <c r="F39" s="32">
        <f>(8.6*6+4)*4</f>
        <v>222.39999999999998</v>
      </c>
      <c r="G39" s="33"/>
      <c r="H39" s="32"/>
      <c r="I39" s="33">
        <v>0</v>
      </c>
      <c r="J39" s="32">
        <f t="shared" ref="J39:J47" si="5">$F39*I39</f>
        <v>0</v>
      </c>
      <c r="K39" s="93">
        <f t="shared" si="1"/>
        <v>0</v>
      </c>
      <c r="R39" s="199"/>
    </row>
    <row r="40" spans="1:18" s="54" customFormat="1" ht="45" outlineLevel="1" x14ac:dyDescent="0.25">
      <c r="A40" s="46" t="s">
        <v>83</v>
      </c>
      <c r="B40" s="30" t="s">
        <v>84</v>
      </c>
      <c r="C40" s="61"/>
      <c r="D40" s="31" t="s">
        <v>76</v>
      </c>
      <c r="E40" s="40"/>
      <c r="F40" s="32">
        <f>3.5*49</f>
        <v>171.5</v>
      </c>
      <c r="G40" s="33"/>
      <c r="H40" s="32"/>
      <c r="I40" s="33">
        <v>0</v>
      </c>
      <c r="J40" s="32">
        <f t="shared" si="5"/>
        <v>0</v>
      </c>
      <c r="K40" s="93">
        <f t="shared" si="1"/>
        <v>0</v>
      </c>
      <c r="R40" s="199"/>
    </row>
    <row r="41" spans="1:18" s="54" customFormat="1" ht="45" outlineLevel="1" x14ac:dyDescent="0.25">
      <c r="A41" s="46" t="s">
        <v>85</v>
      </c>
      <c r="B41" s="30" t="s">
        <v>86</v>
      </c>
      <c r="C41" s="61"/>
      <c r="D41" s="31" t="s">
        <v>76</v>
      </c>
      <c r="E41" s="40"/>
      <c r="F41" s="32">
        <f>((8.6*6+4)*2)</f>
        <v>111.19999999999999</v>
      </c>
      <c r="G41" s="33"/>
      <c r="H41" s="32"/>
      <c r="I41" s="33">
        <v>0</v>
      </c>
      <c r="J41" s="32">
        <f t="shared" si="5"/>
        <v>0</v>
      </c>
      <c r="K41" s="93">
        <f t="shared" si="1"/>
        <v>0</v>
      </c>
      <c r="R41" s="199"/>
    </row>
    <row r="42" spans="1:18" s="54" customFormat="1" ht="45" outlineLevel="1" x14ac:dyDescent="0.25">
      <c r="A42" s="46" t="s">
        <v>87</v>
      </c>
      <c r="B42" s="30" t="s">
        <v>88</v>
      </c>
      <c r="C42" s="61"/>
      <c r="D42" s="31" t="s">
        <v>76</v>
      </c>
      <c r="E42" s="40"/>
      <c r="F42" s="32">
        <f>F40</f>
        <v>171.5</v>
      </c>
      <c r="G42" s="33"/>
      <c r="H42" s="32"/>
      <c r="I42" s="33">
        <v>0</v>
      </c>
      <c r="J42" s="32">
        <f t="shared" si="5"/>
        <v>0</v>
      </c>
      <c r="K42" s="93">
        <f t="shared" si="1"/>
        <v>0</v>
      </c>
      <c r="R42" s="199"/>
    </row>
    <row r="43" spans="1:18" s="43" customFormat="1" ht="45" outlineLevel="1" x14ac:dyDescent="0.25">
      <c r="A43" s="179" t="s">
        <v>89</v>
      </c>
      <c r="B43" s="180" t="s">
        <v>90</v>
      </c>
      <c r="C43" s="181"/>
      <c r="D43" s="182" t="s">
        <v>76</v>
      </c>
      <c r="E43" s="183"/>
      <c r="F43" s="184">
        <f>(8.6*6+2)*7</f>
        <v>375.19999999999993</v>
      </c>
      <c r="G43" s="185"/>
      <c r="H43" s="184"/>
      <c r="I43" s="185">
        <v>0</v>
      </c>
      <c r="J43" s="184">
        <f t="shared" si="5"/>
        <v>0</v>
      </c>
      <c r="K43" s="186">
        <f t="shared" si="1"/>
        <v>0</v>
      </c>
      <c r="R43" s="199"/>
    </row>
    <row r="44" spans="1:18" s="43" customFormat="1" ht="45" outlineLevel="1" x14ac:dyDescent="0.25">
      <c r="A44" s="179" t="s">
        <v>91</v>
      </c>
      <c r="B44" s="180" t="s">
        <v>92</v>
      </c>
      <c r="C44" s="181"/>
      <c r="D44" s="182" t="s">
        <v>76</v>
      </c>
      <c r="E44" s="183"/>
      <c r="F44" s="137">
        <f>7*46</f>
        <v>322</v>
      </c>
      <c r="G44" s="185"/>
      <c r="H44" s="184"/>
      <c r="I44" s="185">
        <v>0</v>
      </c>
      <c r="J44" s="184">
        <f t="shared" si="5"/>
        <v>0</v>
      </c>
      <c r="K44" s="186">
        <f t="shared" si="1"/>
        <v>0</v>
      </c>
      <c r="R44" s="199"/>
    </row>
    <row r="45" spans="1:18" s="43" customFormat="1" ht="45" outlineLevel="1" x14ac:dyDescent="0.25">
      <c r="A45" s="179" t="s">
        <v>93</v>
      </c>
      <c r="B45" s="180" t="s">
        <v>94</v>
      </c>
      <c r="C45" s="181"/>
      <c r="D45" s="182" t="s">
        <v>76</v>
      </c>
      <c r="E45" s="183"/>
      <c r="F45" s="184">
        <f>((8.6*6+2)*2)</f>
        <v>107.19999999999999</v>
      </c>
      <c r="G45" s="185"/>
      <c r="H45" s="184"/>
      <c r="I45" s="185">
        <v>0</v>
      </c>
      <c r="J45" s="184">
        <f t="shared" si="5"/>
        <v>0</v>
      </c>
      <c r="K45" s="186">
        <f t="shared" si="1"/>
        <v>0</v>
      </c>
      <c r="R45" s="199"/>
    </row>
    <row r="46" spans="1:18" s="43" customFormat="1" ht="45" outlineLevel="1" x14ac:dyDescent="0.25">
      <c r="A46" s="179" t="s">
        <v>95</v>
      </c>
      <c r="B46" s="180" t="s">
        <v>96</v>
      </c>
      <c r="C46" s="181"/>
      <c r="D46" s="182" t="s">
        <v>76</v>
      </c>
      <c r="E46" s="183"/>
      <c r="F46" s="137">
        <f>F44</f>
        <v>322</v>
      </c>
      <c r="G46" s="185"/>
      <c r="H46" s="184"/>
      <c r="I46" s="185">
        <v>0</v>
      </c>
      <c r="J46" s="184">
        <f t="shared" si="5"/>
        <v>0</v>
      </c>
      <c r="K46" s="186">
        <f t="shared" si="1"/>
        <v>0</v>
      </c>
      <c r="R46" s="199"/>
    </row>
    <row r="47" spans="1:18" s="140" customFormat="1" ht="45" outlineLevel="1" x14ac:dyDescent="0.25">
      <c r="A47" s="46" t="s">
        <v>97</v>
      </c>
      <c r="B47" s="30" t="s">
        <v>98</v>
      </c>
      <c r="C47" s="134"/>
      <c r="D47" s="187" t="s">
        <v>99</v>
      </c>
      <c r="E47" s="183"/>
      <c r="F47" s="184">
        <f>F39+F40+F43+F44</f>
        <v>1091.0999999999999</v>
      </c>
      <c r="G47" s="138"/>
      <c r="H47" s="137"/>
      <c r="I47" s="185">
        <v>0</v>
      </c>
      <c r="J47" s="184">
        <f t="shared" si="5"/>
        <v>0</v>
      </c>
      <c r="K47" s="186">
        <f t="shared" si="1"/>
        <v>0</v>
      </c>
      <c r="R47" s="141"/>
    </row>
    <row r="48" spans="1:18" s="89" customFormat="1" ht="30" outlineLevel="2" x14ac:dyDescent="0.25">
      <c r="A48" s="100" t="s">
        <v>100</v>
      </c>
      <c r="B48" s="148" t="s">
        <v>101</v>
      </c>
      <c r="C48" s="98"/>
      <c r="D48" s="149" t="s">
        <v>24</v>
      </c>
      <c r="E48" s="142"/>
      <c r="F48" s="143">
        <f>1.3</f>
        <v>1.3</v>
      </c>
      <c r="G48" s="86">
        <v>0</v>
      </c>
      <c r="H48" s="143">
        <f t="shared" ref="H48:H85" si="6">$F48*G48</f>
        <v>0</v>
      </c>
      <c r="I48" s="144"/>
      <c r="J48" s="145"/>
      <c r="K48" s="146">
        <f t="shared" si="1"/>
        <v>0</v>
      </c>
    </row>
    <row r="49" spans="1:11" s="89" customFormat="1" ht="30" outlineLevel="2" x14ac:dyDescent="0.25">
      <c r="A49" s="100" t="s">
        <v>102</v>
      </c>
      <c r="B49" s="100" t="s">
        <v>103</v>
      </c>
      <c r="C49" s="98"/>
      <c r="D49" s="97" t="s">
        <v>24</v>
      </c>
      <c r="E49" s="142"/>
      <c r="F49" s="143">
        <f>F47/7.67</f>
        <v>142.25554106910039</v>
      </c>
      <c r="G49" s="86">
        <v>0</v>
      </c>
      <c r="H49" s="143">
        <f t="shared" si="6"/>
        <v>0</v>
      </c>
      <c r="I49" s="144"/>
      <c r="J49" s="145"/>
      <c r="K49" s="146">
        <f t="shared" si="1"/>
        <v>0</v>
      </c>
    </row>
    <row r="50" spans="1:11" s="89" customFormat="1" ht="30" outlineLevel="2" x14ac:dyDescent="0.25">
      <c r="A50" s="100" t="s">
        <v>104</v>
      </c>
      <c r="B50" s="69" t="s">
        <v>105</v>
      </c>
      <c r="C50" s="82"/>
      <c r="D50" s="97" t="s">
        <v>66</v>
      </c>
      <c r="E50" s="84">
        <v>4</v>
      </c>
      <c r="F50" s="150">
        <f>(F45+F41)/0.3 +F45/0.3</f>
        <v>1085.3333333333333</v>
      </c>
      <c r="G50" s="86">
        <v>0</v>
      </c>
      <c r="H50" s="85">
        <f t="shared" si="6"/>
        <v>0</v>
      </c>
      <c r="I50" s="86"/>
      <c r="J50" s="87"/>
      <c r="K50" s="88">
        <f t="shared" si="1"/>
        <v>0</v>
      </c>
    </row>
    <row r="51" spans="1:11" s="89" customFormat="1" ht="15.75" outlineLevel="2" x14ac:dyDescent="0.25">
      <c r="A51" s="100" t="s">
        <v>106</v>
      </c>
      <c r="B51" s="69" t="s">
        <v>107</v>
      </c>
      <c r="C51" s="82"/>
      <c r="D51" s="97" t="s">
        <v>66</v>
      </c>
      <c r="E51" s="84">
        <v>4</v>
      </c>
      <c r="F51" s="150">
        <f>F52/2</f>
        <v>667.19999999999993</v>
      </c>
      <c r="G51" s="86">
        <v>0</v>
      </c>
      <c r="H51" s="85">
        <f t="shared" si="6"/>
        <v>0</v>
      </c>
      <c r="I51" s="86"/>
      <c r="J51" s="87"/>
      <c r="K51" s="88">
        <f t="shared" si="1"/>
        <v>0</v>
      </c>
    </row>
    <row r="52" spans="1:11" s="89" customFormat="1" ht="15.75" outlineLevel="2" x14ac:dyDescent="0.25">
      <c r="A52" s="100" t="s">
        <v>108</v>
      </c>
      <c r="B52" s="69" t="s">
        <v>109</v>
      </c>
      <c r="C52" s="82"/>
      <c r="D52" s="97" t="s">
        <v>66</v>
      </c>
      <c r="E52" s="84">
        <v>4</v>
      </c>
      <c r="F52" s="150">
        <f>(F41)/2*6*E51</f>
        <v>1334.3999999999999</v>
      </c>
      <c r="G52" s="86">
        <v>0</v>
      </c>
      <c r="H52" s="85">
        <f t="shared" si="6"/>
        <v>0</v>
      </c>
      <c r="I52" s="86"/>
      <c r="J52" s="87"/>
      <c r="K52" s="88">
        <f t="shared" si="1"/>
        <v>0</v>
      </c>
    </row>
    <row r="53" spans="1:11" s="89" customFormat="1" ht="45" outlineLevel="2" x14ac:dyDescent="0.25">
      <c r="A53" s="100" t="s">
        <v>110</v>
      </c>
      <c r="B53" s="100" t="s">
        <v>111</v>
      </c>
      <c r="C53" s="98" t="s">
        <v>112</v>
      </c>
      <c r="D53" s="97" t="s">
        <v>66</v>
      </c>
      <c r="E53" s="142">
        <v>2</v>
      </c>
      <c r="F53" s="143">
        <f>10*E53*4+8*10</f>
        <v>160</v>
      </c>
      <c r="G53" s="86">
        <v>0</v>
      </c>
      <c r="H53" s="143">
        <f t="shared" si="6"/>
        <v>0</v>
      </c>
      <c r="I53" s="144"/>
      <c r="J53" s="145"/>
      <c r="K53" s="146">
        <f t="shared" si="1"/>
        <v>0</v>
      </c>
    </row>
    <row r="54" spans="1:11" s="89" customFormat="1" ht="15.75" outlineLevel="2" x14ac:dyDescent="0.25">
      <c r="A54" s="100" t="s">
        <v>113</v>
      </c>
      <c r="B54" s="100" t="s">
        <v>114</v>
      </c>
      <c r="C54" s="98" t="s">
        <v>115</v>
      </c>
      <c r="D54" s="97" t="s">
        <v>66</v>
      </c>
      <c r="E54" s="142">
        <v>4</v>
      </c>
      <c r="F54" s="143">
        <f>3*E54*4+11*3</f>
        <v>81</v>
      </c>
      <c r="G54" s="86">
        <v>0</v>
      </c>
      <c r="H54" s="143">
        <f>H53</f>
        <v>0</v>
      </c>
      <c r="I54" s="144"/>
      <c r="J54" s="145"/>
      <c r="K54" s="146">
        <f t="shared" si="1"/>
        <v>0</v>
      </c>
    </row>
    <row r="55" spans="1:11" s="89" customFormat="1" ht="15.75" outlineLevel="2" x14ac:dyDescent="0.25">
      <c r="A55" s="100" t="s">
        <v>116</v>
      </c>
      <c r="B55" s="69" t="s">
        <v>117</v>
      </c>
      <c r="C55" s="98"/>
      <c r="D55" s="97" t="s">
        <v>66</v>
      </c>
      <c r="E55" s="84">
        <v>4</v>
      </c>
      <c r="F55" s="150">
        <f>F52</f>
        <v>1334.3999999999999</v>
      </c>
      <c r="G55" s="86">
        <v>0</v>
      </c>
      <c r="H55" s="85">
        <f t="shared" si="6"/>
        <v>0</v>
      </c>
      <c r="I55" s="86"/>
      <c r="J55" s="87"/>
      <c r="K55" s="88">
        <f t="shared" si="1"/>
        <v>0</v>
      </c>
    </row>
    <row r="56" spans="1:11" s="89" customFormat="1" ht="15.75" outlineLevel="2" x14ac:dyDescent="0.25">
      <c r="A56" s="100" t="s">
        <v>118</v>
      </c>
      <c r="B56" s="69" t="s">
        <v>73</v>
      </c>
      <c r="C56" s="98"/>
      <c r="D56" s="97" t="s">
        <v>66</v>
      </c>
      <c r="E56" s="84">
        <v>1.06</v>
      </c>
      <c r="F56" s="85">
        <f>_xlfn.CEILING.MATH(250)</f>
        <v>250</v>
      </c>
      <c r="G56" s="86">
        <v>0</v>
      </c>
      <c r="H56" s="85">
        <f t="shared" si="6"/>
        <v>0</v>
      </c>
      <c r="I56" s="86"/>
      <c r="J56" s="87"/>
      <c r="K56" s="88">
        <f t="shared" si="1"/>
        <v>0</v>
      </c>
    </row>
    <row r="57" spans="1:11" s="89" customFormat="1" ht="15.75" outlineLevel="2" x14ac:dyDescent="0.25">
      <c r="A57" s="100" t="s">
        <v>119</v>
      </c>
      <c r="B57" s="69" t="s">
        <v>120</v>
      </c>
      <c r="C57" s="98"/>
      <c r="D57" s="97" t="s">
        <v>121</v>
      </c>
      <c r="E57" s="84">
        <v>1.1000000000000001</v>
      </c>
      <c r="F57" s="85">
        <v>16</v>
      </c>
      <c r="G57" s="86">
        <v>0</v>
      </c>
      <c r="H57" s="85">
        <f t="shared" si="6"/>
        <v>0</v>
      </c>
      <c r="I57" s="86"/>
      <c r="J57" s="87"/>
      <c r="K57" s="88">
        <f t="shared" si="1"/>
        <v>0</v>
      </c>
    </row>
    <row r="58" spans="1:11" s="92" customFormat="1" ht="15.75" outlineLevel="2" x14ac:dyDescent="0.25">
      <c r="A58" s="100" t="s">
        <v>122</v>
      </c>
      <c r="B58" s="69" t="s">
        <v>123</v>
      </c>
      <c r="C58" s="102"/>
      <c r="D58" s="97" t="s">
        <v>24</v>
      </c>
      <c r="E58" s="84">
        <v>1.1000000000000001</v>
      </c>
      <c r="F58" s="103">
        <v>115</v>
      </c>
      <c r="G58" s="86">
        <v>0</v>
      </c>
      <c r="H58" s="85">
        <f t="shared" si="6"/>
        <v>0</v>
      </c>
      <c r="I58" s="86"/>
      <c r="J58" s="87"/>
      <c r="K58" s="88">
        <f t="shared" si="1"/>
        <v>0</v>
      </c>
    </row>
    <row r="59" spans="1:11" s="89" customFormat="1" ht="15.75" outlineLevel="2" x14ac:dyDescent="0.25">
      <c r="A59" s="100" t="s">
        <v>124</v>
      </c>
      <c r="B59" s="100" t="s">
        <v>125</v>
      </c>
      <c r="C59" s="131" t="s">
        <v>115</v>
      </c>
      <c r="D59" s="97" t="s">
        <v>76</v>
      </c>
      <c r="E59" s="142">
        <v>1.04</v>
      </c>
      <c r="F59" s="143">
        <f>10.6*E59*2</f>
        <v>22.047999999999998</v>
      </c>
      <c r="G59" s="86">
        <v>0</v>
      </c>
      <c r="H59" s="143">
        <f t="shared" si="6"/>
        <v>0</v>
      </c>
      <c r="I59" s="144"/>
      <c r="J59" s="145"/>
      <c r="K59" s="146">
        <f t="shared" si="1"/>
        <v>0</v>
      </c>
    </row>
    <row r="60" spans="1:11" s="89" customFormat="1" ht="30" outlineLevel="2" x14ac:dyDescent="0.25">
      <c r="A60" s="100" t="s">
        <v>126</v>
      </c>
      <c r="B60" s="100" t="s">
        <v>127</v>
      </c>
      <c r="C60" s="98"/>
      <c r="D60" s="97" t="s">
        <v>24</v>
      </c>
      <c r="E60" s="142">
        <v>1.1000000000000001</v>
      </c>
      <c r="F60" s="143">
        <f>(F45/2*3*1*0.15+(10.6+3+2.1)*2*170/903+(F41+F45)/2*198/660+F41/2*23/75*2)*E60</f>
        <v>106.58201373200444</v>
      </c>
      <c r="G60" s="86">
        <v>0</v>
      </c>
      <c r="H60" s="143">
        <f t="shared" si="6"/>
        <v>0</v>
      </c>
      <c r="I60" s="144"/>
      <c r="J60" s="145"/>
      <c r="K60" s="146">
        <f t="shared" si="1"/>
        <v>0</v>
      </c>
    </row>
    <row r="61" spans="1:11" s="89" customFormat="1" ht="30" outlineLevel="2" x14ac:dyDescent="0.25">
      <c r="A61" s="100" t="s">
        <v>128</v>
      </c>
      <c r="B61" s="69" t="s">
        <v>129</v>
      </c>
      <c r="C61" s="131" t="s">
        <v>130</v>
      </c>
      <c r="D61" s="97" t="s">
        <v>24</v>
      </c>
      <c r="E61" s="84">
        <v>1.1000000000000001</v>
      </c>
      <c r="F61" s="85">
        <f>F45/2*3*170/903</f>
        <v>30.27242524916943</v>
      </c>
      <c r="G61" s="86">
        <v>0</v>
      </c>
      <c r="H61" s="85">
        <f t="shared" si="6"/>
        <v>0</v>
      </c>
      <c r="I61" s="86"/>
      <c r="J61" s="87"/>
      <c r="K61" s="88">
        <f t="shared" si="1"/>
        <v>0</v>
      </c>
    </row>
    <row r="62" spans="1:11" s="89" customFormat="1" ht="30" outlineLevel="2" x14ac:dyDescent="0.25">
      <c r="A62" s="100" t="s">
        <v>131</v>
      </c>
      <c r="B62" s="100" t="s">
        <v>132</v>
      </c>
      <c r="C62" s="131" t="s">
        <v>115</v>
      </c>
      <c r="D62" s="97" t="s">
        <v>24</v>
      </c>
      <c r="E62" s="142">
        <v>1.04</v>
      </c>
      <c r="F62" s="143">
        <f>(10.6+3+2.1)*2*80/300</f>
        <v>8.3733333333333331</v>
      </c>
      <c r="G62" s="86">
        <v>0</v>
      </c>
      <c r="H62" s="143">
        <f t="shared" si="6"/>
        <v>0</v>
      </c>
      <c r="I62" s="144"/>
      <c r="J62" s="145"/>
      <c r="K62" s="146">
        <f t="shared" si="1"/>
        <v>0</v>
      </c>
    </row>
    <row r="63" spans="1:11" s="28" customFormat="1" ht="30" x14ac:dyDescent="0.25">
      <c r="A63" s="152" t="s">
        <v>133</v>
      </c>
      <c r="B63" s="153" t="s">
        <v>134</v>
      </c>
      <c r="C63" s="154"/>
      <c r="D63" s="155" t="s">
        <v>76</v>
      </c>
      <c r="E63" s="156"/>
      <c r="F63" s="157">
        <f>F41/2</f>
        <v>55.599999999999994</v>
      </c>
      <c r="G63" s="158"/>
      <c r="H63" s="157">
        <f>SUM(H64:H73)</f>
        <v>0</v>
      </c>
      <c r="I63" s="158"/>
      <c r="J63" s="157">
        <f>SUM(J64:J73)</f>
        <v>0</v>
      </c>
      <c r="K63" s="159">
        <f>H63+J63</f>
        <v>0</v>
      </c>
    </row>
    <row r="64" spans="1:11" s="43" customFormat="1" ht="30" outlineLevel="1" x14ac:dyDescent="0.25">
      <c r="A64" s="29" t="s">
        <v>135</v>
      </c>
      <c r="B64" s="30" t="s">
        <v>136</v>
      </c>
      <c r="C64" s="61"/>
      <c r="D64" s="31" t="s">
        <v>76</v>
      </c>
      <c r="E64" s="40"/>
      <c r="F64" s="32">
        <f>F63</f>
        <v>55.599999999999994</v>
      </c>
      <c r="G64" s="160"/>
      <c r="H64" s="87"/>
      <c r="I64" s="160">
        <v>0</v>
      </c>
      <c r="J64" s="32">
        <f>I64*F64</f>
        <v>0</v>
      </c>
      <c r="K64" s="161">
        <f t="shared" ref="K64:K73" si="7">H64+J64</f>
        <v>0</v>
      </c>
    </row>
    <row r="65" spans="1:13" s="43" customFormat="1" outlineLevel="2" x14ac:dyDescent="0.25">
      <c r="A65" s="162" t="s">
        <v>137</v>
      </c>
      <c r="B65" s="163" t="s">
        <v>138</v>
      </c>
      <c r="C65" s="164"/>
      <c r="D65" s="165" t="s">
        <v>139</v>
      </c>
      <c r="E65" s="189">
        <v>2.2839999999999998</v>
      </c>
      <c r="F65" s="188">
        <f>F64*E65</f>
        <v>126.99039999999998</v>
      </c>
      <c r="G65" s="86">
        <v>0</v>
      </c>
      <c r="H65" s="168">
        <f>G65*F65</f>
        <v>0</v>
      </c>
      <c r="I65" s="169"/>
      <c r="J65" s="170"/>
      <c r="K65" s="171">
        <f t="shared" si="7"/>
        <v>0</v>
      </c>
    </row>
    <row r="66" spans="1:13" s="43" customFormat="1" outlineLevel="2" x14ac:dyDescent="0.25">
      <c r="A66" s="162" t="s">
        <v>140</v>
      </c>
      <c r="B66" s="163" t="s">
        <v>141</v>
      </c>
      <c r="C66" s="164"/>
      <c r="D66" s="165" t="s">
        <v>139</v>
      </c>
      <c r="E66" s="189">
        <v>1.1419999999999999</v>
      </c>
      <c r="F66" s="188">
        <f>F64*E66</f>
        <v>63.49519999999999</v>
      </c>
      <c r="G66" s="86">
        <v>0</v>
      </c>
      <c r="H66" s="168">
        <f t="shared" ref="H66:H68" si="8">G66*F66</f>
        <v>0</v>
      </c>
      <c r="I66" s="169"/>
      <c r="J66" s="170"/>
      <c r="K66" s="171">
        <f t="shared" si="7"/>
        <v>0</v>
      </c>
    </row>
    <row r="67" spans="1:13" s="43" customFormat="1" outlineLevel="2" x14ac:dyDescent="0.25">
      <c r="A67" s="162" t="s">
        <v>142</v>
      </c>
      <c r="B67" s="163" t="s">
        <v>143</v>
      </c>
      <c r="C67" s="164"/>
      <c r="D67" s="165" t="s">
        <v>66</v>
      </c>
      <c r="E67" s="190">
        <v>1.01712154602475</v>
      </c>
      <c r="F67" s="188">
        <f>_xlfn.CEILING.MATH(F64*E67)</f>
        <v>57</v>
      </c>
      <c r="G67" s="86">
        <v>0</v>
      </c>
      <c r="H67" s="168">
        <f t="shared" si="8"/>
        <v>0</v>
      </c>
      <c r="I67" s="169"/>
      <c r="J67" s="170"/>
      <c r="K67" s="171">
        <f t="shared" si="7"/>
        <v>0</v>
      </c>
    </row>
    <row r="68" spans="1:13" s="43" customFormat="1" outlineLevel="2" x14ac:dyDescent="0.25">
      <c r="A68" s="162" t="s">
        <v>144</v>
      </c>
      <c r="B68" s="163" t="s">
        <v>145</v>
      </c>
      <c r="C68" s="164"/>
      <c r="D68" s="165" t="s">
        <v>66</v>
      </c>
      <c r="E68" s="190">
        <v>2.0342430920495</v>
      </c>
      <c r="F68" s="188">
        <f>_xlfn.CEILING.MATH(F64*E68)</f>
        <v>114</v>
      </c>
      <c r="G68" s="86">
        <v>0</v>
      </c>
      <c r="H68" s="168">
        <f t="shared" si="8"/>
        <v>0</v>
      </c>
      <c r="I68" s="169"/>
      <c r="J68" s="170"/>
      <c r="K68" s="171">
        <f t="shared" si="7"/>
        <v>0</v>
      </c>
    </row>
    <row r="69" spans="1:13" s="43" customFormat="1" ht="30" outlineLevel="1" x14ac:dyDescent="0.25">
      <c r="A69" s="173" t="s">
        <v>146</v>
      </c>
      <c r="B69" s="174" t="s">
        <v>147</v>
      </c>
      <c r="C69" s="164"/>
      <c r="D69" s="175" t="s">
        <v>76</v>
      </c>
      <c r="E69" s="172"/>
      <c r="F69" s="151">
        <f>F64</f>
        <v>55.599999999999994</v>
      </c>
      <c r="G69" s="169"/>
      <c r="H69" s="170"/>
      <c r="I69" s="160">
        <v>0</v>
      </c>
      <c r="J69" s="32">
        <f>I69*F69</f>
        <v>0</v>
      </c>
      <c r="K69" s="161">
        <f t="shared" si="7"/>
        <v>0</v>
      </c>
    </row>
    <row r="70" spans="1:13" s="43" customFormat="1" outlineLevel="2" x14ac:dyDescent="0.25">
      <c r="A70" s="162" t="s">
        <v>148</v>
      </c>
      <c r="B70" s="163" t="s">
        <v>149</v>
      </c>
      <c r="C70" s="164"/>
      <c r="D70" s="165" t="s">
        <v>24</v>
      </c>
      <c r="E70" s="176">
        <v>0.72046109510086453</v>
      </c>
      <c r="F70" s="177">
        <f>E70*F69</f>
        <v>40.057636887608062</v>
      </c>
      <c r="G70" s="86">
        <v>0</v>
      </c>
      <c r="H70" s="168">
        <f>G70*F70</f>
        <v>0</v>
      </c>
      <c r="I70" s="169"/>
      <c r="J70" s="170"/>
      <c r="K70" s="171">
        <f t="shared" si="7"/>
        <v>0</v>
      </c>
    </row>
    <row r="71" spans="1:13" s="43" customFormat="1" outlineLevel="2" x14ac:dyDescent="0.25">
      <c r="A71" s="162" t="s">
        <v>59</v>
      </c>
      <c r="B71" s="163" t="s">
        <v>150</v>
      </c>
      <c r="C71" s="164"/>
      <c r="D71" s="165" t="s">
        <v>66</v>
      </c>
      <c r="E71" s="176">
        <v>0.84760128835395832</v>
      </c>
      <c r="F71" s="177">
        <f>_xlfn.CEILING.MATH(E71*F69)</f>
        <v>48</v>
      </c>
      <c r="G71" s="86">
        <v>0</v>
      </c>
      <c r="H71" s="168">
        <f t="shared" ref="H71:H73" si="9">G71*F71</f>
        <v>0</v>
      </c>
      <c r="I71" s="169"/>
      <c r="J71" s="170"/>
      <c r="K71" s="171">
        <f t="shared" si="7"/>
        <v>0</v>
      </c>
    </row>
    <row r="72" spans="1:13" s="43" customFormat="1" outlineLevel="2" x14ac:dyDescent="0.25">
      <c r="A72" s="162" t="s">
        <v>151</v>
      </c>
      <c r="B72" s="163" t="s">
        <v>152</v>
      </c>
      <c r="C72" s="164"/>
      <c r="D72" s="165" t="s">
        <v>66</v>
      </c>
      <c r="E72" s="176">
        <v>1.6952025767079166</v>
      </c>
      <c r="F72" s="177">
        <f>_xlfn.CEILING.MATH(E72*F69)</f>
        <v>95</v>
      </c>
      <c r="G72" s="86">
        <v>0</v>
      </c>
      <c r="H72" s="168">
        <f t="shared" si="9"/>
        <v>0</v>
      </c>
      <c r="I72" s="169"/>
      <c r="J72" s="170"/>
      <c r="K72" s="171">
        <f t="shared" si="7"/>
        <v>0</v>
      </c>
    </row>
    <row r="73" spans="1:13" s="43" customFormat="1" outlineLevel="2" x14ac:dyDescent="0.25">
      <c r="A73" s="162" t="s">
        <v>153</v>
      </c>
      <c r="B73" s="163" t="s">
        <v>154</v>
      </c>
      <c r="C73" s="164"/>
      <c r="D73" s="165" t="s">
        <v>66</v>
      </c>
      <c r="E73" s="178">
        <v>3.3904051534158333</v>
      </c>
      <c r="F73" s="177">
        <f>_xlfn.CEILING.MATH(E73*F69)</f>
        <v>189</v>
      </c>
      <c r="G73" s="86">
        <v>0</v>
      </c>
      <c r="H73" s="168">
        <f t="shared" si="9"/>
        <v>0</v>
      </c>
      <c r="I73" s="169"/>
      <c r="J73" s="170"/>
      <c r="K73" s="171">
        <f t="shared" si="7"/>
        <v>0</v>
      </c>
    </row>
    <row r="74" spans="1:13" s="113" customFormat="1" ht="15.75" outlineLevel="2" x14ac:dyDescent="0.25">
      <c r="A74" s="80" t="s">
        <v>83</v>
      </c>
      <c r="B74" s="104" t="s">
        <v>155</v>
      </c>
      <c r="C74" s="105"/>
      <c r="D74" s="106" t="s">
        <v>156</v>
      </c>
      <c r="E74" s="107"/>
      <c r="F74" s="108"/>
      <c r="G74" s="109"/>
      <c r="H74" s="108">
        <f t="shared" si="6"/>
        <v>0</v>
      </c>
      <c r="I74" s="109"/>
      <c r="J74" s="110"/>
      <c r="K74" s="111">
        <f t="shared" si="1"/>
        <v>0</v>
      </c>
      <c r="L74" s="112"/>
    </row>
    <row r="75" spans="1:13" s="113" customFormat="1" ht="15.75" outlineLevel="2" x14ac:dyDescent="0.25">
      <c r="A75" s="80" t="s">
        <v>85</v>
      </c>
      <c r="B75" s="30" t="s">
        <v>157</v>
      </c>
      <c r="C75" s="61"/>
      <c r="D75" s="31" t="s">
        <v>156</v>
      </c>
      <c r="E75" s="84"/>
      <c r="F75" s="108"/>
      <c r="G75" s="86"/>
      <c r="H75" s="85">
        <f t="shared" si="6"/>
        <v>0</v>
      </c>
      <c r="I75" s="86"/>
      <c r="J75" s="87"/>
      <c r="K75" s="88">
        <f t="shared" si="1"/>
        <v>0</v>
      </c>
      <c r="L75" s="112"/>
    </row>
    <row r="76" spans="1:13" s="36" customFormat="1" ht="30" outlineLevel="1" x14ac:dyDescent="0.25">
      <c r="A76" s="80" t="s">
        <v>87</v>
      </c>
      <c r="B76" s="30" t="s">
        <v>158</v>
      </c>
      <c r="C76" s="61"/>
      <c r="D76" s="31" t="s">
        <v>159</v>
      </c>
      <c r="E76" s="84"/>
      <c r="F76" s="108"/>
      <c r="G76" s="86"/>
      <c r="H76" s="85">
        <f t="shared" si="6"/>
        <v>0</v>
      </c>
      <c r="I76" s="86"/>
      <c r="J76" s="87"/>
      <c r="K76" s="88">
        <f t="shared" si="1"/>
        <v>0</v>
      </c>
      <c r="L76" s="112"/>
    </row>
    <row r="77" spans="1:13" s="36" customFormat="1" ht="15.75" outlineLevel="1" x14ac:dyDescent="0.25">
      <c r="A77" s="80" t="s">
        <v>89</v>
      </c>
      <c r="B77" s="30" t="s">
        <v>160</v>
      </c>
      <c r="C77" s="61"/>
      <c r="D77" s="31" t="s">
        <v>159</v>
      </c>
      <c r="E77" s="84"/>
      <c r="F77" s="85"/>
      <c r="G77" s="86"/>
      <c r="H77" s="85">
        <f t="shared" si="6"/>
        <v>0</v>
      </c>
      <c r="I77" s="86"/>
      <c r="J77" s="87"/>
      <c r="K77" s="88">
        <f t="shared" si="1"/>
        <v>0</v>
      </c>
      <c r="L77" s="112"/>
      <c r="M77" s="114"/>
    </row>
    <row r="78" spans="1:13" s="36" customFormat="1" ht="15.75" outlineLevel="1" x14ac:dyDescent="0.25">
      <c r="A78" s="80" t="s">
        <v>91</v>
      </c>
      <c r="B78" s="30" t="s">
        <v>161</v>
      </c>
      <c r="C78" s="61"/>
      <c r="D78" s="31" t="s">
        <v>162</v>
      </c>
      <c r="E78" s="84"/>
      <c r="F78" s="85"/>
      <c r="G78" s="86"/>
      <c r="H78" s="85">
        <f t="shared" si="6"/>
        <v>0</v>
      </c>
      <c r="I78" s="86"/>
      <c r="J78" s="87"/>
      <c r="K78" s="88">
        <f t="shared" ref="K78:K85" si="10">H78+J78</f>
        <v>0</v>
      </c>
      <c r="L78" s="112"/>
    </row>
    <row r="79" spans="1:13" s="36" customFormat="1" ht="15.75" outlineLevel="1" x14ac:dyDescent="0.25">
      <c r="A79" s="80" t="s">
        <v>93</v>
      </c>
      <c r="B79" s="64" t="s">
        <v>163</v>
      </c>
      <c r="C79" s="65"/>
      <c r="D79" s="66" t="s">
        <v>61</v>
      </c>
      <c r="E79" s="115"/>
      <c r="F79" s="116"/>
      <c r="G79" s="117"/>
      <c r="H79" s="116">
        <f t="shared" si="6"/>
        <v>0</v>
      </c>
      <c r="I79" s="117"/>
      <c r="J79" s="118"/>
      <c r="K79" s="88">
        <f t="shared" si="10"/>
        <v>0</v>
      </c>
      <c r="L79" s="70"/>
    </row>
    <row r="80" spans="1:13" s="36" customFormat="1" ht="15.75" outlineLevel="1" x14ac:dyDescent="0.25">
      <c r="A80" s="80" t="s">
        <v>95</v>
      </c>
      <c r="B80" s="64" t="s">
        <v>163</v>
      </c>
      <c r="C80" s="65"/>
      <c r="D80" s="66" t="s">
        <v>61</v>
      </c>
      <c r="E80" s="115"/>
      <c r="F80" s="116"/>
      <c r="G80" s="117"/>
      <c r="H80" s="116">
        <f t="shared" si="6"/>
        <v>0</v>
      </c>
      <c r="I80" s="117"/>
      <c r="J80" s="118"/>
      <c r="K80" s="119">
        <f t="shared" si="10"/>
        <v>0</v>
      </c>
      <c r="L80" s="70"/>
      <c r="M80" s="94"/>
    </row>
    <row r="81" spans="1:13" s="36" customFormat="1" ht="15.75" outlineLevel="1" x14ac:dyDescent="0.25">
      <c r="A81" s="80" t="s">
        <v>97</v>
      </c>
      <c r="B81" s="64" t="s">
        <v>163</v>
      </c>
      <c r="C81" s="65"/>
      <c r="D81" s="66" t="s">
        <v>61</v>
      </c>
      <c r="E81" s="115"/>
      <c r="F81" s="116"/>
      <c r="G81" s="117"/>
      <c r="H81" s="116">
        <f t="shared" si="6"/>
        <v>0</v>
      </c>
      <c r="I81" s="117"/>
      <c r="J81" s="118"/>
      <c r="K81" s="119">
        <f t="shared" si="10"/>
        <v>0</v>
      </c>
      <c r="L81" s="70"/>
    </row>
    <row r="82" spans="1:13" s="36" customFormat="1" ht="15.75" outlineLevel="1" x14ac:dyDescent="0.25">
      <c r="A82" s="80" t="s">
        <v>164</v>
      </c>
      <c r="B82" s="64" t="s">
        <v>165</v>
      </c>
      <c r="C82" s="65"/>
      <c r="D82" s="66" t="s">
        <v>61</v>
      </c>
      <c r="E82" s="115"/>
      <c r="F82" s="116"/>
      <c r="G82" s="117"/>
      <c r="H82" s="116">
        <f t="shared" si="6"/>
        <v>0</v>
      </c>
      <c r="I82" s="117"/>
      <c r="J82" s="118"/>
      <c r="K82" s="119">
        <f t="shared" si="10"/>
        <v>0</v>
      </c>
      <c r="L82" s="70"/>
    </row>
    <row r="83" spans="1:13" s="120" customFormat="1" ht="15.75" outlineLevel="1" x14ac:dyDescent="0.25">
      <c r="A83" s="80" t="s">
        <v>166</v>
      </c>
      <c r="B83" s="104" t="s">
        <v>167</v>
      </c>
      <c r="C83" s="105"/>
      <c r="D83" s="106" t="s">
        <v>159</v>
      </c>
      <c r="E83" s="107"/>
      <c r="F83" s="108"/>
      <c r="G83" s="109"/>
      <c r="H83" s="108">
        <f t="shared" si="6"/>
        <v>0</v>
      </c>
      <c r="I83" s="109"/>
      <c r="J83" s="110"/>
      <c r="K83" s="111">
        <f t="shared" si="10"/>
        <v>0</v>
      </c>
    </row>
    <row r="84" spans="1:13" s="120" customFormat="1" ht="15.75" outlineLevel="1" x14ac:dyDescent="0.25">
      <c r="A84" s="80" t="s">
        <v>168</v>
      </c>
      <c r="B84" s="104" t="s">
        <v>169</v>
      </c>
      <c r="C84" s="105"/>
      <c r="D84" s="106" t="s">
        <v>159</v>
      </c>
      <c r="E84" s="107"/>
      <c r="F84" s="108"/>
      <c r="G84" s="109"/>
      <c r="H84" s="108">
        <f t="shared" si="6"/>
        <v>0</v>
      </c>
      <c r="I84" s="109"/>
      <c r="J84" s="110"/>
      <c r="K84" s="111">
        <f t="shared" si="10"/>
        <v>0</v>
      </c>
      <c r="L84" s="112"/>
      <c r="M84" s="121"/>
    </row>
    <row r="85" spans="1:13" s="43" customFormat="1" ht="16.5" outlineLevel="1" thickBot="1" x14ac:dyDescent="0.3">
      <c r="A85" s="4"/>
      <c r="B85" s="5"/>
      <c r="C85" s="62"/>
      <c r="D85" s="6"/>
      <c r="E85" s="42"/>
      <c r="F85" s="7"/>
      <c r="G85" s="27"/>
      <c r="H85" s="7">
        <f t="shared" si="6"/>
        <v>0</v>
      </c>
      <c r="I85" s="27"/>
      <c r="J85" s="32"/>
      <c r="K85" s="8">
        <f t="shared" si="10"/>
        <v>0</v>
      </c>
    </row>
    <row r="86" spans="1:13" ht="15.75" x14ac:dyDescent="0.25">
      <c r="A86" s="49"/>
      <c r="B86" s="49" t="s">
        <v>170</v>
      </c>
      <c r="C86" s="58"/>
      <c r="D86" s="51"/>
      <c r="E86" s="41"/>
      <c r="F86" s="9"/>
      <c r="G86" s="10"/>
      <c r="H86" s="200">
        <f>H16+H51</f>
        <v>0</v>
      </c>
      <c r="I86" s="11"/>
      <c r="J86" s="12" t="e">
        <f>J16+J51</f>
        <v>#VALUE!</v>
      </c>
      <c r="K86" s="13" t="e">
        <f>H86+J86</f>
        <v>#VALUE!</v>
      </c>
      <c r="L86" s="197"/>
      <c r="M86" s="197"/>
    </row>
    <row r="87" spans="1:13" ht="16.5" thickBot="1" x14ac:dyDescent="0.3">
      <c r="A87" s="50"/>
      <c r="B87" s="50" t="s">
        <v>171</v>
      </c>
      <c r="C87" s="59"/>
      <c r="D87" s="52"/>
      <c r="E87" s="38"/>
      <c r="F87" s="14"/>
      <c r="G87" s="15"/>
      <c r="H87" s="14">
        <f>H88-H86</f>
        <v>0</v>
      </c>
      <c r="I87" s="16"/>
      <c r="J87" s="17" t="e">
        <f>J88-J86</f>
        <v>#VALUE!</v>
      </c>
      <c r="K87" s="18" t="e">
        <f>K86*0.2</f>
        <v>#VALUE!</v>
      </c>
      <c r="L87" s="197"/>
      <c r="M87" s="197"/>
    </row>
    <row r="88" spans="1:13" ht="16.5" thickBot="1" x14ac:dyDescent="0.3">
      <c r="A88" s="19"/>
      <c r="B88" s="20" t="s">
        <v>172</v>
      </c>
      <c r="C88" s="60"/>
      <c r="D88" s="21"/>
      <c r="E88" s="39"/>
      <c r="F88" s="22"/>
      <c r="G88" s="23"/>
      <c r="H88" s="22">
        <f>H86*1.2</f>
        <v>0</v>
      </c>
      <c r="I88" s="24"/>
      <c r="J88" s="25" t="e">
        <f>J86*1.2</f>
        <v>#VALUE!</v>
      </c>
      <c r="K88" s="26" t="e">
        <f>SUM(K86:K87)</f>
        <v>#VALUE!</v>
      </c>
      <c r="L88" s="197"/>
      <c r="M88" s="197"/>
    </row>
    <row r="89" spans="1:13" s="34" customFormat="1" ht="12.75" x14ac:dyDescent="0.25"/>
    <row r="90" spans="1:13" s="45" customFormat="1" x14ac:dyDescent="0.25">
      <c r="A90" s="225" t="s">
        <v>173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01"/>
      <c r="M90" s="201"/>
    </row>
    <row r="91" spans="1:13" x14ac:dyDescent="0.25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</row>
    <row r="92" spans="1:13" ht="15" customHeight="1" x14ac:dyDescent="0.25">
      <c r="A92" s="206" t="s">
        <v>174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197"/>
      <c r="M92" s="197"/>
    </row>
    <row r="93" spans="1:13" ht="15" customHeight="1" x14ac:dyDescent="0.25">
      <c r="A93" s="206" t="s">
        <v>175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197"/>
      <c r="M93" s="197"/>
    </row>
    <row r="94" spans="1:13" ht="15" customHeight="1" x14ac:dyDescent="0.25">
      <c r="A94" s="229" t="s">
        <v>176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197"/>
      <c r="M94" s="197"/>
    </row>
    <row r="95" spans="1:13" ht="15" customHeight="1" x14ac:dyDescent="0.25">
      <c r="A95" s="206" t="s">
        <v>177</v>
      </c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197"/>
      <c r="M95" s="197"/>
    </row>
    <row r="96" spans="1:13" ht="30" customHeight="1" x14ac:dyDescent="0.25">
      <c r="A96" s="229" t="s">
        <v>178</v>
      </c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197"/>
      <c r="M96" s="197"/>
    </row>
    <row r="97" spans="1:11" ht="15" customHeight="1" x14ac:dyDescent="0.25">
      <c r="A97" s="206" t="s">
        <v>179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</row>
    <row r="98" spans="1:11" ht="46.5" customHeight="1" x14ac:dyDescent="0.25">
      <c r="A98" s="230" t="s">
        <v>180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</row>
    <row r="99" spans="1:11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197"/>
    </row>
    <row r="100" spans="1:11" ht="21" x14ac:dyDescent="0.25">
      <c r="A100" s="231" t="s">
        <v>181</v>
      </c>
      <c r="B100" s="231"/>
      <c r="C100" s="43"/>
      <c r="D100" s="232"/>
      <c r="E100" s="232"/>
      <c r="F100" s="232"/>
      <c r="G100" s="232"/>
      <c r="H100" s="226"/>
      <c r="I100" s="226"/>
      <c r="J100" s="226"/>
      <c r="K100" s="226"/>
    </row>
    <row r="101" spans="1:11" x14ac:dyDescent="0.25">
      <c r="A101" s="226"/>
      <c r="B101" s="226"/>
      <c r="C101" s="57"/>
      <c r="D101" s="227" t="s">
        <v>182</v>
      </c>
      <c r="E101" s="227"/>
      <c r="F101" s="227"/>
      <c r="G101" s="227"/>
      <c r="H101" s="227" t="s">
        <v>183</v>
      </c>
      <c r="I101" s="227"/>
      <c r="J101" s="227"/>
      <c r="K101" s="227"/>
    </row>
    <row r="102" spans="1:11" x14ac:dyDescent="0.25">
      <c r="A102" s="228" t="s">
        <v>184</v>
      </c>
      <c r="B102" s="228"/>
      <c r="C102" s="56"/>
      <c r="D102" s="197"/>
      <c r="E102" s="197"/>
      <c r="F102" s="197"/>
      <c r="G102" s="197"/>
      <c r="H102" s="197"/>
      <c r="I102" s="197"/>
      <c r="J102" s="197"/>
      <c r="K102" s="197"/>
    </row>
  </sheetData>
  <mergeCells count="34">
    <mergeCell ref="A101:B101"/>
    <mergeCell ref="D101:G101"/>
    <mergeCell ref="H101:K101"/>
    <mergeCell ref="A102:B102"/>
    <mergeCell ref="A94:K94"/>
    <mergeCell ref="A95:K95"/>
    <mergeCell ref="A96:K96"/>
    <mergeCell ref="A97:K97"/>
    <mergeCell ref="A98:K98"/>
    <mergeCell ref="A100:B100"/>
    <mergeCell ref="D100:G100"/>
    <mergeCell ref="H100:K100"/>
    <mergeCell ref="A93:K93"/>
    <mergeCell ref="A8:K8"/>
    <mergeCell ref="J9:K9"/>
    <mergeCell ref="J10:K10"/>
    <mergeCell ref="B11:K11"/>
    <mergeCell ref="A14:A15"/>
    <mergeCell ref="B14:B15"/>
    <mergeCell ref="C14:C15"/>
    <mergeCell ref="D14:D15"/>
    <mergeCell ref="E14:E15"/>
    <mergeCell ref="F14:F15"/>
    <mergeCell ref="G14:H14"/>
    <mergeCell ref="I14:J14"/>
    <mergeCell ref="K14:K15"/>
    <mergeCell ref="A90:K90"/>
    <mergeCell ref="A92:K92"/>
    <mergeCell ref="A7:K7"/>
    <mergeCell ref="A2:K2"/>
    <mergeCell ref="A3:B3"/>
    <mergeCell ref="D3:I3"/>
    <mergeCell ref="A5:K5"/>
    <mergeCell ref="A6:K6"/>
  </mergeCells>
  <conditionalFormatting sqref="A101:C101">
    <cfRule type="cellIs" dxfId="54" priority="27" operator="equal">
      <formula>0</formula>
    </cfRule>
  </conditionalFormatting>
  <conditionalFormatting sqref="B11:K11">
    <cfRule type="cellIs" dxfId="53" priority="29" operator="equal">
      <formula>0</formula>
    </cfRule>
  </conditionalFormatting>
  <conditionalFormatting sqref="F85:G85 F18:F34 F49:F62">
    <cfRule type="cellIs" dxfId="52" priority="26" operator="equal">
      <formula>0</formula>
    </cfRule>
  </conditionalFormatting>
  <conditionalFormatting sqref="H100:K100">
    <cfRule type="cellIs" dxfId="51" priority="28" operator="equal">
      <formula>0</formula>
    </cfRule>
  </conditionalFormatting>
  <conditionalFormatting sqref="J9:K9">
    <cfRule type="cellIs" dxfId="50" priority="30" operator="equal">
      <formula>0</formula>
    </cfRule>
  </conditionalFormatting>
  <conditionalFormatting sqref="F48">
    <cfRule type="cellIs" dxfId="49" priority="17" operator="equal">
      <formula>0</formula>
    </cfRule>
  </conditionalFormatting>
  <conditionalFormatting sqref="F42 F35:F38">
    <cfRule type="cellIs" dxfId="48" priority="14" operator="equal">
      <formula>0</formula>
    </cfRule>
  </conditionalFormatting>
  <conditionalFormatting sqref="F74:G84">
    <cfRule type="cellIs" dxfId="47" priority="13" operator="equal">
      <formula>0</formula>
    </cfRule>
  </conditionalFormatting>
  <conditionalFormatting sqref="I18">
    <cfRule type="cellIs" dxfId="46" priority="25" operator="equal">
      <formula>0</formula>
    </cfRule>
  </conditionalFormatting>
  <conditionalFormatting sqref="I28">
    <cfRule type="cellIs" dxfId="45" priority="24" operator="equal">
      <formula>0</formula>
    </cfRule>
  </conditionalFormatting>
  <conditionalFormatting sqref="I31">
    <cfRule type="cellIs" dxfId="44" priority="23" operator="equal">
      <formula>0</formula>
    </cfRule>
  </conditionalFormatting>
  <conditionalFormatting sqref="I33">
    <cfRule type="cellIs" dxfId="43" priority="22" operator="equal">
      <formula>0</formula>
    </cfRule>
  </conditionalFormatting>
  <conditionalFormatting sqref="I42">
    <cfRule type="cellIs" dxfId="42" priority="16" operator="equal">
      <formula>0</formula>
    </cfRule>
  </conditionalFormatting>
  <conditionalFormatting sqref="F39:F41">
    <cfRule type="cellIs" dxfId="41" priority="11" operator="equal">
      <formula>0</formula>
    </cfRule>
  </conditionalFormatting>
  <conditionalFormatting sqref="I39:I41">
    <cfRule type="cellIs" dxfId="40" priority="12" operator="equal">
      <formula>0</formula>
    </cfRule>
  </conditionalFormatting>
  <conditionalFormatting sqref="F46:F47">
    <cfRule type="cellIs" dxfId="39" priority="9" operator="equal">
      <formula>0</formula>
    </cfRule>
  </conditionalFormatting>
  <conditionalFormatting sqref="I46:I47">
    <cfRule type="cellIs" dxfId="38" priority="10" operator="equal">
      <formula>0</formula>
    </cfRule>
  </conditionalFormatting>
  <conditionalFormatting sqref="F43:F45">
    <cfRule type="cellIs" dxfId="37" priority="7" operator="equal">
      <formula>0</formula>
    </cfRule>
  </conditionalFormatting>
  <conditionalFormatting sqref="I43:I45">
    <cfRule type="cellIs" dxfId="36" priority="8" operator="equal">
      <formula>0</formula>
    </cfRule>
  </conditionalFormatting>
  <conditionalFormatting sqref="F17">
    <cfRule type="cellIs" dxfId="35" priority="6" operator="equal">
      <formula>0</formula>
    </cfRule>
  </conditionalFormatting>
  <conditionalFormatting sqref="I17">
    <cfRule type="cellIs" dxfId="34" priority="5" operator="equal">
      <formula>0</formula>
    </cfRule>
  </conditionalFormatting>
  <conditionalFormatting sqref="F64:F68">
    <cfRule type="cellIs" dxfId="33" priority="4" operator="equal">
      <formula>0</formula>
    </cfRule>
  </conditionalFormatting>
  <conditionalFormatting sqref="F69:F73">
    <cfRule type="cellIs" dxfId="32" priority="3" operator="equal">
      <formula>0</formula>
    </cfRule>
  </conditionalFormatting>
  <conditionalFormatting sqref="I64">
    <cfRule type="cellIs" dxfId="31" priority="2" operator="equal">
      <formula>0</formula>
    </cfRule>
  </conditionalFormatting>
  <conditionalFormatting sqref="I69">
    <cfRule type="cellIs" dxfId="30" priority="1" operator="equal">
      <formula>0</formula>
    </cfRule>
  </conditionalFormatting>
  <printOptions horizontalCentered="1"/>
  <pageMargins left="1.1811023622047245" right="0.39370078740157483" top="1.1811023622047245" bottom="0.59055118110236227" header="0" footer="0"/>
  <pageSetup paperSize="9" scale="46" fitToHeight="2" orientation="landscape" blackAndWhite="1" r:id="rId1"/>
  <headerFooter>
    <oddFooter>&amp;RАркуш. &amp;P
Аркушів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05"/>
  <sheetViews>
    <sheetView view="pageBreakPreview" zoomScale="115" zoomScaleNormal="115" zoomScaleSheetLayoutView="115" workbookViewId="0">
      <pane xSplit="2" ySplit="15" topLeftCell="D28" activePane="bottomRight" state="frozen"/>
      <selection pane="topRight" activeCell="C1" sqref="C1"/>
      <selection pane="bottomLeft" activeCell="A16" sqref="A16"/>
      <selection pane="bottomRight" activeCell="G39" sqref="G39"/>
    </sheetView>
  </sheetViews>
  <sheetFormatPr defaultColWidth="9.140625" defaultRowHeight="15" outlineLevelRow="2" outlineLevelCol="1" x14ac:dyDescent="0.25"/>
  <cols>
    <col min="1" max="1" width="8.7109375" style="44" customWidth="1"/>
    <col min="2" max="2" width="52" style="44" customWidth="1"/>
    <col min="3" max="3" width="17.140625" style="44" hidden="1" customWidth="1" outlineLevel="1"/>
    <col min="4" max="4" width="9.7109375" style="44" customWidth="1" collapsed="1"/>
    <col min="5" max="5" width="9.7109375" style="44" customWidth="1" outlineLevel="1"/>
    <col min="6" max="6" width="10" style="44" customWidth="1"/>
    <col min="7" max="7" width="11.7109375" style="44" customWidth="1" outlineLevel="1"/>
    <col min="8" max="8" width="13.7109375" style="44" customWidth="1" outlineLevel="1"/>
    <col min="9" max="9" width="11.7109375" style="44" customWidth="1" outlineLevel="1"/>
    <col min="10" max="10" width="13.7109375" style="44" customWidth="1" outlineLevel="1"/>
    <col min="11" max="11" width="18.7109375" style="44" customWidth="1"/>
    <col min="12" max="16384" width="9.140625" style="44"/>
  </cols>
  <sheetData>
    <row r="1" spans="1:11" ht="15" customHeight="1" x14ac:dyDescent="0.2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36" customFormat="1" ht="15" customHeight="1" collapsed="1" x14ac:dyDescent="0.25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s="36" customFormat="1" ht="15" hidden="1" customHeight="1" outlineLevel="1" x14ac:dyDescent="0.25">
      <c r="A3" s="204" t="s">
        <v>1</v>
      </c>
      <c r="B3" s="204"/>
      <c r="C3" s="55"/>
      <c r="D3" s="204"/>
      <c r="E3" s="204"/>
      <c r="F3" s="204"/>
      <c r="G3" s="204"/>
      <c r="H3" s="204"/>
      <c r="I3" s="204"/>
      <c r="J3" s="35"/>
      <c r="K3" s="35"/>
    </row>
    <row r="4" spans="1:11" s="36" customFormat="1" hidden="1" outlineLevel="1" x14ac:dyDescent="0.25"/>
    <row r="5" spans="1:11" s="36" customFormat="1" hidden="1" outlineLevel="1" x14ac:dyDescent="0.25">
      <c r="A5" s="202" t="s">
        <v>2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s="36" customFormat="1" ht="15" hidden="1" customHeight="1" outlineLevel="1" x14ac:dyDescent="0.25">
      <c r="A6" s="205" t="s">
        <v>3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5" hidden="1" customHeight="1" outlineLevel="1" x14ac:dyDescent="0.25">
      <c r="A7" s="202" t="s">
        <v>185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s="36" customFormat="1" ht="33" hidden="1" customHeight="1" outlineLevel="1" x14ac:dyDescent="0.25">
      <c r="A8" s="205" t="s">
        <v>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20.100000000000001" hidden="1" customHeight="1" outlineLevel="1" x14ac:dyDescent="0.25">
      <c r="A9" s="54"/>
      <c r="B9" s="54"/>
      <c r="C9" s="54"/>
      <c r="D9" s="54"/>
      <c r="E9" s="54"/>
      <c r="F9" s="54"/>
      <c r="G9" s="54"/>
      <c r="H9" s="54"/>
      <c r="I9" s="54"/>
      <c r="J9" s="207">
        <v>45994</v>
      </c>
      <c r="K9" s="207"/>
    </row>
    <row r="10" spans="1:11" ht="15" hidden="1" customHeight="1" outlineLevel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208" t="s">
        <v>6</v>
      </c>
      <c r="K10" s="208"/>
    </row>
    <row r="11" spans="1:11" ht="20.100000000000001" hidden="1" customHeight="1" outlineLevel="1" x14ac:dyDescent="0.25">
      <c r="A11" s="37" t="s">
        <v>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spans="1:11" ht="15" hidden="1" customHeight="1" outlineLevel="1" x14ac:dyDescent="0.25">
      <c r="A12" s="54"/>
      <c r="B12" s="48" t="s">
        <v>8</v>
      </c>
      <c r="C12" s="48"/>
      <c r="D12" s="54"/>
      <c r="E12" s="54"/>
      <c r="F12" s="54"/>
      <c r="G12" s="54"/>
      <c r="H12" s="54"/>
      <c r="I12" s="54"/>
      <c r="J12" s="54"/>
      <c r="K12" s="54"/>
    </row>
    <row r="13" spans="1:11" ht="15" customHeight="1" thickBot="1" x14ac:dyDescent="0.3">
      <c r="A13" s="36"/>
      <c r="B13" s="36"/>
      <c r="C13" s="36"/>
      <c r="D13" s="36"/>
      <c r="E13" s="36">
        <f>(F41+F45)/0.3</f>
        <v>728</v>
      </c>
      <c r="F13" s="36"/>
      <c r="G13" s="197"/>
      <c r="H13" s="197"/>
      <c r="I13" s="197"/>
      <c r="J13" s="197"/>
      <c r="K13" s="197"/>
    </row>
    <row r="14" spans="1:11" ht="50.1" customHeight="1" x14ac:dyDescent="0.25">
      <c r="A14" s="210" t="s">
        <v>9</v>
      </c>
      <c r="B14" s="210" t="s">
        <v>10</v>
      </c>
      <c r="C14" s="212" t="s">
        <v>11</v>
      </c>
      <c r="D14" s="214" t="s">
        <v>12</v>
      </c>
      <c r="E14" s="216" t="s">
        <v>13</v>
      </c>
      <c r="F14" s="218" t="s">
        <v>14</v>
      </c>
      <c r="G14" s="220" t="s">
        <v>15</v>
      </c>
      <c r="H14" s="218"/>
      <c r="I14" s="221" t="s">
        <v>16</v>
      </c>
      <c r="J14" s="222"/>
      <c r="K14" s="223" t="s">
        <v>17</v>
      </c>
    </row>
    <row r="15" spans="1:11" ht="30" customHeight="1" thickBot="1" x14ac:dyDescent="0.3">
      <c r="A15" s="211"/>
      <c r="B15" s="211"/>
      <c r="C15" s="213"/>
      <c r="D15" s="215"/>
      <c r="E15" s="217"/>
      <c r="F15" s="219"/>
      <c r="G15" s="1" t="s">
        <v>18</v>
      </c>
      <c r="H15" s="53" t="s">
        <v>19</v>
      </c>
      <c r="I15" s="2" t="s">
        <v>18</v>
      </c>
      <c r="J15" s="3" t="s">
        <v>19</v>
      </c>
      <c r="K15" s="224"/>
    </row>
    <row r="16" spans="1:11" s="79" customFormat="1" ht="63.75" thickBot="1" x14ac:dyDescent="0.3">
      <c r="A16" s="71" t="s">
        <v>20</v>
      </c>
      <c r="B16" s="72" t="s">
        <v>21</v>
      </c>
      <c r="C16" s="73"/>
      <c r="D16" s="74"/>
      <c r="E16" s="75"/>
      <c r="F16" s="76"/>
      <c r="G16" s="77"/>
      <c r="H16" s="76" t="e">
        <f>SUM(H18:H87)</f>
        <v>#VALUE!</v>
      </c>
      <c r="I16" s="77"/>
      <c r="J16" s="76" t="e">
        <f>SUM(J18:J87)</f>
        <v>#VALUE!</v>
      </c>
      <c r="K16" s="78" t="e">
        <f>H16+J16</f>
        <v>#VALUE!</v>
      </c>
    </row>
    <row r="17" spans="1:18" s="79" customFormat="1" ht="15.75" outlineLevel="1" x14ac:dyDescent="0.25">
      <c r="A17" s="80" t="s">
        <v>22</v>
      </c>
      <c r="B17" s="64" t="s">
        <v>23</v>
      </c>
      <c r="C17" s="65"/>
      <c r="D17" s="66" t="s">
        <v>24</v>
      </c>
      <c r="E17" s="67"/>
      <c r="F17" s="68">
        <f>F33</f>
        <v>630.23799999999994</v>
      </c>
      <c r="G17" s="63"/>
      <c r="H17" s="68"/>
      <c r="I17" s="63">
        <v>14400</v>
      </c>
      <c r="J17" s="68">
        <f t="shared" ref="J17" si="0">$F17*I17</f>
        <v>9075427.1999999993</v>
      </c>
      <c r="K17" s="81">
        <f t="shared" ref="K17" si="1">H17+J17</f>
        <v>9075427.1999999993</v>
      </c>
      <c r="L17"/>
      <c r="M17"/>
      <c r="N17"/>
      <c r="O17"/>
      <c r="P17"/>
      <c r="Q17" s="197"/>
      <c r="R17" s="198"/>
    </row>
    <row r="18" spans="1:18" s="79" customFormat="1" ht="15.75" outlineLevel="1" x14ac:dyDescent="0.25">
      <c r="A18" s="80" t="s">
        <v>25</v>
      </c>
      <c r="B18" s="64" t="s">
        <v>26</v>
      </c>
      <c r="C18" s="65"/>
      <c r="D18" s="66" t="s">
        <v>27</v>
      </c>
      <c r="E18" s="67"/>
      <c r="F18" s="68" t="e">
        <f>(F19+F20+F21+F22+F23+F24+F25+F26)/E19</f>
        <v>#VALUE!</v>
      </c>
      <c r="G18" s="63"/>
      <c r="H18" s="68"/>
      <c r="I18" s="63">
        <v>14400</v>
      </c>
      <c r="J18" s="68" t="e">
        <f t="shared" ref="J18" si="2">$F18*I18</f>
        <v>#VALUE!</v>
      </c>
      <c r="K18" s="81" t="e">
        <f t="shared" ref="K18:K87" si="3">H18+J18</f>
        <v>#VALUE!</v>
      </c>
      <c r="L18"/>
      <c r="M18"/>
      <c r="N18"/>
      <c r="O18"/>
      <c r="P18"/>
      <c r="Q18" s="197"/>
      <c r="R18" s="198"/>
    </row>
    <row r="19" spans="1:18" s="89" customFormat="1" ht="15.75" outlineLevel="2" x14ac:dyDescent="0.25">
      <c r="A19" s="69" t="s">
        <v>28</v>
      </c>
      <c r="B19" s="69" t="s">
        <v>29</v>
      </c>
      <c r="C19" s="82" t="s">
        <v>30</v>
      </c>
      <c r="D19" s="83" t="s">
        <v>27</v>
      </c>
      <c r="E19" s="84">
        <v>1.04</v>
      </c>
      <c r="F19" s="85" t="e">
        <f>((2+8.6*5+7.5+0.75)*3+1.4*6+0.55*19)*C19/1000*E19</f>
        <v>#VALUE!</v>
      </c>
      <c r="G19" s="86">
        <v>0</v>
      </c>
      <c r="H19" s="85" t="e">
        <f t="shared" ref="H19:H26" si="4">$F19*G19</f>
        <v>#VALUE!</v>
      </c>
      <c r="I19" s="86"/>
      <c r="J19" s="87"/>
      <c r="K19" s="88" t="e">
        <f t="shared" si="3"/>
        <v>#VALUE!</v>
      </c>
      <c r="L19"/>
      <c r="M19"/>
      <c r="N19"/>
      <c r="O19"/>
      <c r="P19"/>
      <c r="R19"/>
    </row>
    <row r="20" spans="1:18" s="89" customFormat="1" ht="33.6" customHeight="1" outlineLevel="2" x14ac:dyDescent="0.25">
      <c r="A20" s="69" t="s">
        <v>31</v>
      </c>
      <c r="B20" s="69" t="s">
        <v>32</v>
      </c>
      <c r="C20" s="82" t="s">
        <v>33</v>
      </c>
      <c r="D20" s="83" t="s">
        <v>27</v>
      </c>
      <c r="E20" s="84">
        <v>1.04</v>
      </c>
      <c r="F20" s="85" t="e">
        <f>(0.41+1.66+0.93)*27*C20/1000*E20</f>
        <v>#VALUE!</v>
      </c>
      <c r="G20" s="86">
        <v>0</v>
      </c>
      <c r="H20" s="85" t="e">
        <f t="shared" si="4"/>
        <v>#VALUE!</v>
      </c>
      <c r="I20" s="86"/>
      <c r="J20" s="87"/>
      <c r="K20" s="88" t="e">
        <f t="shared" si="3"/>
        <v>#VALUE!</v>
      </c>
      <c r="L20" s="90"/>
      <c r="M20" s="90"/>
      <c r="N20" s="90"/>
      <c r="O20" s="90"/>
      <c r="P20" s="90"/>
      <c r="R20" s="90"/>
    </row>
    <row r="21" spans="1:18" s="89" customFormat="1" ht="15.75" outlineLevel="2" x14ac:dyDescent="0.25">
      <c r="A21" s="69" t="s">
        <v>34</v>
      </c>
      <c r="B21" s="69" t="s">
        <v>35</v>
      </c>
      <c r="C21" s="82" t="s">
        <v>36</v>
      </c>
      <c r="D21" s="83" t="s">
        <v>27</v>
      </c>
      <c r="E21" s="84">
        <v>1.04</v>
      </c>
      <c r="F21" s="85" t="e">
        <f>(0.153*27+(0.94+0.59)*27)*C21/1000*E21</f>
        <v>#VALUE!</v>
      </c>
      <c r="G21" s="86">
        <v>0</v>
      </c>
      <c r="H21" s="85" t="e">
        <f t="shared" si="4"/>
        <v>#VALUE!</v>
      </c>
      <c r="I21" s="86"/>
      <c r="J21" s="87"/>
      <c r="K21" s="88" t="e">
        <f t="shared" si="3"/>
        <v>#VALUE!</v>
      </c>
      <c r="L21"/>
      <c r="M21"/>
      <c r="N21"/>
      <c r="O21"/>
      <c r="P21"/>
      <c r="R21"/>
    </row>
    <row r="22" spans="1:18" s="89" customFormat="1" ht="15.75" outlineLevel="2" x14ac:dyDescent="0.25">
      <c r="A22" s="69" t="s">
        <v>37</v>
      </c>
      <c r="B22" s="69" t="s">
        <v>38</v>
      </c>
      <c r="C22" s="82" t="s">
        <v>39</v>
      </c>
      <c r="D22" s="83" t="s">
        <v>27</v>
      </c>
      <c r="E22" s="84">
        <v>1.04</v>
      </c>
      <c r="F22" s="85">
        <f>0.45*27*C22/1000*E22+2.7*6*C22/1000*E22</f>
        <v>0.26535600000000004</v>
      </c>
      <c r="G22" s="86">
        <v>0</v>
      </c>
      <c r="H22" s="85">
        <f t="shared" si="4"/>
        <v>0</v>
      </c>
      <c r="I22" s="86"/>
      <c r="J22" s="87"/>
      <c r="K22" s="88">
        <f t="shared" si="3"/>
        <v>0</v>
      </c>
      <c r="L22"/>
      <c r="M22"/>
      <c r="N22"/>
      <c r="O22"/>
      <c r="P22"/>
      <c r="R22"/>
    </row>
    <row r="23" spans="1:18" s="89" customFormat="1" ht="15.75" outlineLevel="2" x14ac:dyDescent="0.25">
      <c r="A23" s="69" t="s">
        <v>40</v>
      </c>
      <c r="B23" s="69" t="s">
        <v>41</v>
      </c>
      <c r="C23" s="82" t="s">
        <v>42</v>
      </c>
      <c r="D23" s="83" t="s">
        <v>27</v>
      </c>
      <c r="E23" s="84">
        <v>1.04</v>
      </c>
      <c r="F23" s="85" t="e">
        <f>(2+8.6*5+7.5+0.75)*C23/1000*E23</f>
        <v>#VALUE!</v>
      </c>
      <c r="G23" s="86">
        <v>0</v>
      </c>
      <c r="H23" s="85" t="e">
        <f t="shared" si="4"/>
        <v>#VALUE!</v>
      </c>
      <c r="I23" s="86"/>
      <c r="J23" s="87"/>
      <c r="K23" s="88" t="e">
        <f t="shared" si="3"/>
        <v>#VALUE!</v>
      </c>
      <c r="L23"/>
      <c r="M23"/>
      <c r="N23"/>
      <c r="O23"/>
      <c r="P23"/>
      <c r="R23"/>
    </row>
    <row r="24" spans="1:18" s="89" customFormat="1" ht="15.75" outlineLevel="2" x14ac:dyDescent="0.25">
      <c r="A24" s="69" t="s">
        <v>43</v>
      </c>
      <c r="B24" s="69" t="s">
        <v>44</v>
      </c>
      <c r="C24" s="82" t="s">
        <v>45</v>
      </c>
      <c r="D24" s="83" t="s">
        <v>27</v>
      </c>
      <c r="E24" s="84">
        <v>1.04</v>
      </c>
      <c r="F24" s="85" t="e">
        <f>(8.6+8.6+8.6+8.6+8.6+7.5+0.75+2)*7*E24*C24/1000</f>
        <v>#VALUE!</v>
      </c>
      <c r="G24" s="86">
        <v>0</v>
      </c>
      <c r="H24" s="85" t="e">
        <f t="shared" si="4"/>
        <v>#VALUE!</v>
      </c>
      <c r="I24" s="86"/>
      <c r="J24" s="87"/>
      <c r="K24" s="88" t="e">
        <f t="shared" si="3"/>
        <v>#VALUE!</v>
      </c>
      <c r="L24"/>
      <c r="M24"/>
      <c r="N24"/>
      <c r="O24"/>
      <c r="P24"/>
      <c r="R24"/>
    </row>
    <row r="25" spans="1:18" s="130" customFormat="1" ht="15.75" outlineLevel="2" x14ac:dyDescent="0.25">
      <c r="A25" s="122" t="s">
        <v>46</v>
      </c>
      <c r="B25" s="122" t="s">
        <v>47</v>
      </c>
      <c r="C25" s="123" t="s">
        <v>48</v>
      </c>
      <c r="D25" s="124" t="s">
        <v>27</v>
      </c>
      <c r="E25" s="125">
        <v>1.04</v>
      </c>
      <c r="F25" s="126" t="e">
        <f>(0.108*0.2*2*27*2+0.09*0.2*4*27)*C25*E25/1000</f>
        <v>#VALUE!</v>
      </c>
      <c r="G25" s="127">
        <v>0</v>
      </c>
      <c r="H25" s="126" t="e">
        <f t="shared" si="4"/>
        <v>#VALUE!</v>
      </c>
      <c r="I25" s="127"/>
      <c r="J25" s="128"/>
      <c r="K25" s="129" t="e">
        <f t="shared" si="3"/>
        <v>#VALUE!</v>
      </c>
      <c r="L25"/>
      <c r="M25"/>
      <c r="N25"/>
      <c r="O25"/>
      <c r="P25"/>
    </row>
    <row r="26" spans="1:18" s="89" customFormat="1" ht="15.75" outlineLevel="2" x14ac:dyDescent="0.25">
      <c r="A26" s="69" t="s">
        <v>49</v>
      </c>
      <c r="B26" s="69" t="s">
        <v>50</v>
      </c>
      <c r="C26" s="82" t="s">
        <v>51</v>
      </c>
      <c r="D26" s="83" t="s">
        <v>27</v>
      </c>
      <c r="E26" s="84">
        <v>1.04</v>
      </c>
      <c r="F26" s="85">
        <f>(0.2*0.3*2*27+0.15*(0.95+0.136+0.125)*27+0.2*0.31*27*2)*C26/1000</f>
        <v>0.72403064999999978</v>
      </c>
      <c r="G26" s="86">
        <v>0</v>
      </c>
      <c r="H26" s="85">
        <f t="shared" si="4"/>
        <v>0</v>
      </c>
      <c r="I26" s="86"/>
      <c r="J26" s="87"/>
      <c r="K26" s="88">
        <f t="shared" si="3"/>
        <v>0</v>
      </c>
      <c r="L26"/>
      <c r="M26"/>
      <c r="N26"/>
      <c r="O26"/>
      <c r="P26"/>
    </row>
    <row r="27" spans="1:18" s="92" customFormat="1" ht="15.75" outlineLevel="2" x14ac:dyDescent="0.25">
      <c r="A27" s="69" t="s">
        <v>52</v>
      </c>
      <c r="B27" s="69" t="s">
        <v>53</v>
      </c>
      <c r="C27" s="82"/>
      <c r="D27" s="83" t="s">
        <v>54</v>
      </c>
      <c r="E27" s="84">
        <v>16</v>
      </c>
      <c r="F27" s="91" t="e">
        <f>F18*E27</f>
        <v>#VALUE!</v>
      </c>
      <c r="G27" s="86">
        <v>119.88</v>
      </c>
      <c r="H27" s="85" t="e">
        <f>$F27*G27</f>
        <v>#VALUE!</v>
      </c>
      <c r="I27" s="86"/>
      <c r="J27" s="87"/>
      <c r="K27" s="88" t="e">
        <f t="shared" si="3"/>
        <v>#VALUE!</v>
      </c>
    </row>
    <row r="28" spans="1:18" s="36" customFormat="1" ht="30" outlineLevel="1" x14ac:dyDescent="0.25">
      <c r="A28" s="46" t="s">
        <v>55</v>
      </c>
      <c r="B28" s="30" t="s">
        <v>56</v>
      </c>
      <c r="C28" s="61"/>
      <c r="D28" s="31" t="s">
        <v>24</v>
      </c>
      <c r="E28" s="40"/>
      <c r="F28" s="32" t="e">
        <f>F18*45</f>
        <v>#VALUE!</v>
      </c>
      <c r="G28" s="33"/>
      <c r="H28" s="32"/>
      <c r="I28" s="33">
        <v>75</v>
      </c>
      <c r="J28" s="32" t="e">
        <f t="shared" ref="J28" si="5">$F28*I28</f>
        <v>#VALUE!</v>
      </c>
      <c r="K28" s="93" t="e">
        <f t="shared" si="3"/>
        <v>#VALUE!</v>
      </c>
      <c r="P28" s="94"/>
      <c r="R28" s="198"/>
    </row>
    <row r="29" spans="1:18" s="95" customFormat="1" ht="15.75" outlineLevel="2" x14ac:dyDescent="0.25">
      <c r="A29" s="69" t="s">
        <v>57</v>
      </c>
      <c r="B29" s="69" t="s">
        <v>58</v>
      </c>
      <c r="C29" s="82"/>
      <c r="D29" s="83" t="s">
        <v>54</v>
      </c>
      <c r="E29" s="84">
        <v>0.18</v>
      </c>
      <c r="F29" s="85" t="e">
        <f>E29*F28</f>
        <v>#VALUE!</v>
      </c>
      <c r="G29" s="86">
        <v>77</v>
      </c>
      <c r="H29" s="85" t="e">
        <f>$F29*G29</f>
        <v>#VALUE!</v>
      </c>
      <c r="I29" s="86"/>
      <c r="J29" s="87"/>
      <c r="K29" s="88" t="e">
        <f t="shared" si="3"/>
        <v>#VALUE!</v>
      </c>
    </row>
    <row r="30" spans="1:18" s="95" customFormat="1" ht="15.75" outlineLevel="2" x14ac:dyDescent="0.25">
      <c r="A30" s="69" t="s">
        <v>59</v>
      </c>
      <c r="B30" s="69" t="s">
        <v>60</v>
      </c>
      <c r="C30" s="82"/>
      <c r="D30" s="83" t="s">
        <v>61</v>
      </c>
      <c r="E30" s="84">
        <v>0.15</v>
      </c>
      <c r="F30" s="85" t="e">
        <f>E30*F28</f>
        <v>#VALUE!</v>
      </c>
      <c r="G30" s="86">
        <v>61.25</v>
      </c>
      <c r="H30" s="85" t="e">
        <f>$F30*G30</f>
        <v>#VALUE!</v>
      </c>
      <c r="I30" s="86"/>
      <c r="J30" s="87"/>
      <c r="K30" s="88" t="e">
        <f t="shared" si="3"/>
        <v>#VALUE!</v>
      </c>
    </row>
    <row r="31" spans="1:18" s="36" customFormat="1" ht="15.75" outlineLevel="1" x14ac:dyDescent="0.25">
      <c r="A31" s="46" t="s">
        <v>62</v>
      </c>
      <c r="B31" s="30" t="s">
        <v>63</v>
      </c>
      <c r="C31" s="61"/>
      <c r="D31" s="31" t="s">
        <v>27</v>
      </c>
      <c r="E31" s="40"/>
      <c r="F31" s="32" t="e">
        <f>F18</f>
        <v>#VALUE!</v>
      </c>
      <c r="G31" s="33"/>
      <c r="H31" s="32"/>
      <c r="I31" s="33">
        <v>21600</v>
      </c>
      <c r="J31" s="32" t="e">
        <f t="shared" ref="J31" si="6">$F31*I31</f>
        <v>#VALUE!</v>
      </c>
      <c r="K31" s="93" t="e">
        <f t="shared" si="3"/>
        <v>#VALUE!</v>
      </c>
      <c r="R31" s="114"/>
    </row>
    <row r="32" spans="1:18" s="95" customFormat="1" ht="15.75" outlineLevel="2" x14ac:dyDescent="0.25">
      <c r="A32" s="69" t="s">
        <v>64</v>
      </c>
      <c r="B32" s="69" t="s">
        <v>65</v>
      </c>
      <c r="C32" s="82"/>
      <c r="D32" s="83" t="s">
        <v>66</v>
      </c>
      <c r="E32" s="84">
        <v>1.05</v>
      </c>
      <c r="F32" s="85">
        <f>(F44+F40)*E32</f>
        <v>573.30000000000007</v>
      </c>
      <c r="G32" s="109">
        <v>11.12</v>
      </c>
      <c r="H32" s="85">
        <f>$F32*G32</f>
        <v>6375.0960000000005</v>
      </c>
      <c r="I32" s="86"/>
      <c r="J32" s="87"/>
      <c r="K32" s="88">
        <f t="shared" si="3"/>
        <v>6375.0960000000005</v>
      </c>
    </row>
    <row r="33" spans="1:18" s="36" customFormat="1" ht="15.75" outlineLevel="1" x14ac:dyDescent="0.25">
      <c r="A33" s="46" t="s">
        <v>67</v>
      </c>
      <c r="B33" s="30" t="s">
        <v>68</v>
      </c>
      <c r="C33" s="61"/>
      <c r="D33" s="31" t="s">
        <v>24</v>
      </c>
      <c r="E33" s="40"/>
      <c r="F33" s="32">
        <f>3.5*1.18*47+8.4*1.18*44</f>
        <v>630.23799999999994</v>
      </c>
      <c r="G33" s="33"/>
      <c r="H33" s="32"/>
      <c r="I33" s="96">
        <v>300</v>
      </c>
      <c r="J33" s="32">
        <f>$F33*I33</f>
        <v>189071.4</v>
      </c>
      <c r="K33" s="93">
        <f t="shared" si="3"/>
        <v>189071.4</v>
      </c>
      <c r="R33" s="198"/>
    </row>
    <row r="34" spans="1:18" s="89" customFormat="1" ht="30" outlineLevel="2" x14ac:dyDescent="0.25">
      <c r="A34" s="100" t="s">
        <v>69</v>
      </c>
      <c r="B34" s="100" t="s">
        <v>70</v>
      </c>
      <c r="C34" s="82" t="s">
        <v>71</v>
      </c>
      <c r="D34" s="97" t="s">
        <v>66</v>
      </c>
      <c r="E34" s="142">
        <v>2.0499999999999998</v>
      </c>
      <c r="F34" s="143">
        <f>_xlfn.CEILING.MATH(E34*F33)+13*2</f>
        <v>1318</v>
      </c>
      <c r="G34" s="144">
        <v>18.38</v>
      </c>
      <c r="H34" s="143">
        <f>$F34*G34</f>
        <v>24224.84</v>
      </c>
      <c r="I34" s="144"/>
      <c r="J34" s="145"/>
      <c r="K34" s="146">
        <f t="shared" si="3"/>
        <v>24224.84</v>
      </c>
    </row>
    <row r="35" spans="1:18" s="89" customFormat="1" ht="15.75" outlineLevel="2" x14ac:dyDescent="0.25">
      <c r="A35" s="100" t="s">
        <v>72</v>
      </c>
      <c r="B35" s="100" t="s">
        <v>73</v>
      </c>
      <c r="C35" s="98"/>
      <c r="D35" s="99" t="s">
        <v>66</v>
      </c>
      <c r="E35" s="142">
        <v>0.12</v>
      </c>
      <c r="F35" s="143">
        <f>_xlfn.CEILING.MATH(E35*F33)</f>
        <v>76</v>
      </c>
      <c r="G35" s="144">
        <v>147</v>
      </c>
      <c r="H35" s="143">
        <f>$F35*G35</f>
        <v>11172</v>
      </c>
      <c r="I35" s="144"/>
      <c r="J35" s="145"/>
      <c r="K35" s="146">
        <f t="shared" si="3"/>
        <v>11172</v>
      </c>
    </row>
    <row r="36" spans="1:18" s="89" customFormat="1" ht="15.75" outlineLevel="2" x14ac:dyDescent="0.25">
      <c r="A36" s="100" t="s">
        <v>74</v>
      </c>
      <c r="B36" s="100" t="s">
        <v>75</v>
      </c>
      <c r="C36" s="98"/>
      <c r="D36" s="99" t="s">
        <v>76</v>
      </c>
      <c r="E36" s="142">
        <v>1.02</v>
      </c>
      <c r="F36" s="143">
        <f>_xlfn.CEILING.MATH(F33*E36)</f>
        <v>643</v>
      </c>
      <c r="G36" s="144">
        <v>3.15</v>
      </c>
      <c r="H36" s="143">
        <f>$F36*G36</f>
        <v>2025.45</v>
      </c>
      <c r="I36" s="144"/>
      <c r="J36" s="145"/>
      <c r="K36" s="146">
        <f t="shared" si="3"/>
        <v>2025.45</v>
      </c>
      <c r="M36" s="101"/>
    </row>
    <row r="37" spans="1:18" s="89" customFormat="1" ht="30" outlineLevel="2" x14ac:dyDescent="0.25">
      <c r="A37" s="69" t="s">
        <v>77</v>
      </c>
      <c r="B37" s="100" t="s">
        <v>78</v>
      </c>
      <c r="C37" s="98"/>
      <c r="D37" s="99" t="s">
        <v>24</v>
      </c>
      <c r="E37" s="84">
        <v>1.0900000000000001</v>
      </c>
      <c r="F37" s="85">
        <f>3.5*1.18*47*E37</f>
        <v>211.57990000000001</v>
      </c>
      <c r="G37" s="86">
        <v>0</v>
      </c>
      <c r="H37" s="85">
        <v>0</v>
      </c>
      <c r="I37" s="86"/>
      <c r="J37" s="87"/>
      <c r="K37" s="88"/>
      <c r="M37" s="101"/>
    </row>
    <row r="38" spans="1:18" s="89" customFormat="1" ht="30" outlineLevel="2" x14ac:dyDescent="0.25">
      <c r="A38" s="69" t="s">
        <v>79</v>
      </c>
      <c r="B38" s="100" t="s">
        <v>186</v>
      </c>
      <c r="C38" s="98"/>
      <c r="D38" s="99" t="s">
        <v>24</v>
      </c>
      <c r="E38" s="84">
        <v>1.0900000000000001</v>
      </c>
      <c r="F38" s="85">
        <f>8.4*1.18*44*E38</f>
        <v>475.37951999999996</v>
      </c>
      <c r="G38" s="86">
        <v>0</v>
      </c>
      <c r="H38" s="85">
        <v>0</v>
      </c>
      <c r="I38" s="86"/>
      <c r="J38" s="87"/>
      <c r="K38" s="88">
        <f t="shared" si="3"/>
        <v>0</v>
      </c>
    </row>
    <row r="39" spans="1:18" s="54" customFormat="1" ht="45" outlineLevel="1" x14ac:dyDescent="0.25">
      <c r="A39" s="46" t="s">
        <v>81</v>
      </c>
      <c r="B39" s="30" t="s">
        <v>82</v>
      </c>
      <c r="C39" s="61"/>
      <c r="D39" s="31" t="s">
        <v>76</v>
      </c>
      <c r="E39" s="40"/>
      <c r="F39" s="32">
        <f>(8.6*6+4)*4</f>
        <v>222.39999999999998</v>
      </c>
      <c r="G39" s="33"/>
      <c r="H39" s="32"/>
      <c r="I39" s="33">
        <v>340</v>
      </c>
      <c r="J39" s="32">
        <f t="shared" ref="J39:J41" si="7">$F39*I39</f>
        <v>75615.999999999985</v>
      </c>
      <c r="K39" s="93">
        <f t="shared" ref="K39:K41" si="8">H39+J39</f>
        <v>75615.999999999985</v>
      </c>
      <c r="R39" s="199"/>
    </row>
    <row r="40" spans="1:18" s="54" customFormat="1" ht="45" outlineLevel="1" x14ac:dyDescent="0.25">
      <c r="A40" s="46" t="s">
        <v>83</v>
      </c>
      <c r="B40" s="30" t="s">
        <v>84</v>
      </c>
      <c r="C40" s="61"/>
      <c r="D40" s="31" t="s">
        <v>76</v>
      </c>
      <c r="E40" s="40"/>
      <c r="F40" s="32">
        <f>3.5*48</f>
        <v>168</v>
      </c>
      <c r="G40" s="33"/>
      <c r="H40" s="32"/>
      <c r="I40" s="33">
        <v>0</v>
      </c>
      <c r="J40" s="32">
        <f t="shared" si="7"/>
        <v>0</v>
      </c>
      <c r="K40" s="93">
        <f t="shared" si="8"/>
        <v>0</v>
      </c>
      <c r="R40" s="199"/>
    </row>
    <row r="41" spans="1:18" s="54" customFormat="1" ht="45" outlineLevel="1" x14ac:dyDescent="0.25">
      <c r="A41" s="46" t="s">
        <v>85</v>
      </c>
      <c r="B41" s="30" t="s">
        <v>86</v>
      </c>
      <c r="C41" s="61"/>
      <c r="D41" s="31" t="s">
        <v>76</v>
      </c>
      <c r="E41" s="40"/>
      <c r="F41" s="32">
        <f>((8.6*6+4)*2)</f>
        <v>111.19999999999999</v>
      </c>
      <c r="G41" s="33"/>
      <c r="H41" s="32"/>
      <c r="I41" s="33">
        <v>340</v>
      </c>
      <c r="J41" s="32">
        <f t="shared" si="7"/>
        <v>37807.999999999993</v>
      </c>
      <c r="K41" s="93">
        <f t="shared" si="8"/>
        <v>37807.999999999993</v>
      </c>
      <c r="R41" s="199"/>
    </row>
    <row r="42" spans="1:18" s="54" customFormat="1" ht="45" outlineLevel="1" x14ac:dyDescent="0.25">
      <c r="A42" s="46" t="s">
        <v>87</v>
      </c>
      <c r="B42" s="30" t="s">
        <v>88</v>
      </c>
      <c r="C42" s="61"/>
      <c r="D42" s="31" t="s">
        <v>76</v>
      </c>
      <c r="E42" s="40"/>
      <c r="F42" s="32">
        <f>F40</f>
        <v>168</v>
      </c>
      <c r="G42" s="33"/>
      <c r="H42" s="32"/>
      <c r="I42" s="33">
        <v>340</v>
      </c>
      <c r="J42" s="32">
        <f t="shared" ref="J42:J45" si="9">$F42*I42</f>
        <v>57120</v>
      </c>
      <c r="K42" s="93">
        <f t="shared" si="3"/>
        <v>57120</v>
      </c>
      <c r="R42" s="199"/>
    </row>
    <row r="43" spans="1:18" s="140" customFormat="1" ht="45" outlineLevel="1" x14ac:dyDescent="0.25">
      <c r="A43" s="132" t="s">
        <v>89</v>
      </c>
      <c r="B43" s="133" t="s">
        <v>187</v>
      </c>
      <c r="C43" s="134"/>
      <c r="D43" s="135" t="s">
        <v>76</v>
      </c>
      <c r="E43" s="136"/>
      <c r="F43" s="137">
        <f>(8.6*6+2)*7</f>
        <v>375.19999999999993</v>
      </c>
      <c r="G43" s="138"/>
      <c r="H43" s="137"/>
      <c r="I43" s="138">
        <v>340</v>
      </c>
      <c r="J43" s="137">
        <f t="shared" si="9"/>
        <v>127567.99999999997</v>
      </c>
      <c r="K43" s="139">
        <f t="shared" si="3"/>
        <v>127567.99999999997</v>
      </c>
      <c r="R43" s="141"/>
    </row>
    <row r="44" spans="1:18" s="140" customFormat="1" ht="45" outlineLevel="1" x14ac:dyDescent="0.25">
      <c r="A44" s="132" t="s">
        <v>91</v>
      </c>
      <c r="B44" s="133" t="s">
        <v>188</v>
      </c>
      <c r="C44" s="134"/>
      <c r="D44" s="135" t="s">
        <v>76</v>
      </c>
      <c r="E44" s="136"/>
      <c r="F44" s="137">
        <f>8.4*45</f>
        <v>378</v>
      </c>
      <c r="G44" s="138"/>
      <c r="H44" s="137"/>
      <c r="I44" s="138">
        <v>340</v>
      </c>
      <c r="J44" s="137">
        <f t="shared" si="9"/>
        <v>128520</v>
      </c>
      <c r="K44" s="139">
        <f t="shared" si="3"/>
        <v>128520</v>
      </c>
      <c r="R44" s="141"/>
    </row>
    <row r="45" spans="1:18" s="140" customFormat="1" ht="45" outlineLevel="1" x14ac:dyDescent="0.25">
      <c r="A45" s="132" t="s">
        <v>93</v>
      </c>
      <c r="B45" s="133" t="s">
        <v>189</v>
      </c>
      <c r="C45" s="134"/>
      <c r="D45" s="135" t="s">
        <v>76</v>
      </c>
      <c r="E45" s="136"/>
      <c r="F45" s="137">
        <f>((8.6*6+2)*2)</f>
        <v>107.19999999999999</v>
      </c>
      <c r="G45" s="138"/>
      <c r="H45" s="137"/>
      <c r="I45" s="138">
        <v>340</v>
      </c>
      <c r="J45" s="137">
        <f t="shared" si="9"/>
        <v>36447.999999999993</v>
      </c>
      <c r="K45" s="139">
        <f t="shared" si="3"/>
        <v>36447.999999999993</v>
      </c>
      <c r="R45" s="141"/>
    </row>
    <row r="46" spans="1:18" s="140" customFormat="1" ht="45" outlineLevel="1" x14ac:dyDescent="0.25">
      <c r="A46" s="132" t="s">
        <v>95</v>
      </c>
      <c r="B46" s="133" t="s">
        <v>190</v>
      </c>
      <c r="C46" s="134"/>
      <c r="D46" s="135" t="s">
        <v>76</v>
      </c>
      <c r="E46" s="136"/>
      <c r="F46" s="137">
        <f>F44</f>
        <v>378</v>
      </c>
      <c r="G46" s="138"/>
      <c r="H46" s="137"/>
      <c r="I46" s="138">
        <v>340</v>
      </c>
      <c r="J46" s="137">
        <f t="shared" ref="J46" si="10">$F46*I46</f>
        <v>128520</v>
      </c>
      <c r="K46" s="139">
        <f t="shared" ref="K46" si="11">H46+J46</f>
        <v>128520</v>
      </c>
      <c r="R46" s="141"/>
    </row>
    <row r="47" spans="1:18" s="140" customFormat="1" ht="45" outlineLevel="1" x14ac:dyDescent="0.25">
      <c r="A47" s="132" t="s">
        <v>97</v>
      </c>
      <c r="B47" s="30" t="s">
        <v>98</v>
      </c>
      <c r="C47" s="134"/>
      <c r="D47" s="147" t="s">
        <v>99</v>
      </c>
      <c r="E47" s="136"/>
      <c r="F47" s="137">
        <f>F39+F40+F43+F44</f>
        <v>1143.5999999999999</v>
      </c>
      <c r="G47" s="138"/>
      <c r="H47" s="137"/>
      <c r="I47" s="138"/>
      <c r="J47" s="137"/>
      <c r="K47" s="139"/>
      <c r="R47" s="141"/>
    </row>
    <row r="48" spans="1:18" s="89" customFormat="1" ht="30" outlineLevel="2" x14ac:dyDescent="0.25">
      <c r="A48" s="100" t="s">
        <v>100</v>
      </c>
      <c r="B48" s="148" t="s">
        <v>101</v>
      </c>
      <c r="C48" s="98"/>
      <c r="D48" s="149" t="s">
        <v>24</v>
      </c>
      <c r="E48" s="142"/>
      <c r="F48" s="143">
        <f>1.3</f>
        <v>1.3</v>
      </c>
      <c r="G48" s="144">
        <v>54.6</v>
      </c>
      <c r="H48" s="143">
        <f t="shared" ref="H48:H87" si="12">$F48*G48</f>
        <v>70.98</v>
      </c>
      <c r="I48" s="144"/>
      <c r="J48" s="145"/>
      <c r="K48" s="146">
        <f t="shared" si="3"/>
        <v>70.98</v>
      </c>
    </row>
    <row r="49" spans="1:11" s="89" customFormat="1" ht="30" outlineLevel="2" x14ac:dyDescent="0.25">
      <c r="A49" s="100" t="s">
        <v>102</v>
      </c>
      <c r="B49" s="100" t="s">
        <v>103</v>
      </c>
      <c r="C49" s="98"/>
      <c r="D49" s="97" t="s">
        <v>24</v>
      </c>
      <c r="E49" s="142"/>
      <c r="F49" s="143">
        <f>F47/7.67</f>
        <v>149.10039113428942</v>
      </c>
      <c r="G49" s="144">
        <v>339.15</v>
      </c>
      <c r="H49" s="143">
        <f t="shared" si="12"/>
        <v>50567.397653194254</v>
      </c>
      <c r="I49" s="144"/>
      <c r="J49" s="145"/>
      <c r="K49" s="146">
        <f t="shared" si="3"/>
        <v>50567.397653194254</v>
      </c>
    </row>
    <row r="50" spans="1:11" s="89" customFormat="1" ht="30" outlineLevel="2" x14ac:dyDescent="0.25">
      <c r="A50" s="100" t="s">
        <v>104</v>
      </c>
      <c r="B50" s="69" t="s">
        <v>105</v>
      </c>
      <c r="C50" s="82"/>
      <c r="D50" s="97" t="s">
        <v>66</v>
      </c>
      <c r="E50" s="84">
        <v>4</v>
      </c>
      <c r="F50" s="150">
        <f>(F45+F41)/0.3 +F41/2/0.3</f>
        <v>913.33333333333326</v>
      </c>
      <c r="G50" s="86">
        <v>1.66</v>
      </c>
      <c r="H50" s="85">
        <f t="shared" si="12"/>
        <v>1516.1333333333332</v>
      </c>
      <c r="I50" s="86"/>
      <c r="J50" s="87"/>
      <c r="K50" s="88">
        <f t="shared" si="3"/>
        <v>1516.1333333333332</v>
      </c>
    </row>
    <row r="51" spans="1:11" s="89" customFormat="1" ht="15.75" outlineLevel="2" x14ac:dyDescent="0.25">
      <c r="A51" s="100" t="s">
        <v>106</v>
      </c>
      <c r="B51" s="69" t="s">
        <v>107</v>
      </c>
      <c r="C51" s="82"/>
      <c r="D51" s="97" t="s">
        <v>66</v>
      </c>
      <c r="E51" s="84">
        <v>4</v>
      </c>
      <c r="F51" s="150">
        <f>F52/2</f>
        <v>667.19999999999993</v>
      </c>
      <c r="G51" s="86">
        <v>0.35</v>
      </c>
      <c r="H51" s="85">
        <f t="shared" si="12"/>
        <v>233.51999999999995</v>
      </c>
      <c r="I51" s="86"/>
      <c r="J51" s="87"/>
      <c r="K51" s="88">
        <f t="shared" si="3"/>
        <v>233.51999999999995</v>
      </c>
    </row>
    <row r="52" spans="1:11" s="89" customFormat="1" ht="15.75" outlineLevel="2" x14ac:dyDescent="0.25">
      <c r="A52" s="100" t="s">
        <v>108</v>
      </c>
      <c r="B52" s="69" t="s">
        <v>109</v>
      </c>
      <c r="C52" s="82"/>
      <c r="D52" s="97" t="s">
        <v>66</v>
      </c>
      <c r="E52" s="84">
        <v>4</v>
      </c>
      <c r="F52" s="150">
        <f>(F41)/2*6*E51</f>
        <v>1334.3999999999999</v>
      </c>
      <c r="G52" s="86">
        <v>0.72</v>
      </c>
      <c r="H52" s="85">
        <f t="shared" si="12"/>
        <v>960.76799999999992</v>
      </c>
      <c r="I52" s="86"/>
      <c r="J52" s="87"/>
      <c r="K52" s="88">
        <f t="shared" si="3"/>
        <v>960.76799999999992</v>
      </c>
    </row>
    <row r="53" spans="1:11" s="89" customFormat="1" ht="45" outlineLevel="2" x14ac:dyDescent="0.25">
      <c r="A53" s="100" t="s">
        <v>110</v>
      </c>
      <c r="B53" s="100" t="s">
        <v>111</v>
      </c>
      <c r="C53" s="98" t="s">
        <v>112</v>
      </c>
      <c r="D53" s="97" t="s">
        <v>66</v>
      </c>
      <c r="E53" s="142">
        <v>2</v>
      </c>
      <c r="F53" s="143">
        <f>10*E53*4+8*10</f>
        <v>160</v>
      </c>
      <c r="G53" s="144"/>
      <c r="H53" s="143"/>
      <c r="I53" s="144"/>
      <c r="J53" s="145"/>
      <c r="K53" s="146"/>
    </row>
    <row r="54" spans="1:11" s="89" customFormat="1" ht="15.75" outlineLevel="2" x14ac:dyDescent="0.25">
      <c r="A54" s="100" t="s">
        <v>113</v>
      </c>
      <c r="B54" s="100" t="s">
        <v>114</v>
      </c>
      <c r="C54" s="98" t="s">
        <v>115</v>
      </c>
      <c r="D54" s="97" t="s">
        <v>66</v>
      </c>
      <c r="E54" s="142">
        <v>4</v>
      </c>
      <c r="F54" s="143">
        <f>3*E54*4+11*3</f>
        <v>81</v>
      </c>
      <c r="G54" s="144">
        <v>1.05</v>
      </c>
      <c r="H54" s="143">
        <f t="shared" si="12"/>
        <v>85.05</v>
      </c>
      <c r="I54" s="144"/>
      <c r="J54" s="145"/>
      <c r="K54" s="146">
        <f t="shared" si="3"/>
        <v>85.05</v>
      </c>
    </row>
    <row r="55" spans="1:11" s="89" customFormat="1" ht="15.75" outlineLevel="2" x14ac:dyDescent="0.25">
      <c r="A55" s="100" t="s">
        <v>116</v>
      </c>
      <c r="B55" s="69" t="s">
        <v>117</v>
      </c>
      <c r="C55" s="98"/>
      <c r="D55" s="97" t="s">
        <v>66</v>
      </c>
      <c r="E55" s="84">
        <v>4</v>
      </c>
      <c r="F55" s="150">
        <f>F52</f>
        <v>1334.3999999999999</v>
      </c>
      <c r="G55" s="86">
        <v>0.66</v>
      </c>
      <c r="H55" s="85">
        <f t="shared" si="12"/>
        <v>880.70399999999995</v>
      </c>
      <c r="I55" s="86"/>
      <c r="J55" s="87"/>
      <c r="K55" s="88">
        <f t="shared" si="3"/>
        <v>880.70399999999995</v>
      </c>
    </row>
    <row r="56" spans="1:11" s="89" customFormat="1" ht="15.75" outlineLevel="2" x14ac:dyDescent="0.25">
      <c r="A56" s="100" t="s">
        <v>118</v>
      </c>
      <c r="B56" s="69" t="s">
        <v>73</v>
      </c>
      <c r="C56" s="98"/>
      <c r="D56" s="97" t="s">
        <v>66</v>
      </c>
      <c r="E56" s="84">
        <v>1.06</v>
      </c>
      <c r="F56" s="85">
        <f>_xlfn.CEILING.MATH(250)</f>
        <v>250</v>
      </c>
      <c r="G56" s="86">
        <v>335.13</v>
      </c>
      <c r="H56" s="85">
        <f t="shared" si="12"/>
        <v>83782.5</v>
      </c>
      <c r="I56" s="86"/>
      <c r="J56" s="87"/>
      <c r="K56" s="88">
        <f t="shared" si="3"/>
        <v>83782.5</v>
      </c>
    </row>
    <row r="57" spans="1:11" s="89" customFormat="1" ht="15.75" outlineLevel="2" x14ac:dyDescent="0.25">
      <c r="A57" s="100" t="s">
        <v>119</v>
      </c>
      <c r="B57" s="69" t="s">
        <v>120</v>
      </c>
      <c r="C57" s="98"/>
      <c r="D57" s="97" t="s">
        <v>121</v>
      </c>
      <c r="E57" s="84">
        <v>1.1000000000000001</v>
      </c>
      <c r="F57" s="85">
        <v>16</v>
      </c>
      <c r="G57" s="86">
        <v>294</v>
      </c>
      <c r="H57" s="85">
        <f t="shared" si="12"/>
        <v>4704</v>
      </c>
      <c r="I57" s="86"/>
      <c r="J57" s="87"/>
      <c r="K57" s="88">
        <f t="shared" si="3"/>
        <v>4704</v>
      </c>
    </row>
    <row r="58" spans="1:11" s="92" customFormat="1" ht="15.75" outlineLevel="2" x14ac:dyDescent="0.25">
      <c r="A58" s="100" t="s">
        <v>122</v>
      </c>
      <c r="B58" s="69" t="s">
        <v>123</v>
      </c>
      <c r="C58" s="102"/>
      <c r="D58" s="97" t="s">
        <v>24</v>
      </c>
      <c r="E58" s="84">
        <v>1.1000000000000001</v>
      </c>
      <c r="F58" s="103">
        <v>115</v>
      </c>
      <c r="G58" s="86">
        <v>30.63</v>
      </c>
      <c r="H58" s="85">
        <f t="shared" si="12"/>
        <v>3522.45</v>
      </c>
      <c r="I58" s="86"/>
      <c r="J58" s="87"/>
      <c r="K58" s="88">
        <f t="shared" si="3"/>
        <v>3522.45</v>
      </c>
    </row>
    <row r="59" spans="1:11" s="89" customFormat="1" ht="15.75" outlineLevel="2" x14ac:dyDescent="0.25">
      <c r="A59" s="100" t="s">
        <v>124</v>
      </c>
      <c r="B59" s="100" t="s">
        <v>191</v>
      </c>
      <c r="C59" s="131" t="s">
        <v>115</v>
      </c>
      <c r="D59" s="97" t="s">
        <v>76</v>
      </c>
      <c r="E59" s="142">
        <v>1.04</v>
      </c>
      <c r="F59" s="143">
        <f>10.6*E59*2</f>
        <v>22.047999999999998</v>
      </c>
      <c r="G59" s="144">
        <v>256.38</v>
      </c>
      <c r="H59" s="143">
        <f t="shared" si="12"/>
        <v>5652.6662399999996</v>
      </c>
      <c r="I59" s="144"/>
      <c r="J59" s="145"/>
      <c r="K59" s="146">
        <f t="shared" si="3"/>
        <v>5652.6662399999996</v>
      </c>
    </row>
    <row r="60" spans="1:11" s="89" customFormat="1" ht="30" outlineLevel="2" x14ac:dyDescent="0.25">
      <c r="A60" s="100" t="s">
        <v>126</v>
      </c>
      <c r="B60" s="100" t="s">
        <v>192</v>
      </c>
      <c r="C60" s="98"/>
      <c r="D60" s="97" t="s">
        <v>24</v>
      </c>
      <c r="E60" s="142">
        <v>1.1000000000000001</v>
      </c>
      <c r="F60" s="145">
        <f>F45/2*3*1*0.15</f>
        <v>24.119999999999997</v>
      </c>
      <c r="G60" s="144">
        <v>0</v>
      </c>
      <c r="H60" s="143">
        <f t="shared" si="12"/>
        <v>0</v>
      </c>
      <c r="I60" s="144"/>
      <c r="J60" s="145"/>
      <c r="K60" s="146">
        <f t="shared" si="3"/>
        <v>0</v>
      </c>
    </row>
    <row r="61" spans="1:11" s="89" customFormat="1" ht="30" outlineLevel="2" x14ac:dyDescent="0.25">
      <c r="A61" s="100" t="s">
        <v>193</v>
      </c>
      <c r="B61" s="69" t="s">
        <v>194</v>
      </c>
      <c r="C61" s="131" t="s">
        <v>115</v>
      </c>
      <c r="D61" s="97" t="s">
        <v>24</v>
      </c>
      <c r="E61" s="84">
        <v>1.1000000000000001</v>
      </c>
      <c r="F61" s="87">
        <f>(10.6+3+2.1)*2*170/903</f>
        <v>5.9114064230343297</v>
      </c>
      <c r="G61" s="86"/>
      <c r="H61" s="85"/>
      <c r="I61" s="86"/>
      <c r="J61" s="87"/>
      <c r="K61" s="88"/>
    </row>
    <row r="62" spans="1:11" s="89" customFormat="1" ht="30" outlineLevel="2" x14ac:dyDescent="0.25">
      <c r="A62" s="100" t="s">
        <v>128</v>
      </c>
      <c r="B62" s="69" t="s">
        <v>195</v>
      </c>
      <c r="C62" s="131" t="s">
        <v>130</v>
      </c>
      <c r="D62" s="97" t="s">
        <v>24</v>
      </c>
      <c r="E62" s="84">
        <v>1.1000000000000001</v>
      </c>
      <c r="F62" s="87">
        <f>F45/2*3*170/903</f>
        <v>30.27242524916943</v>
      </c>
      <c r="G62" s="86">
        <v>231.88</v>
      </c>
      <c r="H62" s="85">
        <f t="shared" si="12"/>
        <v>7019.569966777407</v>
      </c>
      <c r="I62" s="86"/>
      <c r="J62" s="87"/>
      <c r="K62" s="88">
        <f t="shared" si="3"/>
        <v>7019.569966777407</v>
      </c>
    </row>
    <row r="63" spans="1:11" s="89" customFormat="1" ht="30" outlineLevel="2" x14ac:dyDescent="0.25">
      <c r="A63" s="100" t="s">
        <v>131</v>
      </c>
      <c r="B63" s="100" t="s">
        <v>196</v>
      </c>
      <c r="C63" s="131" t="s">
        <v>115</v>
      </c>
      <c r="D63" s="97" t="s">
        <v>24</v>
      </c>
      <c r="E63" s="142">
        <v>1.04</v>
      </c>
      <c r="F63" s="145">
        <f>(10.6+3+2.1)*2*80/300</f>
        <v>8.3733333333333331</v>
      </c>
      <c r="G63" s="144">
        <v>429.3</v>
      </c>
      <c r="H63" s="143">
        <f t="shared" si="12"/>
        <v>3594.672</v>
      </c>
      <c r="I63" s="144"/>
      <c r="J63" s="145"/>
      <c r="K63" s="146">
        <f t="shared" si="3"/>
        <v>3594.672</v>
      </c>
    </row>
    <row r="64" spans="1:11" s="89" customFormat="1" ht="30" outlineLevel="2" x14ac:dyDescent="0.25">
      <c r="A64" s="100" t="s">
        <v>197</v>
      </c>
      <c r="B64" s="100" t="s">
        <v>198</v>
      </c>
      <c r="C64" s="131"/>
      <c r="D64" s="97" t="s">
        <v>24</v>
      </c>
      <c r="E64" s="84">
        <v>1.1000000000000001</v>
      </c>
      <c r="F64" s="145">
        <f>(F41+F45)/2*198/660*E64</f>
        <v>36.036000000000001</v>
      </c>
      <c r="G64" s="144"/>
      <c r="H64" s="143"/>
      <c r="I64" s="144"/>
      <c r="J64" s="145"/>
      <c r="K64" s="146"/>
    </row>
    <row r="65" spans="1:13" s="89" customFormat="1" ht="15.75" outlineLevel="2" x14ac:dyDescent="0.25">
      <c r="A65" s="100" t="s">
        <v>199</v>
      </c>
      <c r="B65" s="100" t="s">
        <v>200</v>
      </c>
      <c r="C65" s="131"/>
      <c r="D65" s="97" t="s">
        <v>24</v>
      </c>
      <c r="E65" s="84">
        <v>1.1000000000000001</v>
      </c>
      <c r="F65" s="145">
        <f>F41/2*23/75*E65*2</f>
        <v>37.511466666666664</v>
      </c>
      <c r="G65" s="144"/>
      <c r="H65" s="143"/>
      <c r="I65" s="144"/>
      <c r="J65" s="145"/>
      <c r="K65" s="146"/>
    </row>
    <row r="66" spans="1:13" s="28" customFormat="1" ht="30" x14ac:dyDescent="0.25">
      <c r="A66" s="152" t="s">
        <v>133</v>
      </c>
      <c r="B66" s="153" t="s">
        <v>201</v>
      </c>
      <c r="C66" s="154"/>
      <c r="D66" s="155" t="s">
        <v>76</v>
      </c>
      <c r="E66" s="156"/>
      <c r="F66" s="157">
        <f>F41/2</f>
        <v>55.599999999999994</v>
      </c>
      <c r="G66" s="158"/>
      <c r="H66" s="157">
        <f>SUM(H67:H76)</f>
        <v>22116.2310536023</v>
      </c>
      <c r="I66" s="158"/>
      <c r="J66" s="157">
        <f>SUM(J67:J76)</f>
        <v>27688.799999999996</v>
      </c>
      <c r="K66" s="159">
        <f>H66+J66</f>
        <v>49805.031053602295</v>
      </c>
    </row>
    <row r="67" spans="1:13" s="43" customFormat="1" ht="30" outlineLevel="1" x14ac:dyDescent="0.25">
      <c r="A67" s="29" t="s">
        <v>135</v>
      </c>
      <c r="B67" s="30" t="s">
        <v>136</v>
      </c>
      <c r="C67" s="61"/>
      <c r="D67" s="31" t="s">
        <v>76</v>
      </c>
      <c r="E67" s="40"/>
      <c r="F67" s="32">
        <f>F66</f>
        <v>55.599999999999994</v>
      </c>
      <c r="G67" s="160"/>
      <c r="H67" s="87"/>
      <c r="I67" s="160">
        <v>190</v>
      </c>
      <c r="J67" s="32">
        <f>I67*F67</f>
        <v>10563.999999999998</v>
      </c>
      <c r="K67" s="161">
        <f t="shared" ref="K67:K76" si="13">H67+J67</f>
        <v>10563.999999999998</v>
      </c>
    </row>
    <row r="68" spans="1:13" s="43" customFormat="1" outlineLevel="2" x14ac:dyDescent="0.25">
      <c r="A68" s="162" t="s">
        <v>137</v>
      </c>
      <c r="B68" s="163" t="s">
        <v>138</v>
      </c>
      <c r="C68" s="164"/>
      <c r="D68" s="165" t="s">
        <v>139</v>
      </c>
      <c r="E68" s="166">
        <v>2.2839999999999998</v>
      </c>
      <c r="F68" s="151">
        <f>F67*E68</f>
        <v>126.99039999999998</v>
      </c>
      <c r="G68" s="167">
        <v>63.7</v>
      </c>
      <c r="H68" s="168">
        <f>G68*F68</f>
        <v>8089.2884799999993</v>
      </c>
      <c r="I68" s="169"/>
      <c r="J68" s="170"/>
      <c r="K68" s="171">
        <f t="shared" si="13"/>
        <v>8089.2884799999993</v>
      </c>
      <c r="L68" s="43">
        <f>1.142*2</f>
        <v>2.2839999999999998</v>
      </c>
    </row>
    <row r="69" spans="1:13" s="43" customFormat="1" outlineLevel="2" x14ac:dyDescent="0.25">
      <c r="A69" s="162" t="s">
        <v>140</v>
      </c>
      <c r="B69" s="163" t="s">
        <v>141</v>
      </c>
      <c r="C69" s="164"/>
      <c r="D69" s="165" t="s">
        <v>139</v>
      </c>
      <c r="E69" s="166">
        <v>1.1419999999999999</v>
      </c>
      <c r="F69" s="151">
        <f>F67*E69</f>
        <v>63.49519999999999</v>
      </c>
      <c r="G69" s="169">
        <v>59.1</v>
      </c>
      <c r="H69" s="168">
        <f t="shared" ref="H69:H71" si="14">G69*F69</f>
        <v>3752.5663199999995</v>
      </c>
      <c r="I69" s="169"/>
      <c r="J69" s="170"/>
      <c r="K69" s="171">
        <f t="shared" si="13"/>
        <v>3752.5663199999995</v>
      </c>
      <c r="L69" s="43">
        <v>1.1419999999999999</v>
      </c>
    </row>
    <row r="70" spans="1:13" s="43" customFormat="1" outlineLevel="2" x14ac:dyDescent="0.25">
      <c r="A70" s="162" t="s">
        <v>142</v>
      </c>
      <c r="B70" s="163" t="s">
        <v>143</v>
      </c>
      <c r="C70" s="164"/>
      <c r="D70" s="165" t="s">
        <v>66</v>
      </c>
      <c r="E70" s="172">
        <v>1.01712154602475</v>
      </c>
      <c r="F70" s="151">
        <f>_xlfn.CEILING.MATH(F67*E70)</f>
        <v>57</v>
      </c>
      <c r="G70" s="169">
        <v>0.32</v>
      </c>
      <c r="H70" s="168">
        <f t="shared" si="14"/>
        <v>18.240000000000002</v>
      </c>
      <c r="I70" s="169"/>
      <c r="J70" s="170"/>
      <c r="K70" s="171">
        <f t="shared" si="13"/>
        <v>18.240000000000002</v>
      </c>
    </row>
    <row r="71" spans="1:13" s="43" customFormat="1" outlineLevel="2" x14ac:dyDescent="0.25">
      <c r="A71" s="162" t="s">
        <v>144</v>
      </c>
      <c r="B71" s="163" t="s">
        <v>145</v>
      </c>
      <c r="C71" s="164"/>
      <c r="D71" s="165" t="s">
        <v>66</v>
      </c>
      <c r="E71" s="172">
        <v>2.0342430920495</v>
      </c>
      <c r="F71" s="151">
        <f>_xlfn.CEILING.MATH(F67*E71)</f>
        <v>114</v>
      </c>
      <c r="G71" s="169">
        <v>1.25</v>
      </c>
      <c r="H71" s="168">
        <f t="shared" si="14"/>
        <v>142.5</v>
      </c>
      <c r="I71" s="169"/>
      <c r="J71" s="170"/>
      <c r="K71" s="171">
        <f t="shared" si="13"/>
        <v>142.5</v>
      </c>
    </row>
    <row r="72" spans="1:13" s="43" customFormat="1" ht="30" outlineLevel="1" x14ac:dyDescent="0.25">
      <c r="A72" s="173" t="s">
        <v>146</v>
      </c>
      <c r="B72" s="174" t="s">
        <v>147</v>
      </c>
      <c r="C72" s="164"/>
      <c r="D72" s="175" t="s">
        <v>76</v>
      </c>
      <c r="E72" s="172"/>
      <c r="F72" s="151">
        <f>F67</f>
        <v>55.599999999999994</v>
      </c>
      <c r="G72" s="169"/>
      <c r="H72" s="170"/>
      <c r="I72" s="160">
        <v>308</v>
      </c>
      <c r="J72" s="32">
        <f>I72*F72</f>
        <v>17124.8</v>
      </c>
      <c r="K72" s="161">
        <f t="shared" si="13"/>
        <v>17124.8</v>
      </c>
    </row>
    <row r="73" spans="1:13" s="43" customFormat="1" outlineLevel="2" x14ac:dyDescent="0.25">
      <c r="A73" s="162" t="s">
        <v>148</v>
      </c>
      <c r="B73" s="163" t="s">
        <v>149</v>
      </c>
      <c r="C73" s="164"/>
      <c r="D73" s="165" t="s">
        <v>24</v>
      </c>
      <c r="E73" s="176">
        <v>0.72046109510086453</v>
      </c>
      <c r="F73" s="177">
        <f>E73*F72</f>
        <v>40.057636887608062</v>
      </c>
      <c r="G73" s="169">
        <v>241.1</v>
      </c>
      <c r="H73" s="168">
        <f>G73*F73</f>
        <v>9657.8962536023027</v>
      </c>
      <c r="I73" s="169"/>
      <c r="J73" s="170"/>
      <c r="K73" s="171">
        <f t="shared" si="13"/>
        <v>9657.8962536023027</v>
      </c>
    </row>
    <row r="74" spans="1:13" s="43" customFormat="1" outlineLevel="2" x14ac:dyDescent="0.25">
      <c r="A74" s="162" t="s">
        <v>59</v>
      </c>
      <c r="B74" s="163" t="s">
        <v>150</v>
      </c>
      <c r="C74" s="164"/>
      <c r="D74" s="165" t="s">
        <v>66</v>
      </c>
      <c r="E74" s="176">
        <v>0.84760128835395832</v>
      </c>
      <c r="F74" s="177">
        <f>_xlfn.CEILING.MATH(E74*F72)</f>
        <v>48</v>
      </c>
      <c r="G74" s="169">
        <v>5.2</v>
      </c>
      <c r="H74" s="168">
        <f t="shared" ref="H74:H76" si="15">G74*F74</f>
        <v>249.60000000000002</v>
      </c>
      <c r="I74" s="169"/>
      <c r="J74" s="170"/>
      <c r="K74" s="171">
        <f t="shared" si="13"/>
        <v>249.60000000000002</v>
      </c>
    </row>
    <row r="75" spans="1:13" s="43" customFormat="1" outlineLevel="2" x14ac:dyDescent="0.25">
      <c r="A75" s="162" t="s">
        <v>151</v>
      </c>
      <c r="B75" s="163" t="s">
        <v>152</v>
      </c>
      <c r="C75" s="164"/>
      <c r="D75" s="165" t="s">
        <v>66</v>
      </c>
      <c r="E75" s="176">
        <v>1.6952025767079166</v>
      </c>
      <c r="F75" s="177">
        <f>_xlfn.CEILING.MATH(E75*F72)</f>
        <v>95</v>
      </c>
      <c r="G75" s="169">
        <v>0.26</v>
      </c>
      <c r="H75" s="168">
        <f t="shared" si="15"/>
        <v>24.7</v>
      </c>
      <c r="I75" s="169"/>
      <c r="J75" s="170"/>
      <c r="K75" s="171">
        <f t="shared" si="13"/>
        <v>24.7</v>
      </c>
    </row>
    <row r="76" spans="1:13" s="43" customFormat="1" outlineLevel="2" x14ac:dyDescent="0.25">
      <c r="A76" s="162" t="s">
        <v>153</v>
      </c>
      <c r="B76" s="163" t="s">
        <v>154</v>
      </c>
      <c r="C76" s="164"/>
      <c r="D76" s="165" t="s">
        <v>66</v>
      </c>
      <c r="E76" s="178">
        <v>3.3904051534158333</v>
      </c>
      <c r="F76" s="177">
        <f>_xlfn.CEILING.MATH(E76*F72)</f>
        <v>189</v>
      </c>
      <c r="G76" s="169">
        <v>0.96</v>
      </c>
      <c r="H76" s="168">
        <f t="shared" si="15"/>
        <v>181.44</v>
      </c>
      <c r="I76" s="169"/>
      <c r="J76" s="170"/>
      <c r="K76" s="171">
        <f t="shared" si="13"/>
        <v>181.44</v>
      </c>
    </row>
    <row r="77" spans="1:13" s="113" customFormat="1" ht="15.75" outlineLevel="2" x14ac:dyDescent="0.25">
      <c r="A77" s="80" t="s">
        <v>83</v>
      </c>
      <c r="B77" s="104" t="s">
        <v>155</v>
      </c>
      <c r="C77" s="105"/>
      <c r="D77" s="106" t="s">
        <v>156</v>
      </c>
      <c r="E77" s="107"/>
      <c r="F77" s="108"/>
      <c r="G77" s="109"/>
      <c r="H77" s="108">
        <f t="shared" si="12"/>
        <v>0</v>
      </c>
      <c r="I77" s="109"/>
      <c r="J77" s="110"/>
      <c r="K77" s="111">
        <f t="shared" si="3"/>
        <v>0</v>
      </c>
      <c r="L77" s="112"/>
    </row>
    <row r="78" spans="1:13" s="113" customFormat="1" ht="15.75" outlineLevel="2" x14ac:dyDescent="0.25">
      <c r="A78" s="80" t="s">
        <v>85</v>
      </c>
      <c r="B78" s="30" t="s">
        <v>157</v>
      </c>
      <c r="C78" s="61"/>
      <c r="D78" s="31" t="s">
        <v>156</v>
      </c>
      <c r="E78" s="84"/>
      <c r="F78" s="108"/>
      <c r="G78" s="86"/>
      <c r="H78" s="85">
        <f t="shared" si="12"/>
        <v>0</v>
      </c>
      <c r="I78" s="86"/>
      <c r="J78" s="87"/>
      <c r="K78" s="88">
        <f t="shared" si="3"/>
        <v>0</v>
      </c>
      <c r="L78" s="112"/>
    </row>
    <row r="79" spans="1:13" s="36" customFormat="1" ht="30" outlineLevel="1" x14ac:dyDescent="0.25">
      <c r="A79" s="80" t="s">
        <v>87</v>
      </c>
      <c r="B79" s="30" t="s">
        <v>158</v>
      </c>
      <c r="C79" s="61"/>
      <c r="D79" s="31" t="s">
        <v>159</v>
      </c>
      <c r="E79" s="84"/>
      <c r="F79" s="108"/>
      <c r="G79" s="86"/>
      <c r="H79" s="85">
        <f t="shared" si="12"/>
        <v>0</v>
      </c>
      <c r="I79" s="86"/>
      <c r="J79" s="87"/>
      <c r="K79" s="88">
        <f t="shared" si="3"/>
        <v>0</v>
      </c>
      <c r="L79" s="112"/>
    </row>
    <row r="80" spans="1:13" s="36" customFormat="1" ht="15.75" outlineLevel="1" x14ac:dyDescent="0.25">
      <c r="A80" s="80" t="s">
        <v>89</v>
      </c>
      <c r="B80" s="30" t="s">
        <v>160</v>
      </c>
      <c r="C80" s="61"/>
      <c r="D80" s="31" t="s">
        <v>159</v>
      </c>
      <c r="E80" s="84"/>
      <c r="F80" s="85"/>
      <c r="G80" s="86"/>
      <c r="H80" s="85">
        <f t="shared" si="12"/>
        <v>0</v>
      </c>
      <c r="I80" s="86"/>
      <c r="J80" s="87"/>
      <c r="K80" s="88">
        <f t="shared" si="3"/>
        <v>0</v>
      </c>
      <c r="L80" s="112"/>
      <c r="M80" s="114"/>
    </row>
    <row r="81" spans="1:13" s="36" customFormat="1" ht="15.75" outlineLevel="1" x14ac:dyDescent="0.25">
      <c r="A81" s="80" t="s">
        <v>91</v>
      </c>
      <c r="B81" s="30" t="s">
        <v>161</v>
      </c>
      <c r="C81" s="61"/>
      <c r="D81" s="31" t="s">
        <v>162</v>
      </c>
      <c r="E81" s="84"/>
      <c r="F81" s="85"/>
      <c r="G81" s="86"/>
      <c r="H81" s="85">
        <f t="shared" si="12"/>
        <v>0</v>
      </c>
      <c r="I81" s="86"/>
      <c r="J81" s="87"/>
      <c r="K81" s="88">
        <f t="shared" si="3"/>
        <v>0</v>
      </c>
      <c r="L81" s="112"/>
    </row>
    <row r="82" spans="1:13" s="36" customFormat="1" ht="15.75" outlineLevel="1" x14ac:dyDescent="0.25">
      <c r="A82" s="80" t="s">
        <v>93</v>
      </c>
      <c r="B82" s="64" t="s">
        <v>163</v>
      </c>
      <c r="C82" s="65"/>
      <c r="D82" s="66" t="s">
        <v>61</v>
      </c>
      <c r="E82" s="115"/>
      <c r="F82" s="116"/>
      <c r="G82" s="117"/>
      <c r="H82" s="116">
        <f t="shared" si="12"/>
        <v>0</v>
      </c>
      <c r="I82" s="117"/>
      <c r="J82" s="118"/>
      <c r="K82" s="88">
        <f t="shared" si="3"/>
        <v>0</v>
      </c>
      <c r="L82" s="70"/>
    </row>
    <row r="83" spans="1:13" s="36" customFormat="1" ht="15.75" outlineLevel="1" x14ac:dyDescent="0.25">
      <c r="A83" s="80" t="s">
        <v>95</v>
      </c>
      <c r="B83" s="64" t="s">
        <v>163</v>
      </c>
      <c r="C83" s="65"/>
      <c r="D83" s="66" t="s">
        <v>61</v>
      </c>
      <c r="E83" s="115"/>
      <c r="F83" s="116"/>
      <c r="G83" s="117"/>
      <c r="H83" s="116">
        <f t="shared" si="12"/>
        <v>0</v>
      </c>
      <c r="I83" s="117"/>
      <c r="J83" s="118"/>
      <c r="K83" s="119">
        <f t="shared" si="3"/>
        <v>0</v>
      </c>
      <c r="L83" s="70"/>
      <c r="M83" s="94"/>
    </row>
    <row r="84" spans="1:13" s="36" customFormat="1" ht="15.75" outlineLevel="1" x14ac:dyDescent="0.25">
      <c r="A84" s="80" t="s">
        <v>97</v>
      </c>
      <c r="B84" s="64" t="s">
        <v>163</v>
      </c>
      <c r="C84" s="65"/>
      <c r="D84" s="66" t="s">
        <v>61</v>
      </c>
      <c r="E84" s="115"/>
      <c r="F84" s="116"/>
      <c r="G84" s="117"/>
      <c r="H84" s="116">
        <f t="shared" si="12"/>
        <v>0</v>
      </c>
      <c r="I84" s="117"/>
      <c r="J84" s="118"/>
      <c r="K84" s="119">
        <f t="shared" si="3"/>
        <v>0</v>
      </c>
      <c r="L84" s="70"/>
    </row>
    <row r="85" spans="1:13" s="36" customFormat="1" ht="15.75" outlineLevel="1" x14ac:dyDescent="0.25">
      <c r="A85" s="80" t="s">
        <v>164</v>
      </c>
      <c r="B85" s="64" t="s">
        <v>165</v>
      </c>
      <c r="C85" s="65"/>
      <c r="D85" s="66" t="s">
        <v>61</v>
      </c>
      <c r="E85" s="115"/>
      <c r="F85" s="116"/>
      <c r="G85" s="117"/>
      <c r="H85" s="116">
        <f t="shared" si="12"/>
        <v>0</v>
      </c>
      <c r="I85" s="117"/>
      <c r="J85" s="118"/>
      <c r="K85" s="119">
        <f t="shared" si="3"/>
        <v>0</v>
      </c>
      <c r="L85" s="70"/>
    </row>
    <row r="86" spans="1:13" s="120" customFormat="1" ht="15.75" outlineLevel="1" x14ac:dyDescent="0.25">
      <c r="A86" s="80" t="s">
        <v>166</v>
      </c>
      <c r="B86" s="104" t="s">
        <v>167</v>
      </c>
      <c r="C86" s="105"/>
      <c r="D86" s="106" t="s">
        <v>159</v>
      </c>
      <c r="E86" s="107"/>
      <c r="F86" s="108"/>
      <c r="G86" s="109"/>
      <c r="H86" s="108">
        <f t="shared" si="12"/>
        <v>0</v>
      </c>
      <c r="I86" s="109"/>
      <c r="J86" s="110"/>
      <c r="K86" s="111">
        <f t="shared" si="3"/>
        <v>0</v>
      </c>
    </row>
    <row r="87" spans="1:13" s="120" customFormat="1" ht="15.75" outlineLevel="1" x14ac:dyDescent="0.25">
      <c r="A87" s="80" t="s">
        <v>168</v>
      </c>
      <c r="B87" s="104" t="s">
        <v>169</v>
      </c>
      <c r="C87" s="105"/>
      <c r="D87" s="106" t="s">
        <v>159</v>
      </c>
      <c r="E87" s="107"/>
      <c r="F87" s="108"/>
      <c r="G87" s="109"/>
      <c r="H87" s="108">
        <f t="shared" si="12"/>
        <v>0</v>
      </c>
      <c r="I87" s="109"/>
      <c r="J87" s="110"/>
      <c r="K87" s="111">
        <f t="shared" si="3"/>
        <v>0</v>
      </c>
      <c r="L87" s="112"/>
      <c r="M87" s="121"/>
    </row>
    <row r="88" spans="1:13" s="43" customFormat="1" ht="16.5" outlineLevel="1" thickBot="1" x14ac:dyDescent="0.3">
      <c r="A88" s="4"/>
      <c r="B88" s="5"/>
      <c r="C88" s="62"/>
      <c r="D88" s="6"/>
      <c r="E88" s="42"/>
      <c r="F88" s="7"/>
      <c r="G88" s="27"/>
      <c r="H88" s="7">
        <f t="shared" ref="H88" si="16">$F88*G88</f>
        <v>0</v>
      </c>
      <c r="I88" s="27"/>
      <c r="J88" s="32"/>
      <c r="K88" s="8">
        <f t="shared" ref="K88" si="17">H88+J88</f>
        <v>0</v>
      </c>
    </row>
    <row r="89" spans="1:13" ht="15.75" x14ac:dyDescent="0.25">
      <c r="A89" s="49"/>
      <c r="B89" s="49" t="s">
        <v>170</v>
      </c>
      <c r="C89" s="58"/>
      <c r="D89" s="51"/>
      <c r="E89" s="41"/>
      <c r="F89" s="9"/>
      <c r="G89" s="10"/>
      <c r="H89" s="200" t="e">
        <f>H16+H51</f>
        <v>#VALUE!</v>
      </c>
      <c r="I89" s="11"/>
      <c r="J89" s="12" t="e">
        <f>J16+J51</f>
        <v>#VALUE!</v>
      </c>
      <c r="K89" s="13" t="e">
        <f>H89+J89</f>
        <v>#VALUE!</v>
      </c>
      <c r="L89" s="197"/>
      <c r="M89" s="197"/>
    </row>
    <row r="90" spans="1:13" ht="16.5" thickBot="1" x14ac:dyDescent="0.3">
      <c r="A90" s="50"/>
      <c r="B90" s="50" t="s">
        <v>171</v>
      </c>
      <c r="C90" s="59"/>
      <c r="D90" s="52"/>
      <c r="E90" s="38"/>
      <c r="F90" s="14"/>
      <c r="G90" s="15"/>
      <c r="H90" s="14" t="e">
        <f>H91-H89</f>
        <v>#VALUE!</v>
      </c>
      <c r="I90" s="16"/>
      <c r="J90" s="17" t="e">
        <f>J91-J89</f>
        <v>#VALUE!</v>
      </c>
      <c r="K90" s="18" t="e">
        <f>K89*0.2</f>
        <v>#VALUE!</v>
      </c>
      <c r="L90" s="197"/>
      <c r="M90" s="197"/>
    </row>
    <row r="91" spans="1:13" ht="16.5" thickBot="1" x14ac:dyDescent="0.3">
      <c r="A91" s="19"/>
      <c r="B91" s="20" t="s">
        <v>172</v>
      </c>
      <c r="C91" s="60"/>
      <c r="D91" s="21"/>
      <c r="E91" s="39"/>
      <c r="F91" s="22"/>
      <c r="G91" s="23"/>
      <c r="H91" s="22" t="e">
        <f>H89*1.2</f>
        <v>#VALUE!</v>
      </c>
      <c r="I91" s="24"/>
      <c r="J91" s="25" t="e">
        <f>J89*1.2</f>
        <v>#VALUE!</v>
      </c>
      <c r="K91" s="26" t="e">
        <f>SUM(K89:K90)</f>
        <v>#VALUE!</v>
      </c>
      <c r="L91" s="197"/>
      <c r="M91" s="197"/>
    </row>
    <row r="92" spans="1:13" s="34" customFormat="1" ht="12.75" x14ac:dyDescent="0.25"/>
    <row r="93" spans="1:13" s="45" customFormat="1" x14ac:dyDescent="0.25">
      <c r="A93" s="225" t="s">
        <v>173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01"/>
      <c r="M93" s="201"/>
    </row>
    <row r="94" spans="1:13" x14ac:dyDescent="0.25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</row>
    <row r="95" spans="1:13" ht="15" customHeight="1" x14ac:dyDescent="0.25">
      <c r="A95" s="206" t="s">
        <v>174</v>
      </c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197"/>
      <c r="M95" s="197"/>
    </row>
    <row r="96" spans="1:13" ht="15" customHeight="1" x14ac:dyDescent="0.25">
      <c r="A96" s="206" t="s">
        <v>175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197"/>
      <c r="M96" s="197"/>
    </row>
    <row r="97" spans="1:11" ht="15" customHeight="1" x14ac:dyDescent="0.25">
      <c r="A97" s="229" t="s">
        <v>176</v>
      </c>
      <c r="B97" s="229"/>
      <c r="C97" s="229"/>
      <c r="D97" s="229"/>
      <c r="E97" s="229"/>
      <c r="F97" s="229"/>
      <c r="G97" s="229"/>
      <c r="H97" s="229"/>
      <c r="I97" s="229"/>
      <c r="J97" s="229"/>
      <c r="K97" s="229"/>
    </row>
    <row r="98" spans="1:11" ht="15" customHeight="1" x14ac:dyDescent="0.25">
      <c r="A98" s="206" t="s">
        <v>177</v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</row>
    <row r="99" spans="1:11" ht="30" customHeight="1" x14ac:dyDescent="0.25">
      <c r="A99" s="229" t="s">
        <v>178</v>
      </c>
      <c r="B99" s="229"/>
      <c r="C99" s="229"/>
      <c r="D99" s="229"/>
      <c r="E99" s="229"/>
      <c r="F99" s="229"/>
      <c r="G99" s="229"/>
      <c r="H99" s="229"/>
      <c r="I99" s="229"/>
      <c r="J99" s="229"/>
      <c r="K99" s="229"/>
    </row>
    <row r="100" spans="1:11" ht="15" customHeight="1" x14ac:dyDescent="0.25">
      <c r="A100" s="206" t="s">
        <v>179</v>
      </c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1:11" ht="46.5" customHeight="1" x14ac:dyDescent="0.25">
      <c r="A101" s="230" t="s">
        <v>180</v>
      </c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</row>
    <row r="102" spans="1:11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197"/>
    </row>
    <row r="103" spans="1:11" ht="21" x14ac:dyDescent="0.25">
      <c r="A103" s="231" t="s">
        <v>181</v>
      </c>
      <c r="B103" s="231"/>
      <c r="C103" s="43"/>
      <c r="D103" s="232"/>
      <c r="E103" s="232"/>
      <c r="F103" s="232"/>
      <c r="G103" s="232"/>
      <c r="H103" s="226"/>
      <c r="I103" s="226"/>
      <c r="J103" s="226"/>
      <c r="K103" s="226"/>
    </row>
    <row r="104" spans="1:11" x14ac:dyDescent="0.25">
      <c r="A104" s="226"/>
      <c r="B104" s="226"/>
      <c r="C104" s="57"/>
      <c r="D104" s="227" t="s">
        <v>182</v>
      </c>
      <c r="E104" s="227"/>
      <c r="F104" s="227"/>
      <c r="G104" s="227"/>
      <c r="H104" s="227" t="s">
        <v>183</v>
      </c>
      <c r="I104" s="227"/>
      <c r="J104" s="227"/>
      <c r="K104" s="227"/>
    </row>
    <row r="105" spans="1:11" x14ac:dyDescent="0.25">
      <c r="A105" s="228" t="s">
        <v>184</v>
      </c>
      <c r="B105" s="228"/>
      <c r="C105" s="56"/>
      <c r="D105" s="197"/>
      <c r="E105" s="197"/>
      <c r="F105" s="197"/>
      <c r="G105" s="197"/>
      <c r="H105" s="197"/>
      <c r="I105" s="197"/>
      <c r="J105" s="197"/>
      <c r="K105" s="197"/>
    </row>
  </sheetData>
  <mergeCells count="34">
    <mergeCell ref="A7:K7"/>
    <mergeCell ref="A2:K2"/>
    <mergeCell ref="A3:B3"/>
    <mergeCell ref="D3:I3"/>
    <mergeCell ref="A5:K5"/>
    <mergeCell ref="A6:K6"/>
    <mergeCell ref="A8:K8"/>
    <mergeCell ref="J9:K9"/>
    <mergeCell ref="J10:K10"/>
    <mergeCell ref="B11:K11"/>
    <mergeCell ref="A14:A15"/>
    <mergeCell ref="B14:B15"/>
    <mergeCell ref="D14:D15"/>
    <mergeCell ref="F14:F15"/>
    <mergeCell ref="G14:H14"/>
    <mergeCell ref="I14:J14"/>
    <mergeCell ref="E14:E15"/>
    <mergeCell ref="C14:C15"/>
    <mergeCell ref="A98:K98"/>
    <mergeCell ref="A99:K99"/>
    <mergeCell ref="A100:K100"/>
    <mergeCell ref="K14:K15"/>
    <mergeCell ref="A95:K95"/>
    <mergeCell ref="A96:K96"/>
    <mergeCell ref="A97:K97"/>
    <mergeCell ref="A93:K93"/>
    <mergeCell ref="A101:K101"/>
    <mergeCell ref="D104:G104"/>
    <mergeCell ref="H104:K104"/>
    <mergeCell ref="A105:B105"/>
    <mergeCell ref="A103:B103"/>
    <mergeCell ref="D103:G103"/>
    <mergeCell ref="H103:K103"/>
    <mergeCell ref="A104:B104"/>
  </mergeCells>
  <phoneticPr fontId="28" type="noConversion"/>
  <conditionalFormatting sqref="A104:C104">
    <cfRule type="cellIs" dxfId="29" priority="68" operator="equal">
      <formula>0</formula>
    </cfRule>
  </conditionalFormatting>
  <conditionalFormatting sqref="B11:K11">
    <cfRule type="cellIs" dxfId="28" priority="70" operator="equal">
      <formula>0</formula>
    </cfRule>
  </conditionalFormatting>
  <conditionalFormatting sqref="F88:G88 F18:F34 G49:G59 G62:G65 F49:F65">
    <cfRule type="cellIs" dxfId="27" priority="35" operator="equal">
      <formula>0</formula>
    </cfRule>
  </conditionalFormatting>
  <conditionalFormatting sqref="H103:K103">
    <cfRule type="cellIs" dxfId="26" priority="69" operator="equal">
      <formula>0</formula>
    </cfRule>
  </conditionalFormatting>
  <conditionalFormatting sqref="J9:K9">
    <cfRule type="cellIs" dxfId="25" priority="71" operator="equal">
      <formula>0</formula>
    </cfRule>
  </conditionalFormatting>
  <conditionalFormatting sqref="F48:G48">
    <cfRule type="cellIs" dxfId="24" priority="19" operator="equal">
      <formula>0</formula>
    </cfRule>
  </conditionalFormatting>
  <conditionalFormatting sqref="F42 F35:F38">
    <cfRule type="cellIs" dxfId="23" priority="15" operator="equal">
      <formula>0</formula>
    </cfRule>
  </conditionalFormatting>
  <conditionalFormatting sqref="F77:G87">
    <cfRule type="cellIs" dxfId="22" priority="13" operator="equal">
      <formula>0</formula>
    </cfRule>
  </conditionalFormatting>
  <conditionalFormatting sqref="G27">
    <cfRule type="cellIs" dxfId="21" priority="21" operator="equal">
      <formula>0</formula>
    </cfRule>
  </conditionalFormatting>
  <conditionalFormatting sqref="G29:G30">
    <cfRule type="cellIs" dxfId="20" priority="23" operator="equal">
      <formula>0</formula>
    </cfRule>
  </conditionalFormatting>
  <conditionalFormatting sqref="G32">
    <cfRule type="cellIs" dxfId="19" priority="20" operator="equal">
      <formula>0</formula>
    </cfRule>
  </conditionalFormatting>
  <conditionalFormatting sqref="G34">
    <cfRule type="cellIs" dxfId="18" priority="17" operator="equal">
      <formula>0</formula>
    </cfRule>
  </conditionalFormatting>
  <conditionalFormatting sqref="G35:G36">
    <cfRule type="cellIs" dxfId="17" priority="22" operator="equal">
      <formula>0</formula>
    </cfRule>
  </conditionalFormatting>
  <conditionalFormatting sqref="I18">
    <cfRule type="cellIs" dxfId="16" priority="27" operator="equal">
      <formula>0</formula>
    </cfRule>
  </conditionalFormatting>
  <conditionalFormatting sqref="I28">
    <cfRule type="cellIs" dxfId="15" priority="26" operator="equal">
      <formula>0</formula>
    </cfRule>
  </conditionalFormatting>
  <conditionalFormatting sqref="I31">
    <cfRule type="cellIs" dxfId="14" priority="25" operator="equal">
      <formula>0</formula>
    </cfRule>
  </conditionalFormatting>
  <conditionalFormatting sqref="I33">
    <cfRule type="cellIs" dxfId="13" priority="24" operator="equal">
      <formula>0</formula>
    </cfRule>
  </conditionalFormatting>
  <conditionalFormatting sqref="I42">
    <cfRule type="cellIs" dxfId="12" priority="18" operator="equal">
      <formula>0</formula>
    </cfRule>
  </conditionalFormatting>
  <conditionalFormatting sqref="F39:F41">
    <cfRule type="cellIs" dxfId="11" priority="11" operator="equal">
      <formula>0</formula>
    </cfRule>
  </conditionalFormatting>
  <conditionalFormatting sqref="I39:I41">
    <cfRule type="cellIs" dxfId="10" priority="12" operator="equal">
      <formula>0</formula>
    </cfRule>
  </conditionalFormatting>
  <conditionalFormatting sqref="F46:F47">
    <cfRule type="cellIs" dxfId="9" priority="9" operator="equal">
      <formula>0</formula>
    </cfRule>
  </conditionalFormatting>
  <conditionalFormatting sqref="I46:I47">
    <cfRule type="cellIs" dxfId="8" priority="10" operator="equal">
      <formula>0</formula>
    </cfRule>
  </conditionalFormatting>
  <conditionalFormatting sqref="F43:F45">
    <cfRule type="cellIs" dxfId="7" priority="7" operator="equal">
      <formula>0</formula>
    </cfRule>
  </conditionalFormatting>
  <conditionalFormatting sqref="I43:I45">
    <cfRule type="cellIs" dxfId="6" priority="8" operator="equal">
      <formula>0</formula>
    </cfRule>
  </conditionalFormatting>
  <conditionalFormatting sqref="F17">
    <cfRule type="cellIs" dxfId="5" priority="6" operator="equal">
      <formula>0</formula>
    </cfRule>
  </conditionalFormatting>
  <conditionalFormatting sqref="I17">
    <cfRule type="cellIs" dxfId="4" priority="5" operator="equal">
      <formula>0</formula>
    </cfRule>
  </conditionalFormatting>
  <conditionalFormatting sqref="F67 F68:G71 G73:G76">
    <cfRule type="cellIs" dxfId="3" priority="4" operator="equal">
      <formula>0</formula>
    </cfRule>
  </conditionalFormatting>
  <conditionalFormatting sqref="F72:F76">
    <cfRule type="cellIs" dxfId="2" priority="3" operator="equal">
      <formula>0</formula>
    </cfRule>
  </conditionalFormatting>
  <conditionalFormatting sqref="I67">
    <cfRule type="cellIs" dxfId="1" priority="2" operator="equal">
      <formula>0</formula>
    </cfRule>
  </conditionalFormatting>
  <conditionalFormatting sqref="I72">
    <cfRule type="cellIs" dxfId="0" priority="1" operator="equal">
      <formula>0</formula>
    </cfRule>
  </conditionalFormatting>
  <printOptions horizontalCentered="1"/>
  <pageMargins left="1.1811023622047245" right="0.39370078740157483" top="1.1811023622047245" bottom="0.59055118110236227" header="0" footer="0"/>
  <pageSetup paperSize="9" scale="44" fitToHeight="2" orientation="landscape" blackAndWhite="1" r:id="rId1"/>
  <headerFooter>
    <oddFooter>&amp;RАркуш. &amp;P
Аркушів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topLeftCell="A7" zoomScale="120" zoomScaleNormal="120" workbookViewId="0">
      <selection activeCell="P6" sqref="P6"/>
    </sheetView>
  </sheetViews>
  <sheetFormatPr defaultRowHeight="15" x14ac:dyDescent="0.25"/>
  <cols>
    <col min="1" max="1" width="8.7109375" customWidth="1"/>
    <col min="2" max="2" width="9.7109375" customWidth="1"/>
    <col min="3" max="3" width="54.7109375" customWidth="1"/>
  </cols>
  <sheetData>
    <row r="2" spans="1:6" x14ac:dyDescent="0.25">
      <c r="A2" s="191" t="s">
        <v>202</v>
      </c>
      <c r="B2" s="191" t="s">
        <v>203</v>
      </c>
      <c r="C2" s="191" t="s">
        <v>204</v>
      </c>
      <c r="D2" s="191" t="s">
        <v>24</v>
      </c>
      <c r="E2" s="191" t="s">
        <v>205</v>
      </c>
      <c r="F2" s="191" t="s">
        <v>206</v>
      </c>
    </row>
    <row r="3" spans="1:6" ht="45" x14ac:dyDescent="0.25">
      <c r="A3" s="191">
        <v>1</v>
      </c>
      <c r="B3" s="191" t="s">
        <v>207</v>
      </c>
      <c r="C3" s="193" t="s">
        <v>208</v>
      </c>
      <c r="D3" s="194">
        <f>'ТЗ на сендвіч '!F37</f>
        <v>202.37</v>
      </c>
      <c r="E3" s="192">
        <f>E4+7</f>
        <v>54</v>
      </c>
      <c r="F3" s="192">
        <f>1.18*3.5</f>
        <v>4.13</v>
      </c>
    </row>
    <row r="4" spans="1:6" ht="30" x14ac:dyDescent="0.25">
      <c r="A4" s="191">
        <v>2</v>
      </c>
      <c r="B4" s="191" t="s">
        <v>209</v>
      </c>
      <c r="C4" s="193" t="s">
        <v>210</v>
      </c>
      <c r="D4" s="194">
        <f>F4*E4</f>
        <v>388.21999999999997</v>
      </c>
      <c r="E4" s="192">
        <f>45+2</f>
        <v>47</v>
      </c>
      <c r="F4" s="192">
        <f>7*1.18</f>
        <v>8.26</v>
      </c>
    </row>
  </sheetData>
  <printOptions horizontalCentered="1" verticalCentered="1"/>
  <pageMargins left="0.31496062992125984" right="0.31496062992125984" top="0.74803149606299213" bottom="0.74803149606299213" header="0.31496062992125984" footer="0.31496062992125984"/>
  <pageSetup paperSize="8" scale="125" fitToWidth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48280EA248E4AAA91B26A725D596D" ma:contentTypeVersion="14" ma:contentTypeDescription="Create a new document." ma:contentTypeScope="" ma:versionID="ba3329bedcdd609e6ff819c958143fa0">
  <xsd:schema xmlns:xsd="http://www.w3.org/2001/XMLSchema" xmlns:xs="http://www.w3.org/2001/XMLSchema" xmlns:p="http://schemas.microsoft.com/office/2006/metadata/properties" xmlns:ns2="cc6839aa-3829-4483-b1ac-3bc616d3ebb7" xmlns:ns3="4f889c87-1cf5-49cf-99dd-7213ed854027" targetNamespace="http://schemas.microsoft.com/office/2006/metadata/properties" ma:root="true" ma:fieldsID="041a608378d1cdcfff2fe4eb1f60e270" ns2:_="" ns3:_="">
    <xsd:import namespace="cc6839aa-3829-4483-b1ac-3bc616d3ebb7"/>
    <xsd:import namespace="4f889c87-1cf5-49cf-99dd-7213ed854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839aa-3829-4483-b1ac-3bc616d3e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89c87-1cf5-49cf-99dd-7213ed854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b26d957-b41b-446d-b21d-e160e41793ad}" ma:internalName="TaxCatchAll" ma:showField="CatchAllData" ma:web="4f889c87-1cf5-49cf-99dd-7213ed854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6839aa-3829-4483-b1ac-3bc616d3ebb7">
      <Terms xmlns="http://schemas.microsoft.com/office/infopath/2007/PartnerControls"/>
    </lcf76f155ced4ddcb4097134ff3c332f>
    <TaxCatchAll xmlns="4f889c87-1cf5-49cf-99dd-7213ed854027" xsi:nil="true"/>
    <SharedWithUsers xmlns="4f889c87-1cf5-49cf-99dd-7213ed854027">
      <UserInfo>
        <DisplayName>Богдан Подлипский</DisplayName>
        <AccountId>534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B75E7FF-E3C2-4EB9-922D-AC46C1867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839aa-3829-4483-b1ac-3bc616d3ebb7"/>
    <ds:schemaRef ds:uri="4f889c87-1cf5-49cf-99dd-7213ed854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D2F4A-2485-44EE-ADF3-4E27D838D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FE291-A2A1-482B-8281-F0EEF6314E6E}">
  <ds:schemaRefs>
    <ds:schemaRef ds:uri="4f889c87-1cf5-49cf-99dd-7213ed854027"/>
    <ds:schemaRef ds:uri="cc6839aa-3829-4483-b1ac-3bc616d3ebb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ТЗ на сендвіч </vt:lpstr>
      <vt:lpstr>ТЗ на сендвіч не роб</vt:lpstr>
      <vt:lpstr>сендвічі</vt:lpstr>
      <vt:lpstr>Лист1</vt:lpstr>
      <vt:lpstr>'ТЗ на сендвіч '!Область_печати</vt:lpstr>
      <vt:lpstr>'ТЗ на сендвіч не роб'!Область_печати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2026-04-23T16:05:38Z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0x01010058A48280EA248E4AAA91B26A725D596D</vt:lpwstr>
  </property>
  <property fmtid="{D5CDD505-2E9C-101B-9397-08002B2CF9AE}" pid="3" name="MediaServiceImageTags">
    <vt:lpwstr/>
  </property>
</Properties>
</file>