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ownloads\"/>
    </mc:Choice>
  </mc:AlternateContent>
  <bookViews>
    <workbookView xWindow="0" yWindow="0" windowWidth="23040" windowHeight="8496"/>
  </bookViews>
  <sheets>
    <sheet name="Розцінки " sheetId="1" r:id="rId1"/>
  </sheets>
  <definedNames>
    <definedName name="_xlnm._FilterDatabase" localSheetId="0" hidden="1">'Розцінки '!$C$8:$AG$133</definedName>
    <definedName name="_xlnm.Print_Titles" localSheetId="0">'Розцінки '!$5:$8</definedName>
    <definedName name="_xlnm.Print_Area" localSheetId="0">'Розцінки '!$A$4:$AA$138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9" i="1" l="1"/>
  <c r="Y128" i="1"/>
  <c r="AA128" i="1" s="1"/>
  <c r="Y127" i="1"/>
  <c r="AA127" i="1" s="1"/>
  <c r="Y126" i="1"/>
  <c r="AA126" i="1" s="1"/>
  <c r="K126" i="1"/>
  <c r="J126" i="1"/>
  <c r="K125" i="1"/>
  <c r="J125" i="1"/>
  <c r="Y124" i="1"/>
  <c r="AA124" i="1" s="1"/>
  <c r="J124" i="1"/>
  <c r="I124" i="1"/>
  <c r="K124" i="1" s="1"/>
  <c r="J123" i="1"/>
  <c r="I123" i="1"/>
  <c r="K123" i="1" s="1"/>
  <c r="K122" i="1"/>
  <c r="J122" i="1"/>
  <c r="K121" i="1"/>
  <c r="J121" i="1"/>
  <c r="K120" i="1"/>
  <c r="J120" i="1"/>
  <c r="K119" i="1"/>
  <c r="J119" i="1"/>
  <c r="Y118" i="1"/>
  <c r="AA118" i="1" s="1"/>
  <c r="T118" i="1"/>
  <c r="S118" i="1"/>
  <c r="S107" i="1" s="1"/>
  <c r="J118" i="1"/>
  <c r="G118" i="1"/>
  <c r="I118" i="1" s="1"/>
  <c r="K118" i="1" s="1"/>
  <c r="F118" i="1"/>
  <c r="Y117" i="1"/>
  <c r="AA117" i="1" s="1"/>
  <c r="K117" i="1"/>
  <c r="J117" i="1"/>
  <c r="Y116" i="1"/>
  <c r="AA116" i="1" s="1"/>
  <c r="K116" i="1"/>
  <c r="J116" i="1"/>
  <c r="Y115" i="1"/>
  <c r="AA115" i="1" s="1"/>
  <c r="K115" i="1"/>
  <c r="J115" i="1"/>
  <c r="Y114" i="1"/>
  <c r="AA114" i="1" s="1"/>
  <c r="K114" i="1"/>
  <c r="J114" i="1"/>
  <c r="AA113" i="1"/>
  <c r="Y113" i="1"/>
  <c r="T113" i="1"/>
  <c r="S113" i="1"/>
  <c r="J113" i="1"/>
  <c r="G113" i="1"/>
  <c r="F113" i="1"/>
  <c r="I113" i="1" s="1"/>
  <c r="K113" i="1" s="1"/>
  <c r="K112" i="1"/>
  <c r="J112" i="1"/>
  <c r="Y111" i="1"/>
  <c r="AA111" i="1" s="1"/>
  <c r="K111" i="1"/>
  <c r="J111" i="1"/>
  <c r="Y110" i="1"/>
  <c r="AA110" i="1" s="1"/>
  <c r="K110" i="1"/>
  <c r="J110" i="1"/>
  <c r="Y109" i="1"/>
  <c r="AA109" i="1" s="1"/>
  <c r="K109" i="1"/>
  <c r="J109" i="1"/>
  <c r="Y108" i="1"/>
  <c r="AA108" i="1" s="1"/>
  <c r="K108" i="1"/>
  <c r="J108" i="1"/>
  <c r="Y107" i="1"/>
  <c r="AA107" i="1" s="1"/>
  <c r="T107" i="1"/>
  <c r="J107" i="1"/>
  <c r="F107" i="1"/>
  <c r="Y106" i="1"/>
  <c r="AA106" i="1" s="1"/>
  <c r="K106" i="1"/>
  <c r="J106" i="1"/>
  <c r="Y105" i="1"/>
  <c r="AA105" i="1" s="1"/>
  <c r="K105" i="1"/>
  <c r="J105" i="1"/>
  <c r="Y104" i="1"/>
  <c r="AA104" i="1" s="1"/>
  <c r="K104" i="1"/>
  <c r="J104" i="1"/>
  <c r="Y103" i="1"/>
  <c r="AA103" i="1" s="1"/>
  <c r="T103" i="1"/>
  <c r="J103" i="1"/>
  <c r="G103" i="1"/>
  <c r="I103" i="1" s="1"/>
  <c r="K103" i="1" s="1"/>
  <c r="Y102" i="1"/>
  <c r="AA102" i="1" s="1"/>
  <c r="K102" i="1"/>
  <c r="J102" i="1"/>
  <c r="Y101" i="1"/>
  <c r="AA101" i="1" s="1"/>
  <c r="K101" i="1"/>
  <c r="J101" i="1"/>
  <c r="Y100" i="1"/>
  <c r="AA100" i="1" s="1"/>
  <c r="T100" i="1"/>
  <c r="J100" i="1"/>
  <c r="Y99" i="1"/>
  <c r="AA99" i="1" s="1"/>
  <c r="K99" i="1"/>
  <c r="J99" i="1"/>
  <c r="Y98" i="1"/>
  <c r="AA98" i="1" s="1"/>
  <c r="K98" i="1"/>
  <c r="J98" i="1"/>
  <c r="Y97" i="1"/>
  <c r="AA97" i="1" s="1"/>
  <c r="K97" i="1"/>
  <c r="J97" i="1"/>
  <c r="Y96" i="1"/>
  <c r="AA96" i="1" s="1"/>
  <c r="K96" i="1"/>
  <c r="J96" i="1"/>
  <c r="Y95" i="1"/>
  <c r="AA95" i="1" s="1"/>
  <c r="T95" i="1"/>
  <c r="S95" i="1"/>
  <c r="J95" i="1"/>
  <c r="G95" i="1"/>
  <c r="F95" i="1"/>
  <c r="Y94" i="1"/>
  <c r="AA94" i="1" s="1"/>
  <c r="K94" i="1"/>
  <c r="J94" i="1"/>
  <c r="Y93" i="1"/>
  <c r="AA93" i="1" s="1"/>
  <c r="K93" i="1"/>
  <c r="J93" i="1"/>
  <c r="Y92" i="1"/>
  <c r="AA92" i="1" s="1"/>
  <c r="K92" i="1"/>
  <c r="J92" i="1"/>
  <c r="AA91" i="1"/>
  <c r="Y91" i="1"/>
  <c r="T91" i="1"/>
  <c r="S91" i="1"/>
  <c r="S100" i="1" s="1"/>
  <c r="J91" i="1"/>
  <c r="G91" i="1"/>
  <c r="G100" i="1" s="1"/>
  <c r="F91" i="1"/>
  <c r="F100" i="1" s="1"/>
  <c r="K90" i="1"/>
  <c r="J90" i="1"/>
  <c r="K89" i="1"/>
  <c r="J89" i="1"/>
  <c r="Y88" i="1"/>
  <c r="AA88" i="1" s="1"/>
  <c r="T88" i="1"/>
  <c r="S88" i="1"/>
  <c r="J88" i="1"/>
  <c r="G88" i="1"/>
  <c r="I88" i="1" s="1"/>
  <c r="K88" i="1" s="1"/>
  <c r="F88" i="1"/>
  <c r="AB87" i="1"/>
  <c r="Y87" i="1"/>
  <c r="AA87" i="1" s="1"/>
  <c r="S87" i="1"/>
  <c r="J87" i="1"/>
  <c r="F87" i="1"/>
  <c r="I87" i="1" s="1"/>
  <c r="K87" i="1" s="1"/>
  <c r="AB86" i="1"/>
  <c r="Y86" i="1"/>
  <c r="AA86" i="1" s="1"/>
  <c r="T86" i="1"/>
  <c r="S86" i="1"/>
  <c r="J86" i="1"/>
  <c r="G86" i="1"/>
  <c r="F86" i="1"/>
  <c r="K85" i="1"/>
  <c r="J85" i="1"/>
  <c r="Y84" i="1"/>
  <c r="AA84" i="1" s="1"/>
  <c r="T84" i="1"/>
  <c r="S84" i="1"/>
  <c r="J84" i="1"/>
  <c r="G84" i="1"/>
  <c r="F84" i="1"/>
  <c r="I84" i="1" s="1"/>
  <c r="K84" i="1" s="1"/>
  <c r="AB83" i="1"/>
  <c r="Y83" i="1"/>
  <c r="AA83" i="1" s="1"/>
  <c r="T83" i="1"/>
  <c r="S83" i="1"/>
  <c r="J83" i="1"/>
  <c r="G83" i="1"/>
  <c r="F83" i="1"/>
  <c r="I83" i="1" s="1"/>
  <c r="K83" i="1" s="1"/>
  <c r="AB82" i="1"/>
  <c r="Y82" i="1"/>
  <c r="AA82" i="1" s="1"/>
  <c r="T82" i="1"/>
  <c r="S82" i="1"/>
  <c r="J82" i="1"/>
  <c r="G82" i="1"/>
  <c r="F82" i="1"/>
  <c r="Y81" i="1"/>
  <c r="AA81" i="1" s="1"/>
  <c r="K81" i="1"/>
  <c r="J81" i="1"/>
  <c r="Y80" i="1"/>
  <c r="AA80" i="1" s="1"/>
  <c r="K80" i="1"/>
  <c r="J80" i="1"/>
  <c r="Y79" i="1"/>
  <c r="AA79" i="1" s="1"/>
  <c r="J79" i="1"/>
  <c r="I79" i="1"/>
  <c r="K79" i="1" s="1"/>
  <c r="Y78" i="1"/>
  <c r="AA78" i="1" s="1"/>
  <c r="J78" i="1"/>
  <c r="I78" i="1"/>
  <c r="K78" i="1" s="1"/>
  <c r="Y77" i="1"/>
  <c r="AA77" i="1" s="1"/>
  <c r="J77" i="1"/>
  <c r="I77" i="1"/>
  <c r="K77" i="1" s="1"/>
  <c r="K76" i="1"/>
  <c r="J76" i="1"/>
  <c r="Y75" i="1"/>
  <c r="AA75" i="1" s="1"/>
  <c r="J75" i="1"/>
  <c r="I75" i="1"/>
  <c r="K75" i="1" s="1"/>
  <c r="Y74" i="1"/>
  <c r="AA74" i="1" s="1"/>
  <c r="J74" i="1"/>
  <c r="I74" i="1"/>
  <c r="K74" i="1" s="1"/>
  <c r="K73" i="1"/>
  <c r="J73" i="1"/>
  <c r="Y72" i="1"/>
  <c r="AA72" i="1" s="1"/>
  <c r="T72" i="1"/>
  <c r="S72" i="1"/>
  <c r="J72" i="1"/>
  <c r="G72" i="1"/>
  <c r="F72" i="1"/>
  <c r="AA71" i="1"/>
  <c r="Y71" i="1"/>
  <c r="T71" i="1"/>
  <c r="S71" i="1"/>
  <c r="J71" i="1"/>
  <c r="G71" i="1"/>
  <c r="F71" i="1"/>
  <c r="I71" i="1" s="1"/>
  <c r="K71" i="1" s="1"/>
  <c r="Y70" i="1"/>
  <c r="AA70" i="1" s="1"/>
  <c r="T70" i="1"/>
  <c r="S70" i="1"/>
  <c r="J70" i="1"/>
  <c r="G70" i="1"/>
  <c r="F70" i="1"/>
  <c r="Y69" i="1"/>
  <c r="AA69" i="1" s="1"/>
  <c r="T69" i="1"/>
  <c r="S69" i="1"/>
  <c r="J69" i="1"/>
  <c r="G69" i="1"/>
  <c r="F69" i="1"/>
  <c r="I69" i="1" s="1"/>
  <c r="K69" i="1" s="1"/>
  <c r="Y68" i="1"/>
  <c r="AA68" i="1" s="1"/>
  <c r="S68" i="1"/>
  <c r="J68" i="1"/>
  <c r="F68" i="1"/>
  <c r="I68" i="1" s="1"/>
  <c r="K68" i="1" s="1"/>
  <c r="AB67" i="1"/>
  <c r="Y67" i="1"/>
  <c r="AA67" i="1" s="1"/>
  <c r="T67" i="1"/>
  <c r="S67" i="1"/>
  <c r="J67" i="1"/>
  <c r="G67" i="1"/>
  <c r="F67" i="1"/>
  <c r="K66" i="1"/>
  <c r="Y65" i="1"/>
  <c r="AA65" i="1" s="1"/>
  <c r="T65" i="1"/>
  <c r="S65" i="1"/>
  <c r="J65" i="1"/>
  <c r="G65" i="1"/>
  <c r="F65" i="1"/>
  <c r="Y64" i="1"/>
  <c r="AA64" i="1" s="1"/>
  <c r="T64" i="1"/>
  <c r="S64" i="1"/>
  <c r="J64" i="1"/>
  <c r="G64" i="1"/>
  <c r="F64" i="1"/>
  <c r="I64" i="1" s="1"/>
  <c r="K64" i="1" s="1"/>
  <c r="Y63" i="1"/>
  <c r="AA63" i="1" s="1"/>
  <c r="J63" i="1"/>
  <c r="I63" i="1"/>
  <c r="K63" i="1" s="1"/>
  <c r="Y62" i="1"/>
  <c r="AA62" i="1" s="1"/>
  <c r="T62" i="1"/>
  <c r="S62" i="1"/>
  <c r="J62" i="1"/>
  <c r="G62" i="1"/>
  <c r="F62" i="1"/>
  <c r="AB61" i="1"/>
  <c r="Y61" i="1"/>
  <c r="AA61" i="1" s="1"/>
  <c r="T61" i="1"/>
  <c r="S61" i="1"/>
  <c r="J61" i="1"/>
  <c r="G61" i="1"/>
  <c r="F61" i="1"/>
  <c r="I61" i="1" s="1"/>
  <c r="K61" i="1" s="1"/>
  <c r="K60" i="1"/>
  <c r="J60" i="1"/>
  <c r="K59" i="1"/>
  <c r="J59" i="1"/>
  <c r="Y58" i="1"/>
  <c r="AA58" i="1" s="1"/>
  <c r="S58" i="1"/>
  <c r="J58" i="1"/>
  <c r="I58" i="1"/>
  <c r="K58" i="1" s="1"/>
  <c r="F58" i="1"/>
  <c r="AB57" i="1"/>
  <c r="Y57" i="1"/>
  <c r="AA57" i="1" s="1"/>
  <c r="T57" i="1"/>
  <c r="S57" i="1"/>
  <c r="J57" i="1"/>
  <c r="G57" i="1"/>
  <c r="F57" i="1"/>
  <c r="AB56" i="1"/>
  <c r="Y56" i="1"/>
  <c r="AA56" i="1" s="1"/>
  <c r="T56" i="1"/>
  <c r="S56" i="1"/>
  <c r="J56" i="1"/>
  <c r="G56" i="1"/>
  <c r="I56" i="1" s="1"/>
  <c r="K56" i="1" s="1"/>
  <c r="F56" i="1"/>
  <c r="Y55" i="1"/>
  <c r="AA55" i="1" s="1"/>
  <c r="T55" i="1"/>
  <c r="S55" i="1"/>
  <c r="J55" i="1"/>
  <c r="G55" i="1"/>
  <c r="F55" i="1"/>
  <c r="Y54" i="1"/>
  <c r="AA54" i="1" s="1"/>
  <c r="T54" i="1"/>
  <c r="S54" i="1"/>
  <c r="J54" i="1"/>
  <c r="G54" i="1"/>
  <c r="F54" i="1"/>
  <c r="I54" i="1" s="1"/>
  <c r="K54" i="1" s="1"/>
  <c r="Y53" i="1"/>
  <c r="AA53" i="1" s="1"/>
  <c r="T53" i="1"/>
  <c r="S53" i="1"/>
  <c r="J53" i="1"/>
  <c r="G53" i="1"/>
  <c r="F53" i="1"/>
  <c r="I53" i="1" s="1"/>
  <c r="K53" i="1" s="1"/>
  <c r="AB52" i="1"/>
  <c r="Y52" i="1"/>
  <c r="AA52" i="1" s="1"/>
  <c r="T52" i="1"/>
  <c r="S52" i="1"/>
  <c r="J52" i="1"/>
  <c r="I52" i="1"/>
  <c r="K52" i="1" s="1"/>
  <c r="G52" i="1"/>
  <c r="F52" i="1"/>
  <c r="Y51" i="1"/>
  <c r="AA51" i="1" s="1"/>
  <c r="K51" i="1"/>
  <c r="J51" i="1"/>
  <c r="Y50" i="1"/>
  <c r="AA50" i="1" s="1"/>
  <c r="J50" i="1"/>
  <c r="I50" i="1"/>
  <c r="K50" i="1" s="1"/>
  <c r="Y49" i="1"/>
  <c r="AA49" i="1" s="1"/>
  <c r="J49" i="1"/>
  <c r="I49" i="1"/>
  <c r="K49" i="1" s="1"/>
  <c r="Y48" i="1"/>
  <c r="AA48" i="1" s="1"/>
  <c r="J48" i="1"/>
  <c r="I48" i="1"/>
  <c r="K48" i="1" s="1"/>
  <c r="AB47" i="1"/>
  <c r="Y47" i="1"/>
  <c r="AA47" i="1" s="1"/>
  <c r="J47" i="1"/>
  <c r="I47" i="1"/>
  <c r="K47" i="1" s="1"/>
  <c r="Y46" i="1"/>
  <c r="AA46" i="1" s="1"/>
  <c r="J46" i="1"/>
  <c r="I46" i="1"/>
  <c r="K46" i="1" s="1"/>
  <c r="AB45" i="1"/>
  <c r="Y45" i="1"/>
  <c r="AA45" i="1" s="1"/>
  <c r="J45" i="1"/>
  <c r="I45" i="1"/>
  <c r="K45" i="1" s="1"/>
  <c r="Y44" i="1"/>
  <c r="AA44" i="1" s="1"/>
  <c r="J44" i="1"/>
  <c r="I44" i="1"/>
  <c r="K44" i="1" s="1"/>
  <c r="AB43" i="1"/>
  <c r="Y43" i="1"/>
  <c r="AA43" i="1" s="1"/>
  <c r="K43" i="1"/>
  <c r="J43" i="1"/>
  <c r="I43" i="1"/>
  <c r="AB42" i="1"/>
  <c r="AA42" i="1"/>
  <c r="Y42" i="1"/>
  <c r="J42" i="1"/>
  <c r="I42" i="1"/>
  <c r="K42" i="1" s="1"/>
  <c r="K41" i="1"/>
  <c r="J41" i="1"/>
  <c r="K40" i="1"/>
  <c r="J40" i="1"/>
  <c r="K39" i="1"/>
  <c r="J39" i="1"/>
  <c r="Y38" i="1"/>
  <c r="AA38" i="1" s="1"/>
  <c r="J38" i="1"/>
  <c r="I38" i="1"/>
  <c r="K38" i="1" s="1"/>
  <c r="K37" i="1"/>
  <c r="J37" i="1"/>
  <c r="J36" i="1"/>
  <c r="J35" i="1"/>
  <c r="J34" i="1"/>
  <c r="Y33" i="1"/>
  <c r="AA33" i="1" s="1"/>
  <c r="S33" i="1"/>
  <c r="J33" i="1"/>
  <c r="F33" i="1"/>
  <c r="F35" i="1" s="1"/>
  <c r="Y32" i="1"/>
  <c r="AA32" i="1" s="1"/>
  <c r="U32" i="1"/>
  <c r="T32" i="1"/>
  <c r="J32" i="1"/>
  <c r="H32" i="1"/>
  <c r="G32" i="1"/>
  <c r="I32" i="1" s="1"/>
  <c r="K32" i="1" s="1"/>
  <c r="Y31" i="1"/>
  <c r="AA31" i="1" s="1"/>
  <c r="U31" i="1"/>
  <c r="T31" i="1"/>
  <c r="J31" i="1"/>
  <c r="H31" i="1"/>
  <c r="G31" i="1"/>
  <c r="Y30" i="1"/>
  <c r="AA30" i="1" s="1"/>
  <c r="U30" i="1"/>
  <c r="T30" i="1"/>
  <c r="J30" i="1"/>
  <c r="H30" i="1"/>
  <c r="I30" i="1" s="1"/>
  <c r="K30" i="1" s="1"/>
  <c r="G30" i="1"/>
  <c r="Y29" i="1"/>
  <c r="AA29" i="1" s="1"/>
  <c r="U29" i="1"/>
  <c r="T29" i="1"/>
  <c r="S29" i="1"/>
  <c r="J29" i="1"/>
  <c r="H29" i="1"/>
  <c r="G29" i="1"/>
  <c r="F29" i="1"/>
  <c r="Y28" i="1"/>
  <c r="AA28" i="1" s="1"/>
  <c r="U28" i="1"/>
  <c r="T28" i="1"/>
  <c r="J28" i="1"/>
  <c r="H28" i="1"/>
  <c r="G28" i="1"/>
  <c r="J27" i="1"/>
  <c r="U26" i="1"/>
  <c r="T26" i="1"/>
  <c r="S26" i="1"/>
  <c r="J26" i="1"/>
  <c r="H26" i="1"/>
  <c r="G26" i="1"/>
  <c r="F26" i="1"/>
  <c r="U25" i="1"/>
  <c r="U27" i="1" s="1"/>
  <c r="T25" i="1"/>
  <c r="T27" i="1" s="1"/>
  <c r="S25" i="1"/>
  <c r="S27" i="1" s="1"/>
  <c r="J25" i="1"/>
  <c r="H25" i="1"/>
  <c r="G25" i="1"/>
  <c r="G27" i="1" s="1"/>
  <c r="F25" i="1"/>
  <c r="S24" i="1"/>
  <c r="J24" i="1"/>
  <c r="F24" i="1"/>
  <c r="Y23" i="1"/>
  <c r="AA23" i="1" s="1"/>
  <c r="U23" i="1"/>
  <c r="T23" i="1"/>
  <c r="T24" i="1" s="1"/>
  <c r="J23" i="1"/>
  <c r="H23" i="1"/>
  <c r="H33" i="1" s="1"/>
  <c r="G23" i="1"/>
  <c r="G33" i="1" s="1"/>
  <c r="G35" i="1" s="1"/>
  <c r="K22" i="1"/>
  <c r="J22" i="1"/>
  <c r="K21" i="1"/>
  <c r="J21" i="1"/>
  <c r="AB20" i="1"/>
  <c r="Y20" i="1"/>
  <c r="AA20" i="1" s="1"/>
  <c r="J20" i="1"/>
  <c r="I20" i="1"/>
  <c r="K20" i="1" s="1"/>
  <c r="Y19" i="1"/>
  <c r="AA19" i="1" s="1"/>
  <c r="S19" i="1"/>
  <c r="J19" i="1"/>
  <c r="F19" i="1"/>
  <c r="I19" i="1" s="1"/>
  <c r="K19" i="1" s="1"/>
  <c r="AB18" i="1"/>
  <c r="Y18" i="1"/>
  <c r="AA18" i="1" s="1"/>
  <c r="J18" i="1"/>
  <c r="I18" i="1"/>
  <c r="K18" i="1" s="1"/>
  <c r="AB17" i="1"/>
  <c r="Y17" i="1"/>
  <c r="AA17" i="1" s="1"/>
  <c r="J17" i="1"/>
  <c r="I17" i="1"/>
  <c r="K17" i="1" s="1"/>
  <c r="AB16" i="1"/>
  <c r="Y16" i="1"/>
  <c r="AA16" i="1" s="1"/>
  <c r="J16" i="1"/>
  <c r="I16" i="1"/>
  <c r="K16" i="1" s="1"/>
  <c r="AD15" i="1"/>
  <c r="AC15" i="1" s="1"/>
  <c r="AB15" i="1"/>
  <c r="Y15" i="1"/>
  <c r="AA15" i="1" s="1"/>
  <c r="J15" i="1"/>
  <c r="I15" i="1"/>
  <c r="K15" i="1" s="1"/>
  <c r="AD14" i="1"/>
  <c r="AC14" i="1" s="1"/>
  <c r="AB14" i="1"/>
  <c r="Y14" i="1"/>
  <c r="AA14" i="1" s="1"/>
  <c r="J14" i="1"/>
  <c r="I14" i="1"/>
  <c r="K14" i="1" s="1"/>
  <c r="Y13" i="1"/>
  <c r="AA13" i="1" s="1"/>
  <c r="J13" i="1"/>
  <c r="I13" i="1"/>
  <c r="K13" i="1" s="1"/>
  <c r="Y12" i="1"/>
  <c r="AA12" i="1" s="1"/>
  <c r="J12" i="1"/>
  <c r="I12" i="1"/>
  <c r="K12" i="1" s="1"/>
  <c r="J11" i="1"/>
  <c r="J10" i="1"/>
  <c r="J9" i="1"/>
  <c r="AF2" i="1"/>
  <c r="F27" i="1" l="1"/>
  <c r="I27" i="1" s="1"/>
  <c r="K27" i="1" s="1"/>
  <c r="I82" i="1"/>
  <c r="K82" i="1" s="1"/>
  <c r="I100" i="1"/>
  <c r="K100" i="1" s="1"/>
  <c r="I62" i="1"/>
  <c r="K62" i="1" s="1"/>
  <c r="I65" i="1"/>
  <c r="K65" i="1" s="1"/>
  <c r="I70" i="1"/>
  <c r="K70" i="1" s="1"/>
  <c r="H27" i="1"/>
  <c r="I95" i="1"/>
  <c r="K95" i="1" s="1"/>
  <c r="Y26" i="1"/>
  <c r="AA26" i="1" s="1"/>
  <c r="I31" i="1"/>
  <c r="K31" i="1" s="1"/>
  <c r="F34" i="1"/>
  <c r="H24" i="1"/>
  <c r="Y27" i="1"/>
  <c r="AA27" i="1" s="1"/>
  <c r="I55" i="1"/>
  <c r="K55" i="1" s="1"/>
  <c r="I67" i="1"/>
  <c r="K67" i="1" s="1"/>
  <c r="G107" i="1"/>
  <c r="I107" i="1" s="1"/>
  <c r="K107" i="1" s="1"/>
  <c r="I26" i="1"/>
  <c r="K26" i="1" s="1"/>
  <c r="F36" i="1"/>
  <c r="I29" i="1"/>
  <c r="K29" i="1" s="1"/>
  <c r="T33" i="1"/>
  <c r="I72" i="1"/>
  <c r="K72" i="1" s="1"/>
  <c r="G24" i="1"/>
  <c r="I24" i="1" s="1"/>
  <c r="K24" i="1" s="1"/>
  <c r="I28" i="1"/>
  <c r="K28" i="1" s="1"/>
  <c r="I23" i="1"/>
  <c r="K23" i="1" s="1"/>
  <c r="Y25" i="1"/>
  <c r="AA25" i="1" s="1"/>
  <c r="I57" i="1"/>
  <c r="K57" i="1" s="1"/>
  <c r="I86" i="1"/>
  <c r="K86" i="1" s="1"/>
  <c r="U24" i="1"/>
  <c r="Y24" i="1" s="1"/>
  <c r="U33" i="1"/>
  <c r="I33" i="1"/>
  <c r="K33" i="1" s="1"/>
  <c r="G36" i="1"/>
  <c r="G34" i="1"/>
  <c r="H36" i="1"/>
  <c r="H34" i="1"/>
  <c r="H35" i="1"/>
  <c r="I35" i="1" s="1"/>
  <c r="K35" i="1" s="1"/>
  <c r="I25" i="1"/>
  <c r="K25" i="1" s="1"/>
  <c r="I91" i="1"/>
  <c r="K91" i="1" s="1"/>
  <c r="I36" i="1" l="1"/>
  <c r="K36" i="1" s="1"/>
  <c r="AA24" i="1"/>
  <c r="I34" i="1"/>
  <c r="K34" i="1" s="1"/>
</calcChain>
</file>

<file path=xl/sharedStrings.xml><?xml version="1.0" encoding="utf-8"?>
<sst xmlns="http://schemas.openxmlformats.org/spreadsheetml/2006/main" count="640" uniqueCount="187">
  <si>
    <t>Найменування робіт і матеріалів</t>
  </si>
  <si>
    <t>Од.
вим.</t>
  </si>
  <si>
    <t>Коеф.
витрат</t>
  </si>
  <si>
    <t>Кіл-ть, С1</t>
  </si>
  <si>
    <t>Кіл-ть, С2</t>
  </si>
  <si>
    <t>Кіл-ть, С3</t>
  </si>
  <si>
    <t>Разом, кіл-ть</t>
  </si>
  <si>
    <t>№
п/п</t>
  </si>
  <si>
    <t>Примітка</t>
  </si>
  <si>
    <t>за од. виміру</t>
  </si>
  <si>
    <t>Сума</t>
  </si>
  <si>
    <t>Всього</t>
  </si>
  <si>
    <t>робіт</t>
  </si>
  <si>
    <t>матеріалів</t>
  </si>
  <si>
    <t>РОЗДІЛЕННЯ КВАРТИР 2-РІВНЕВИХ НА 1-РІВНЕВІ</t>
  </si>
  <si>
    <t>ДЕМОНТАЖНІ РОБОТИ</t>
  </si>
  <si>
    <t>Отвори для підняття стояків на верхній рівень для розділення квартир 2 рівневих на 1 рівневі</t>
  </si>
  <si>
    <t xml:space="preserve">Замонолічування штроб після прокладання комунікацій ЕТР </t>
  </si>
  <si>
    <t>м.п.</t>
  </si>
  <si>
    <t>додати розцінку</t>
  </si>
  <si>
    <t>МЗК</t>
  </si>
  <si>
    <t>Універсальна суміш "Сухий бетон" Silteк B-25</t>
  </si>
  <si>
    <t>кг</t>
  </si>
  <si>
    <t xml:space="preserve">Прорізання отворів для шафи ВК розміром 1800х900мм в стіні з керамічного блоку товщиною 100мм  </t>
  </si>
  <si>
    <t>шт</t>
  </si>
  <si>
    <t xml:space="preserve">Прорізання отворів для шафи ВК розміром 1800х900мм в стіні з керамічного блоку товщиною 100мм </t>
  </si>
  <si>
    <t>Кракен</t>
  </si>
  <si>
    <t xml:space="preserve">Прорізання отворів для шафи ВК розміром 1800х900мм в стіні з керамічного блоку товщиною 250мм  </t>
  </si>
  <si>
    <t xml:space="preserve">Прорізання отворів для шафи ВК розміром 1800х900мм в стіні з керамічного блоку товщиною 250мм </t>
  </si>
  <si>
    <t xml:space="preserve">Буріння отворів Ø80мм в перекритті товщиною 200 мм для влаштування стояків ВК  </t>
  </si>
  <si>
    <t xml:space="preserve">Влаштування дверних прорізів розміром 1000х2100мм в стінах з керамічного блоку товщиною 250мм  </t>
  </si>
  <si>
    <t xml:space="preserve">Прорізання отвору для шафи ОВ розміром 1750х900мм в стіні з керамічного блоку товщиною 250мм  </t>
  </si>
  <si>
    <t>Демонтаж трубопроводів опалення що прокладені з рівня н арівень</t>
  </si>
  <si>
    <t>одна людина, один день.</t>
  </si>
  <si>
    <t xml:space="preserve">Влаштування дверних прорізів розміром 1000х2100мм в стінах з керамічного блоку товщиною 250мм з прибиранням та виносом сміття до контейнера </t>
  </si>
  <si>
    <t>Влаштування дверних прорізів розміром 1000х2100мм в стінах з керамічного блоку товщиною 250мм</t>
  </si>
  <si>
    <t>МОНТАЖНІ РОБОТИ</t>
  </si>
  <si>
    <t>Влаштування монолітних ділянок у плитах перекриття де були передбачені отвори для сходів у середині 2 рівневих квартир</t>
  </si>
  <si>
    <t>Замонолічування фрагментів 1, 2, 3, 4, 5 перекриття на відм. +45.500 (секція 1),  +60.500, +63.500 (секція 2),  +33.500, +42.500 (секція 3)</t>
  </si>
  <si>
    <t>м3</t>
  </si>
  <si>
    <t>149319 ГТН 1,5</t>
  </si>
  <si>
    <t>У середині квартири</t>
  </si>
  <si>
    <t xml:space="preserve">Бетон С2/25 (В25) фасований з доставкою маніпулятором на об'єкт в сухому вигляді </t>
  </si>
  <si>
    <t>т</t>
  </si>
  <si>
    <t xml:space="preserve">Арматура ф8 А500С </t>
  </si>
  <si>
    <t xml:space="preserve">Арматура ф10 А500С </t>
  </si>
  <si>
    <t>Дріт вязальний 1,2мм</t>
  </si>
  <si>
    <t xml:space="preserve">Влаштування хімічних анкерів </t>
  </si>
  <si>
    <t>Капсула клейова RAWLPLUGR-KER-II-400</t>
  </si>
  <si>
    <t>перерахувати кількість</t>
  </si>
  <si>
    <t xml:space="preserve">Влаштування насічки по контактній поверхні з прибиранням та виносом сміття до контейнера </t>
  </si>
  <si>
    <t>м</t>
  </si>
  <si>
    <t>всі роботники</t>
  </si>
  <si>
    <t>Подача бетону в мішках на  поверх</t>
  </si>
  <si>
    <t>170294 розцінки 24 рік k1,35</t>
  </si>
  <si>
    <t>Бетономішалка 250л (оренда)</t>
  </si>
  <si>
    <t>змін</t>
  </si>
  <si>
    <t>Перевірити в ТВ</t>
  </si>
  <si>
    <t>Влаштування стяжки на монолітних діляноках у плитах перекриття де були передбачені отвори для сходів у середині 2 рівневих квартир</t>
  </si>
  <si>
    <t>м2</t>
  </si>
  <si>
    <t>Цемент ПЦ ІІ/А-Ш-400</t>
  </si>
  <si>
    <t>Пісок річковий митий</t>
  </si>
  <si>
    <t>Гемофон полотно ППЕ 5 мм</t>
  </si>
  <si>
    <t>м²</t>
  </si>
  <si>
    <t>Заробленя отворів у плитах перекриття де були передбачені отвори для мереж у середині 2 рівневих квартир з нижнього рівня на верхній</t>
  </si>
  <si>
    <t>Зароблення отворів у плиті перекриття, Ø 40мм</t>
  </si>
  <si>
    <t>місць</t>
  </si>
  <si>
    <t xml:space="preserve">дві людини, один день. При виконанні кладки </t>
  </si>
  <si>
    <t>РОЗДІЛЕННЯ КВАРТИР 3К на 2К+1К</t>
  </si>
  <si>
    <t>Отвори для стояків ОВ, ВК, ЕТР, СЗ  (1й-15 поверх)</t>
  </si>
  <si>
    <t xml:space="preserve">Буріння отворів Ø50мм в перекритті товщиною 200 мм для влаштування стояків ОВ в МЗК  </t>
  </si>
  <si>
    <t>1</t>
  </si>
  <si>
    <t xml:space="preserve">Буріння отворів Ø50мм в перекритті товщиною 200 мм для влаштування стояків ОВ в МЗК(буде 1В)  </t>
  </si>
  <si>
    <t xml:space="preserve">Буріння отворів Ø50мм в перекритті товщиною 200 мм для влаштування вводу ВК в МЗК  </t>
  </si>
  <si>
    <t>3</t>
  </si>
  <si>
    <t xml:space="preserve">Буріння отворів Ø50мм в перекритті товщиною 200 мм для влаштування вводу ВК в МЗК(буде 1В)  </t>
  </si>
  <si>
    <t xml:space="preserve">Буріння отворів Ø100мм в перекритті товщиною 200 мм для влаштування стояків СЗ  </t>
  </si>
  <si>
    <t xml:space="preserve">Буріння отворів Ø40мм в перекритті товщиною 200 мм для влаштування вводу ЕТР у квартиру  </t>
  </si>
  <si>
    <t>4</t>
  </si>
  <si>
    <t xml:space="preserve">Буріння отворів Ø80мм в перекритті товщиною 200 мм для влаштування вводу ВК в МЗК(буде 1В)  </t>
  </si>
  <si>
    <t xml:space="preserve">Буріння отворів Ø50мм в стінах з керамоблока товщиною 250 мм для влаштування вводів ОВ, ВК, ЕТР вквартири  </t>
  </si>
  <si>
    <t>5</t>
  </si>
  <si>
    <t>Буріння отворів Ø80мм вперекриття МЗК товщиною 270 мм для прокладанняння вереж ВК пожежогасіння  (перенос пож. шаф)</t>
  </si>
  <si>
    <t xml:space="preserve">Буріння отворів Ø100мм в перекритті товщиною 200 мм для влаштування стояків СЗ (буде 1В)  </t>
  </si>
  <si>
    <t xml:space="preserve">в поданому розрахунку відсутні </t>
  </si>
  <si>
    <t>Демонтаж ЩК(з збереженням) - вирізання</t>
  </si>
  <si>
    <t>Розцінка 253854 05,03,2026 k0,4 k1,5</t>
  </si>
  <si>
    <t>З збереженям матеріалу частково</t>
  </si>
  <si>
    <t>Демонтаж щита ПК (з збереженням) - вирізання</t>
  </si>
  <si>
    <t>Демонтаж дзвінка та кнопки(з збереженням)</t>
  </si>
  <si>
    <t>компл</t>
  </si>
  <si>
    <t>Розцінка 253854 05,03,2026 k0,4+k1,5</t>
  </si>
  <si>
    <t>З збереженям матеріалу</t>
  </si>
  <si>
    <t>Демонтаж стяжки, стіни та перегородок</t>
  </si>
  <si>
    <t xml:space="preserve">Демонтаж стяжки під стіни та перегородки що будуть монтуватись h=75мм  </t>
  </si>
  <si>
    <t xml:space="preserve">штроба в м2 лишаю розцінку </t>
  </si>
  <si>
    <t xml:space="preserve">Улаштування штроб у стяжці для мереж водопроводу що будуть монтуватись шириною 75мм, h=75мм   </t>
  </si>
  <si>
    <t>Розцінка 149319 k1,35+k1,5</t>
  </si>
  <si>
    <t xml:space="preserve">Улаштування штроб у стяжці для мереж опалення шириною 100мм, h=75мм   </t>
  </si>
  <si>
    <t xml:space="preserve">Улаштування штроб у кладці для мереж елекатропостачання  шириною 30мм, h=30мм   </t>
  </si>
  <si>
    <t>Розцінка  179433  k1,25+k1,5</t>
  </si>
  <si>
    <t xml:space="preserve">Демонтаж стін t=250мм  </t>
  </si>
  <si>
    <t>232964 КНШ 09.02.2026 k0,5 на демонтаж + 909,27*1,5 на прибирання та винос  (ГТН 167155) по ВВР</t>
  </si>
  <si>
    <t xml:space="preserve">Демонтаж перегородок t=100мм  </t>
  </si>
  <si>
    <t>0,1 від попередньої</t>
  </si>
  <si>
    <t>Демонтаж дверей 1000х2100мм внутрішніх металевих, глухих, одностулкових, утеплених, порошкове фарбування, протипожежних EI=30, з комплектом МДФ накладок на 2 сторони, лишитва із сторони кридору МЗК. З збереженням матеріалу.</t>
  </si>
  <si>
    <t>Кладка стін та перегородок</t>
  </si>
  <si>
    <t>Кладка стін з керамоблока 250мм</t>
  </si>
  <si>
    <t>232964 КНШ 1,5</t>
  </si>
  <si>
    <t>Монтаж перемичок з 1ПБ 13-1(2шт)</t>
  </si>
  <si>
    <t>Монтаж перемичок 1ПБ 13-1</t>
  </si>
  <si>
    <t xml:space="preserve">232964 КНШ входить в розцінку </t>
  </si>
  <si>
    <t>Монтаж кутика 100х100х8мм, L-250мм для опирання перемички 1ПБ 13-1</t>
  </si>
  <si>
    <t>Монтаж перемичок з арматурних стержнів А400, д.12мм, L-1,4м(2шт)</t>
  </si>
  <si>
    <t>Кладка перегородок з керамоблока 100мм</t>
  </si>
  <si>
    <t>Кладка перегородок з газоблока 100мм</t>
  </si>
  <si>
    <t>Закладання дверного отвору з зазоблока 100мм</t>
  </si>
  <si>
    <t xml:space="preserve">Зароблкення штроб у стяжці для мереж водопроводу що будуть монтуватись шириною 75мм, h=75мм   </t>
  </si>
  <si>
    <t xml:space="preserve">Зароблення штроб у стяжці для мереж опалення шириною 100мм, h=75мм   </t>
  </si>
  <si>
    <t xml:space="preserve">Зароблення штроб у кладці для мереж елекатропостачання  шириною 30мм, h=30мм   </t>
  </si>
  <si>
    <t>Влаштування утеплювача 50мм в міжквартирному просторі (між перегородками)</t>
  </si>
  <si>
    <t>Розцінки КНШ *1,5</t>
  </si>
  <si>
    <t>Монтаж дверей</t>
  </si>
  <si>
    <t>Монтаж дверей 1000х2100мм внутрішніх металевих, глухих, одностулкових, утеплених, порошкове фарбування, протипожежних EI=30, з комплектом МДФ накладок на 2 сторони, лишитва із сторони кридору МЗК. З збереженням матеріалу.</t>
  </si>
  <si>
    <t>2100мм внутрішніх металеви</t>
  </si>
  <si>
    <t>Аватех</t>
  </si>
  <si>
    <t xml:space="preserve"> </t>
  </si>
  <si>
    <t>Збережений матеріла</t>
  </si>
  <si>
    <t xml:space="preserve">Монтаж дверей 1000х2100мм внутрішніх металевих, глухих, одностулкових, утеплених, порошкове фарбування, протипожежних EI=30, з комплектом МДФ накладок на 2 сторони, лишитва із сторони кридору МЗК. </t>
  </si>
  <si>
    <t xml:space="preserve">КП від Аватех  251267 </t>
  </si>
  <si>
    <t>Монтаж квартирних щитів</t>
  </si>
  <si>
    <t>Монтаж ЩК(збережений матеріал)</t>
  </si>
  <si>
    <t>Розцінка 253854 05,03,2026</t>
  </si>
  <si>
    <t>Монтаж ЩК</t>
  </si>
  <si>
    <t>Монтаж щитів ПК</t>
  </si>
  <si>
    <t>Чорнове опорядження стін</t>
  </si>
  <si>
    <t xml:space="preserve">Стіни МЗК </t>
  </si>
  <si>
    <t>Штукатурення стін гіпсовою сумішшю</t>
  </si>
  <si>
    <t>Розцінки КНШ 1,5</t>
  </si>
  <si>
    <t>Штукатурення відкосів гіпсовою сумішшю</t>
  </si>
  <si>
    <t>Штукатурення стін після демонтажа (площа 1 місця до 1м2)</t>
  </si>
  <si>
    <t>к</t>
  </si>
  <si>
    <t>Штукатурення стін після демонтажа перегородок (площа 1 місця до 1м2)</t>
  </si>
  <si>
    <t>Розцінки КНШ 1,5+1,15</t>
  </si>
  <si>
    <t>Стіни квартири без ремонта</t>
  </si>
  <si>
    <t>Розцінки 256451 26.03.26</t>
  </si>
  <si>
    <t>Чистове опорядження</t>
  </si>
  <si>
    <t xml:space="preserve">Стелі МЗК </t>
  </si>
  <si>
    <t>Шпаклювання стель</t>
  </si>
  <si>
    <t>Розцінки КНШ озд К1,5</t>
  </si>
  <si>
    <t>Грунтовка Master Inner</t>
  </si>
  <si>
    <t>л</t>
  </si>
  <si>
    <t>Шпаклівка "Knauf" НР Finish</t>
  </si>
  <si>
    <t>Шпаклівка "Krumix" КМ MultiFinish</t>
  </si>
  <si>
    <t>Влаштування примикання стін та стелі під кутом 90 градусів</t>
  </si>
  <si>
    <t>Склосітка армувальна 50мм</t>
  </si>
  <si>
    <r>
      <t>Фарбування стель водоемульсійною фарбою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(колір: білий)</t>
    </r>
  </si>
  <si>
    <r>
      <t>Фарбування стель водоемульсійною фарбою</t>
    </r>
    <r>
      <rPr>
        <i/>
        <sz val="1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(колір: білий)</t>
    </r>
  </si>
  <si>
    <t>Водоемульсійна фарба "Baumit" Silikon Color (колір: білий)</t>
  </si>
  <si>
    <t>Влаштування підвісної стелі  Армстронг (останній поверх )</t>
  </si>
  <si>
    <r>
      <t>м</t>
    </r>
    <r>
      <rPr>
        <sz val="11"/>
        <color theme="1"/>
        <rFont val="Calibri"/>
        <family val="2"/>
        <scheme val="minor"/>
      </rPr>
      <t>2</t>
    </r>
  </si>
  <si>
    <r>
      <t>м</t>
    </r>
    <r>
      <rPr>
        <b/>
        <i/>
        <vertAlign val="superscript"/>
        <sz val="11"/>
        <rFont val="Calibri"/>
        <family val="2"/>
        <charset val="204"/>
        <scheme val="minor"/>
      </rPr>
      <t>2</t>
    </r>
  </si>
  <si>
    <t>Комплект кріплення колір чорний</t>
  </si>
  <si>
    <t>Armstrong Retail Board 600х600мм</t>
  </si>
  <si>
    <r>
      <t>Декоративна штукатурка стін Elf Décor Air Front (</t>
    </r>
    <r>
      <rPr>
        <b/>
        <i/>
        <sz val="12"/>
        <rFont val="Times New Roman"/>
        <family val="1"/>
        <charset val="204"/>
      </rPr>
      <t>колір за окремими погодженням)</t>
    </r>
  </si>
  <si>
    <t>Грунт проникний акриловий 0.14 10л</t>
  </si>
  <si>
    <t>л.</t>
  </si>
  <si>
    <t xml:space="preserve">Фарба адгезійна грунтувальна Grund K  </t>
  </si>
  <si>
    <t xml:space="preserve">Штукатурка декоративна AirFront </t>
  </si>
  <si>
    <t>кг.</t>
  </si>
  <si>
    <t>Барвник Avatint</t>
  </si>
  <si>
    <t>Підлоги МЗК</t>
  </si>
  <si>
    <t>Облицювання підлоги керамічною плиткою 600х600мм</t>
  </si>
  <si>
    <t>Клей для плитки "Baumit" Medio</t>
  </si>
  <si>
    <r>
      <t xml:space="preserve">Плитка "Allore Group Teo Onice Pearl F P R </t>
    </r>
    <r>
      <rPr>
        <b/>
        <i/>
        <sz val="11"/>
        <rFont val="Times New Roman"/>
        <family val="1"/>
        <charset val="204"/>
      </rPr>
      <t>Mat</t>
    </r>
    <r>
      <rPr>
        <i/>
        <sz val="11"/>
        <rFont val="Times New Roman"/>
        <family val="1"/>
        <charset val="204"/>
      </rPr>
      <t>"600x600мм</t>
    </r>
  </si>
  <si>
    <t>Фуга для плитки "Baumit" (колір: манхетен)</t>
  </si>
  <si>
    <t>Облицювання підлоги керамічною плиткою 600х600(плінтус р-300мм)</t>
  </si>
  <si>
    <t>Переміщення матеріалів</t>
  </si>
  <si>
    <t xml:space="preserve">Подача матеріалу на поверх вручну </t>
  </si>
  <si>
    <t>Інші роботи та витрати</t>
  </si>
  <si>
    <t xml:space="preserve">Вивезення будівельного сміття </t>
  </si>
  <si>
    <t>Виніс будівельного сміття до контейнеру</t>
  </si>
  <si>
    <t>у ПДБК Розцінка на виніс окремо</t>
  </si>
  <si>
    <t xml:space="preserve">Прибирання та миття </t>
  </si>
  <si>
    <t>л/зм</t>
  </si>
  <si>
    <t xml:space="preserve">ПДБК 8% від всіх робіт </t>
  </si>
  <si>
    <t>Договірна ціна, грн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</si>
</sst>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i/>
      <sz val="11"/>
      <color rgb="FF7030A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vertAlign val="superscript"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Open Sans"/>
      <family val="2"/>
      <charset val="204"/>
    </font>
    <font>
      <sz val="13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EBEE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E0B4"/>
        <bgColor rgb="FFD9F2D0"/>
      </patternFill>
    </fill>
    <fill>
      <patternFill patternType="solid">
        <fgColor rgb="FFDAE3F3"/>
        <bgColor rgb="FFEBEEF2"/>
      </patternFill>
    </fill>
    <fill>
      <patternFill patternType="solid">
        <fgColor theme="6" tint="0.79998168889431442"/>
        <bgColor rgb="FFEBEE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EBEEF2"/>
      </patternFill>
    </fill>
    <fill>
      <patternFill patternType="solid">
        <fgColor theme="0"/>
        <bgColor rgb="FFD9F2D0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3" fillId="0" borderId="0"/>
    <xf numFmtId="0" fontId="19" fillId="0" borderId="0"/>
    <xf numFmtId="0" fontId="26" fillId="0" borderId="0"/>
    <xf numFmtId="0" fontId="13" fillId="0" borderId="0"/>
    <xf numFmtId="0" fontId="1" fillId="0" borderId="0"/>
  </cellStyleXfs>
  <cellXfs count="3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1" fontId="14" fillId="0" borderId="16" xfId="1" applyNumberFormat="1" applyFont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1" fontId="14" fillId="3" borderId="11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1" fontId="15" fillId="3" borderId="15" xfId="0" applyNumberFormat="1" applyFont="1" applyFill="1" applyBorder="1" applyAlignment="1">
      <alignment horizontal="center" vertical="center" wrapText="1"/>
    </xf>
    <xf numFmtId="1" fontId="14" fillId="3" borderId="16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4" borderId="19" xfId="1" applyFont="1" applyFill="1" applyBorder="1" applyAlignment="1">
      <alignment horizontal="center" vertical="center" wrapText="1"/>
    </xf>
    <xf numFmtId="0" fontId="18" fillId="4" borderId="19" xfId="1" applyFont="1" applyFill="1" applyBorder="1" applyAlignment="1">
      <alignment horizontal="center" vertical="center" wrapText="1"/>
    </xf>
    <xf numFmtId="4" fontId="18" fillId="4" borderId="19" xfId="1" applyNumberFormat="1" applyFont="1" applyFill="1" applyBorder="1" applyAlignment="1">
      <alignment horizontal="center" vertical="center" wrapText="1"/>
    </xf>
    <xf numFmtId="3" fontId="18" fillId="4" borderId="19" xfId="1" applyNumberFormat="1" applyFont="1" applyFill="1" applyBorder="1" applyAlignment="1">
      <alignment horizontal="center" vertical="center" wrapText="1"/>
    </xf>
    <xf numFmtId="1" fontId="15" fillId="0" borderId="20" xfId="0" applyNumberFormat="1" applyFont="1" applyBorder="1" applyAlignment="1">
      <alignment horizontal="center" vertical="center" wrapText="1"/>
    </xf>
    <xf numFmtId="4" fontId="21" fillId="4" borderId="19" xfId="0" applyNumberFormat="1" applyFont="1" applyFill="1" applyBorder="1" applyAlignment="1">
      <alignment horizontal="center" vertical="center"/>
    </xf>
    <xf numFmtId="4" fontId="21" fillId="4" borderId="22" xfId="0" applyNumberFormat="1" applyFont="1" applyFill="1" applyBorder="1" applyAlignment="1">
      <alignment horizontal="center" vertical="center"/>
    </xf>
    <xf numFmtId="4" fontId="14" fillId="4" borderId="23" xfId="0" applyNumberFormat="1" applyFont="1" applyFill="1" applyBorder="1" applyAlignment="1">
      <alignment horizontal="center" vertical="center"/>
    </xf>
    <xf numFmtId="0" fontId="16" fillId="0" borderId="19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" fontId="18" fillId="0" borderId="19" xfId="1" applyNumberFormat="1" applyFont="1" applyBorder="1" applyAlignment="1">
      <alignment horizontal="center" vertical="center" wrapText="1"/>
    </xf>
    <xf numFmtId="3" fontId="18" fillId="0" borderId="19" xfId="1" applyNumberFormat="1" applyFont="1" applyBorder="1" applyAlignment="1">
      <alignment horizontal="center" vertical="center" wrapText="1"/>
    </xf>
    <xf numFmtId="4" fontId="14" fillId="0" borderId="19" xfId="0" applyNumberFormat="1" applyFont="1" applyBorder="1" applyAlignment="1">
      <alignment horizontal="center" vertical="center"/>
    </xf>
    <xf numFmtId="4" fontId="21" fillId="0" borderId="22" xfId="0" applyNumberFormat="1" applyFont="1" applyBorder="1" applyAlignment="1">
      <alignment horizontal="center" vertical="center"/>
    </xf>
    <xf numFmtId="4" fontId="14" fillId="0" borderId="23" xfId="0" applyNumberFormat="1" applyFont="1" applyBorder="1" applyAlignment="1">
      <alignment horizontal="center" vertical="center"/>
    </xf>
    <xf numFmtId="0" fontId="18" fillId="0" borderId="19" xfId="1" applyFont="1" applyBorder="1" applyAlignment="1">
      <alignment horizontal="left" vertical="center" wrapText="1"/>
    </xf>
    <xf numFmtId="3" fontId="16" fillId="0" borderId="19" xfId="1" applyNumberFormat="1" applyFont="1" applyBorder="1" applyAlignment="1">
      <alignment horizontal="center" vertical="center" wrapText="1"/>
    </xf>
    <xf numFmtId="4" fontId="16" fillId="0" borderId="19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4" fillId="0" borderId="24" xfId="0" applyFont="1" applyBorder="1"/>
    <xf numFmtId="0" fontId="22" fillId="0" borderId="19" xfId="1" applyFont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164" fontId="18" fillId="0" borderId="19" xfId="1" applyNumberFormat="1" applyFont="1" applyBorder="1" applyAlignment="1">
      <alignment horizontal="center" vertical="center" wrapText="1"/>
    </xf>
    <xf numFmtId="0" fontId="16" fillId="5" borderId="19" xfId="1" applyFont="1" applyFill="1" applyBorder="1" applyAlignment="1">
      <alignment horizontal="center" vertical="center" wrapText="1"/>
    </xf>
    <xf numFmtId="0" fontId="18" fillId="5" borderId="19" xfId="1" applyFont="1" applyFill="1" applyBorder="1" applyAlignment="1">
      <alignment horizontal="center" vertical="center" wrapText="1"/>
    </xf>
    <xf numFmtId="4" fontId="18" fillId="5" borderId="19" xfId="1" applyNumberFormat="1" applyFont="1" applyFill="1" applyBorder="1" applyAlignment="1">
      <alignment horizontal="center" vertical="center" wrapText="1"/>
    </xf>
    <xf numFmtId="3" fontId="18" fillId="5" borderId="19" xfId="1" applyNumberFormat="1" applyFont="1" applyFill="1" applyBorder="1" applyAlignment="1">
      <alignment horizontal="center" vertical="center" wrapText="1"/>
    </xf>
    <xf numFmtId="4" fontId="21" fillId="5" borderId="22" xfId="0" applyNumberFormat="1" applyFont="1" applyFill="1" applyBorder="1" applyAlignment="1">
      <alignment horizontal="center" vertical="center"/>
    </xf>
    <xf numFmtId="4" fontId="2" fillId="5" borderId="22" xfId="0" applyNumberFormat="1" applyFont="1" applyFill="1" applyBorder="1" applyAlignment="1">
      <alignment horizontal="center" vertical="center"/>
    </xf>
    <xf numFmtId="4" fontId="14" fillId="5" borderId="23" xfId="0" applyNumberFormat="1" applyFont="1" applyFill="1" applyBorder="1" applyAlignment="1">
      <alignment horizontal="center" vertical="center"/>
    </xf>
    <xf numFmtId="0" fontId="15" fillId="0" borderId="19" xfId="3" applyFont="1" applyBorder="1" applyAlignment="1">
      <alignment horizontal="right" vertical="center" wrapText="1"/>
    </xf>
    <xf numFmtId="0" fontId="15" fillId="0" borderId="19" xfId="2" applyFont="1" applyBorder="1" applyAlignment="1">
      <alignment horizontal="center" vertical="center" wrapText="1"/>
    </xf>
    <xf numFmtId="4" fontId="15" fillId="0" borderId="19" xfId="4" applyNumberFormat="1" applyFont="1" applyBorder="1" applyAlignment="1">
      <alignment horizontal="center" vertical="center"/>
    </xf>
    <xf numFmtId="165" fontId="15" fillId="0" borderId="19" xfId="4" applyNumberFormat="1" applyFont="1" applyBorder="1" applyAlignment="1">
      <alignment horizontal="center" vertical="center"/>
    </xf>
    <xf numFmtId="4" fontId="16" fillId="0" borderId="19" xfId="1" applyNumberFormat="1" applyFont="1" applyBorder="1" applyAlignment="1">
      <alignment horizontal="center" vertical="center" wrapText="1"/>
    </xf>
    <xf numFmtId="165" fontId="16" fillId="0" borderId="19" xfId="1" applyNumberFormat="1" applyFont="1" applyBorder="1" applyAlignment="1">
      <alignment horizontal="center" vertical="center" wrapText="1"/>
    </xf>
    <xf numFmtId="3" fontId="15" fillId="0" borderId="19" xfId="4" applyNumberFormat="1" applyFont="1" applyBorder="1" applyAlignment="1">
      <alignment horizontal="center" vertical="center"/>
    </xf>
    <xf numFmtId="4" fontId="27" fillId="0" borderId="23" xfId="0" applyNumberFormat="1" applyFont="1" applyBorder="1" applyAlignment="1">
      <alignment horizontal="center" vertical="center"/>
    </xf>
    <xf numFmtId="0" fontId="18" fillId="0" borderId="25" xfId="1" applyFont="1" applyBorder="1" applyAlignment="1">
      <alignment horizontal="left" vertical="center" wrapText="1"/>
    </xf>
    <xf numFmtId="0" fontId="18" fillId="0" borderId="25" xfId="1" applyFont="1" applyBorder="1" applyAlignment="1">
      <alignment horizontal="center" vertical="center" wrapText="1"/>
    </xf>
    <xf numFmtId="4" fontId="18" fillId="0" borderId="25" xfId="1" applyNumberFormat="1" applyFont="1" applyBorder="1" applyAlignment="1">
      <alignment horizontal="center" vertical="center" wrapText="1"/>
    </xf>
    <xf numFmtId="3" fontId="18" fillId="0" borderId="25" xfId="1" applyNumberFormat="1" applyFont="1" applyBorder="1" applyAlignment="1">
      <alignment horizontal="center" vertical="center" wrapText="1"/>
    </xf>
    <xf numFmtId="0" fontId="18" fillId="6" borderId="19" xfId="1" applyFont="1" applyFill="1" applyBorder="1" applyAlignment="1">
      <alignment horizontal="left" vertical="center" wrapText="1"/>
    </xf>
    <xf numFmtId="0" fontId="18" fillId="6" borderId="26" xfId="1" applyFont="1" applyFill="1" applyBorder="1" applyAlignment="1">
      <alignment horizontal="center" vertical="center" wrapText="1"/>
    </xf>
    <xf numFmtId="4" fontId="18" fillId="6" borderId="26" xfId="1" applyNumberFormat="1" applyFont="1" applyFill="1" applyBorder="1" applyAlignment="1">
      <alignment horizontal="center" vertical="center" wrapText="1"/>
    </xf>
    <xf numFmtId="3" fontId="16" fillId="6" borderId="19" xfId="1" applyNumberFormat="1" applyFont="1" applyFill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right" vertical="center" wrapText="1"/>
    </xf>
    <xf numFmtId="0" fontId="15" fillId="6" borderId="19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4" fontId="16" fillId="6" borderId="19" xfId="1" applyNumberFormat="1" applyFont="1" applyFill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center" vertical="center" wrapText="1"/>
    </xf>
    <xf numFmtId="1" fontId="14" fillId="3" borderId="28" xfId="0" applyNumberFormat="1" applyFont="1" applyFill="1" applyBorder="1" applyAlignment="1">
      <alignment horizontal="center" vertical="center" wrapText="1"/>
    </xf>
    <xf numFmtId="1" fontId="15" fillId="3" borderId="28" xfId="0" applyNumberFormat="1" applyFont="1" applyFill="1" applyBorder="1" applyAlignment="1">
      <alignment horizontal="center" vertical="center" wrapText="1"/>
    </xf>
    <xf numFmtId="1" fontId="15" fillId="3" borderId="22" xfId="0" applyNumberFormat="1" applyFont="1" applyFill="1" applyBorder="1" applyAlignment="1">
      <alignment horizontal="center" vertical="center" wrapText="1"/>
    </xf>
    <xf numFmtId="1" fontId="14" fillId="3" borderId="23" xfId="1" applyNumberFormat="1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center" vertical="center"/>
    </xf>
    <xf numFmtId="49" fontId="18" fillId="0" borderId="19" xfId="2" applyNumberFormat="1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3" fontId="29" fillId="0" borderId="19" xfId="1" applyNumberFormat="1" applyFont="1" applyBorder="1" applyAlignment="1">
      <alignment horizontal="center" vertical="center" wrapText="1"/>
    </xf>
    <xf numFmtId="3" fontId="25" fillId="0" borderId="19" xfId="4" applyNumberFormat="1" applyFont="1" applyBorder="1" applyAlignment="1">
      <alignment horizontal="center" vertical="center"/>
    </xf>
    <xf numFmtId="0" fontId="29" fillId="0" borderId="19" xfId="1" applyFont="1" applyBorder="1" applyAlignment="1">
      <alignment horizontal="left" vertical="center" wrapText="1"/>
    </xf>
    <xf numFmtId="0" fontId="29" fillId="0" borderId="19" xfId="1" applyFont="1" applyBorder="1" applyAlignment="1">
      <alignment horizontal="center" vertical="center" wrapText="1"/>
    </xf>
    <xf numFmtId="49" fontId="29" fillId="0" borderId="19" xfId="2" applyNumberFormat="1" applyFont="1" applyBorder="1" applyAlignment="1">
      <alignment horizontal="center" vertical="center"/>
    </xf>
    <xf numFmtId="0" fontId="29" fillId="0" borderId="19" xfId="2" applyFont="1" applyBorder="1" applyAlignment="1">
      <alignment horizontal="center" vertical="center"/>
    </xf>
    <xf numFmtId="3" fontId="30" fillId="0" borderId="19" xfId="4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1" fillId="0" borderId="19" xfId="2" applyFont="1" applyBorder="1" applyAlignment="1">
      <alignment horizontal="center" vertical="center"/>
    </xf>
    <xf numFmtId="4" fontId="30" fillId="0" borderId="19" xfId="4" applyNumberFormat="1" applyFont="1" applyBorder="1" applyAlignment="1">
      <alignment horizontal="center" vertical="center"/>
    </xf>
    <xf numFmtId="49" fontId="31" fillId="0" borderId="19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9" fillId="0" borderId="19" xfId="1" applyNumberFormat="1" applyFont="1" applyBorder="1" applyAlignment="1">
      <alignment horizontal="center" vertical="center" wrapText="1"/>
    </xf>
    <xf numFmtId="164" fontId="29" fillId="0" borderId="19" xfId="1" applyNumberFormat="1" applyFont="1" applyBorder="1" applyAlignment="1">
      <alignment horizontal="center" vertical="center" wrapText="1"/>
    </xf>
    <xf numFmtId="164" fontId="16" fillId="0" borderId="19" xfId="1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vertical="center"/>
    </xf>
    <xf numFmtId="4" fontId="9" fillId="0" borderId="19" xfId="0" applyNumberFormat="1" applyFont="1" applyBorder="1" applyAlignment="1">
      <alignment horizontal="center" vertical="center"/>
    </xf>
    <xf numFmtId="0" fontId="29" fillId="0" borderId="19" xfId="1" applyFont="1" applyBorder="1" applyAlignment="1">
      <alignment horizontal="left" vertical="top" wrapText="1"/>
    </xf>
    <xf numFmtId="4" fontId="14" fillId="0" borderId="24" xfId="0" applyNumberFormat="1" applyFont="1" applyBorder="1" applyAlignment="1">
      <alignment horizontal="center" vertical="center"/>
    </xf>
    <xf numFmtId="0" fontId="1" fillId="0" borderId="30" xfId="5" applyBorder="1" applyAlignment="1">
      <alignment horizontal="left"/>
    </xf>
    <xf numFmtId="0" fontId="29" fillId="0" borderId="26" xfId="1" applyFont="1" applyBorder="1" applyAlignment="1">
      <alignment horizontal="left" vertical="center" wrapText="1"/>
    </xf>
    <xf numFmtId="0" fontId="16" fillId="0" borderId="26" xfId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64" fontId="22" fillId="0" borderId="19" xfId="1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4" fontId="34" fillId="0" borderId="19" xfId="1" applyNumberFormat="1" applyFont="1" applyBorder="1" applyAlignment="1">
      <alignment horizontal="center" vertical="center" wrapText="1"/>
    </xf>
    <xf numFmtId="4" fontId="22" fillId="0" borderId="19" xfId="1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64" fontId="25" fillId="0" borderId="19" xfId="4" applyNumberFormat="1" applyFont="1" applyBorder="1" applyAlignment="1">
      <alignment horizontal="center" vertical="center"/>
    </xf>
    <xf numFmtId="0" fontId="31" fillId="0" borderId="19" xfId="1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4" fontId="35" fillId="0" borderId="19" xfId="1" applyNumberFormat="1" applyFont="1" applyBorder="1" applyAlignment="1">
      <alignment horizontal="center" vertical="center" wrapText="1"/>
    </xf>
    <xf numFmtId="4" fontId="25" fillId="0" borderId="19" xfId="4" applyNumberFormat="1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3" fontId="22" fillId="0" borderId="19" xfId="1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4" fontId="34" fillId="6" borderId="19" xfId="1" applyNumberFormat="1" applyFont="1" applyFill="1" applyBorder="1" applyAlignment="1">
      <alignment horizontal="center" vertical="center" wrapText="1"/>
    </xf>
    <xf numFmtId="4" fontId="29" fillId="6" borderId="19" xfId="1" applyNumberFormat="1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4" fontId="22" fillId="0" borderId="26" xfId="1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4" fontId="36" fillId="0" borderId="19" xfId="0" applyNumberFormat="1" applyFont="1" applyBorder="1" applyAlignment="1">
      <alignment horizontal="center" vertical="center"/>
    </xf>
    <xf numFmtId="4" fontId="31" fillId="0" borderId="19" xfId="0" applyNumberFormat="1" applyFont="1" applyBorder="1" applyAlignment="1">
      <alignment horizontal="center" vertical="center"/>
    </xf>
    <xf numFmtId="4" fontId="38" fillId="0" borderId="26" xfId="1" applyNumberFormat="1" applyFont="1" applyBorder="1" applyAlignment="1">
      <alignment horizontal="center" vertical="center" wrapText="1"/>
    </xf>
    <xf numFmtId="4" fontId="29" fillId="0" borderId="19" xfId="0" applyNumberFormat="1" applyFont="1" applyBorder="1" applyAlignment="1">
      <alignment horizontal="center" vertical="center"/>
    </xf>
    <xf numFmtId="0" fontId="31" fillId="0" borderId="19" xfId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3" fontId="31" fillId="0" borderId="19" xfId="1" applyNumberFormat="1" applyFont="1" applyBorder="1" applyAlignment="1">
      <alignment horizontal="center" vertical="center" wrapText="1"/>
    </xf>
    <xf numFmtId="4" fontId="36" fillId="0" borderId="19" xfId="0" applyNumberFormat="1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justify"/>
    </xf>
    <xf numFmtId="4" fontId="40" fillId="0" borderId="19" xfId="0" applyNumberFormat="1" applyFont="1" applyBorder="1" applyAlignment="1">
      <alignment horizontal="center" vertical="center"/>
    </xf>
    <xf numFmtId="4" fontId="35" fillId="0" borderId="26" xfId="1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justify" wrapText="1"/>
    </xf>
    <xf numFmtId="3" fontId="31" fillId="0" borderId="26" xfId="1" applyNumberFormat="1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justify" wrapText="1"/>
    </xf>
    <xf numFmtId="0" fontId="37" fillId="0" borderId="2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4" fontId="39" fillId="6" borderId="26" xfId="1" applyNumberFormat="1" applyFont="1" applyFill="1" applyBorder="1" applyAlignment="1">
      <alignment horizontal="center" vertical="center" wrapText="1"/>
    </xf>
    <xf numFmtId="4" fontId="37" fillId="0" borderId="19" xfId="0" applyNumberFormat="1" applyFont="1" applyBorder="1" applyAlignment="1">
      <alignment horizontal="center" vertical="center"/>
    </xf>
    <xf numFmtId="4" fontId="22" fillId="6" borderId="26" xfId="1" applyNumberFormat="1" applyFont="1" applyFill="1" applyBorder="1" applyAlignment="1">
      <alignment horizontal="center" vertical="center" wrapText="1"/>
    </xf>
    <xf numFmtId="3" fontId="18" fillId="6" borderId="26" xfId="1" applyNumberFormat="1" applyFont="1" applyFill="1" applyBorder="1" applyAlignment="1">
      <alignment horizontal="center" vertical="center" wrapText="1"/>
    </xf>
    <xf numFmtId="4" fontId="16" fillId="0" borderId="19" xfId="0" applyNumberFormat="1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37" fillId="0" borderId="19" xfId="4" applyNumberFormat="1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2" fillId="7" borderId="19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4" fontId="51" fillId="8" borderId="12" xfId="0" applyNumberFormat="1" applyFont="1" applyFill="1" applyBorder="1" applyAlignment="1">
      <alignment horizontal="left" vertical="center" wrapText="1"/>
    </xf>
    <xf numFmtId="4" fontId="18" fillId="8" borderId="12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 wrapText="1"/>
    </xf>
    <xf numFmtId="4" fontId="21" fillId="9" borderId="19" xfId="0" applyNumberFormat="1" applyFont="1" applyFill="1" applyBorder="1" applyAlignment="1">
      <alignment horizontal="center" vertical="center"/>
    </xf>
    <xf numFmtId="4" fontId="21" fillId="0" borderId="35" xfId="0" applyNumberFormat="1" applyFont="1" applyBorder="1" applyAlignment="1">
      <alignment horizontal="center" vertical="center"/>
    </xf>
    <xf numFmtId="0" fontId="53" fillId="0" borderId="0" xfId="0" applyFont="1"/>
    <xf numFmtId="4" fontId="51" fillId="8" borderId="0" xfId="0" applyNumberFormat="1" applyFont="1" applyFill="1" applyAlignment="1">
      <alignment horizontal="left" vertical="center" wrapText="1"/>
    </xf>
    <xf numFmtId="4" fontId="18" fillId="8" borderId="0" xfId="0" applyNumberFormat="1" applyFont="1" applyFill="1" applyAlignment="1">
      <alignment horizontal="center" vertical="center"/>
    </xf>
    <xf numFmtId="4" fontId="22" fillId="8" borderId="0" xfId="0" applyNumberFormat="1" applyFont="1" applyFill="1" applyAlignment="1">
      <alignment horizontal="center" vertical="center"/>
    </xf>
    <xf numFmtId="0" fontId="50" fillId="10" borderId="19" xfId="1" applyFont="1" applyFill="1" applyBorder="1" applyAlignment="1">
      <alignment horizontal="right" vertical="center" wrapText="1"/>
    </xf>
    <xf numFmtId="1" fontId="15" fillId="0" borderId="36" xfId="0" applyNumberFormat="1" applyFont="1" applyBorder="1" applyAlignment="1">
      <alignment horizontal="center" vertical="center" wrapText="1"/>
    </xf>
    <xf numFmtId="4" fontId="11" fillId="0" borderId="38" xfId="0" applyNumberFormat="1" applyFont="1" applyBorder="1" applyAlignment="1">
      <alignment horizontal="right" vertical="center" wrapText="1"/>
    </xf>
    <xf numFmtId="4" fontId="11" fillId="0" borderId="39" xfId="0" applyNumberFormat="1" applyFont="1" applyBorder="1" applyAlignment="1">
      <alignment horizontal="right" vertical="center" wrapText="1"/>
    </xf>
    <xf numFmtId="4" fontId="24" fillId="0" borderId="33" xfId="3" applyNumberFormat="1" applyFont="1" applyBorder="1" applyAlignment="1">
      <alignment vertical="center" wrapText="1"/>
    </xf>
    <xf numFmtId="4" fontId="24" fillId="0" borderId="27" xfId="3" applyNumberFormat="1" applyFont="1" applyBorder="1" applyAlignment="1">
      <alignment vertical="center" wrapText="1"/>
    </xf>
    <xf numFmtId="4" fontId="2" fillId="0" borderId="33" xfId="3" applyNumberFormat="1" applyFont="1" applyBorder="1" applyAlignment="1">
      <alignment horizontal="right" vertical="center" wrapText="1"/>
    </xf>
    <xf numFmtId="4" fontId="2" fillId="0" borderId="27" xfId="3" applyNumberFormat="1" applyFont="1" applyBorder="1" applyAlignment="1">
      <alignment horizontal="right" vertical="center" wrapText="1"/>
    </xf>
    <xf numFmtId="4" fontId="2" fillId="0" borderId="42" xfId="3" applyNumberFormat="1" applyFont="1" applyBorder="1" applyAlignment="1">
      <alignment horizontal="right" vertical="center" wrapText="1"/>
    </xf>
    <xf numFmtId="4" fontId="2" fillId="0" borderId="43" xfId="3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1" fillId="0" borderId="7" xfId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1" fillId="11" borderId="11" xfId="1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2" fillId="11" borderId="12" xfId="1" applyFont="1" applyFill="1" applyBorder="1" applyAlignment="1">
      <alignment horizontal="center" vertical="center" wrapText="1"/>
    </xf>
    <xf numFmtId="1" fontId="14" fillId="6" borderId="5" xfId="0" applyNumberFormat="1" applyFont="1" applyFill="1" applyBorder="1" applyAlignment="1">
      <alignment horizontal="center" vertical="center" wrapText="1"/>
    </xf>
    <xf numFmtId="1" fontId="14" fillId="6" borderId="2" xfId="0" applyNumberFormat="1" applyFont="1" applyFill="1" applyBorder="1" applyAlignment="1">
      <alignment horizontal="center" vertical="center" wrapText="1"/>
    </xf>
    <xf numFmtId="1" fontId="15" fillId="6" borderId="2" xfId="0" applyNumberFormat="1" applyFont="1" applyFill="1" applyBorder="1" applyAlignment="1">
      <alignment horizontal="center" vertical="center" wrapText="1"/>
    </xf>
    <xf numFmtId="1" fontId="14" fillId="6" borderId="18" xfId="0" applyNumberFormat="1" applyFont="1" applyFill="1" applyBorder="1" applyAlignment="1">
      <alignment horizontal="center" vertical="center" wrapText="1"/>
    </xf>
    <xf numFmtId="0" fontId="16" fillId="6" borderId="11" xfId="1" applyFont="1" applyFill="1" applyBorder="1" applyAlignment="1">
      <alignment horizontal="center" vertical="center" wrapText="1"/>
    </xf>
    <xf numFmtId="1" fontId="14" fillId="6" borderId="11" xfId="0" applyNumberFormat="1" applyFont="1" applyFill="1" applyBorder="1" applyAlignment="1">
      <alignment horizontal="center" vertical="center" wrapText="1"/>
    </xf>
    <xf numFmtId="1" fontId="15" fillId="6" borderId="11" xfId="0" applyNumberFormat="1" applyFont="1" applyFill="1" applyBorder="1" applyAlignment="1">
      <alignment horizontal="center" vertical="center" wrapText="1"/>
    </xf>
    <xf numFmtId="49" fontId="18" fillId="6" borderId="21" xfId="2" applyNumberFormat="1" applyFont="1" applyFill="1" applyBorder="1" applyAlignment="1">
      <alignment horizontal="center" vertical="center"/>
    </xf>
    <xf numFmtId="0" fontId="16" fillId="6" borderId="19" xfId="1" applyFont="1" applyFill="1" applyBorder="1" applyAlignment="1">
      <alignment horizontal="center" vertical="center" wrapText="1"/>
    </xf>
    <xf numFmtId="0" fontId="18" fillId="6" borderId="19" xfId="1" applyFont="1" applyFill="1" applyBorder="1" applyAlignment="1">
      <alignment horizontal="center" vertical="center" wrapText="1"/>
    </xf>
    <xf numFmtId="4" fontId="18" fillId="6" borderId="19" xfId="1" applyNumberFormat="1" applyFont="1" applyFill="1" applyBorder="1" applyAlignment="1">
      <alignment horizontal="center" vertical="center" wrapText="1"/>
    </xf>
    <xf numFmtId="3" fontId="18" fillId="6" borderId="19" xfId="1" applyNumberFormat="1" applyFont="1" applyFill="1" applyBorder="1" applyAlignment="1">
      <alignment horizontal="center" vertical="center" wrapText="1"/>
    </xf>
    <xf numFmtId="4" fontId="20" fillId="6" borderId="19" xfId="0" applyNumberFormat="1" applyFont="1" applyFill="1" applyBorder="1" applyAlignment="1">
      <alignment horizontal="center" vertical="center"/>
    </xf>
    <xf numFmtId="4" fontId="14" fillId="6" borderId="19" xfId="0" applyNumberFormat="1" applyFont="1" applyFill="1" applyBorder="1" applyAlignment="1">
      <alignment horizontal="center" vertical="center"/>
    </xf>
    <xf numFmtId="4" fontId="21" fillId="6" borderId="19" xfId="0" applyNumberFormat="1" applyFont="1" applyFill="1" applyBorder="1" applyAlignment="1">
      <alignment horizontal="center" vertical="center"/>
    </xf>
    <xf numFmtId="4" fontId="16" fillId="6" borderId="19" xfId="0" applyNumberFormat="1" applyFont="1" applyFill="1" applyBorder="1" applyAlignment="1">
      <alignment horizontal="center" vertical="center"/>
    </xf>
    <xf numFmtId="0" fontId="22" fillId="6" borderId="19" xfId="1" applyFont="1" applyFill="1" applyBorder="1" applyAlignment="1">
      <alignment horizontal="right" vertical="center" wrapText="1"/>
    </xf>
    <xf numFmtId="0" fontId="4" fillId="6" borderId="21" xfId="0" applyFont="1" applyFill="1" applyBorder="1"/>
    <xf numFmtId="0" fontId="23" fillId="6" borderId="19" xfId="0" applyFont="1" applyFill="1" applyBorder="1" applyAlignment="1">
      <alignment horizontal="center"/>
    </xf>
    <xf numFmtId="0" fontId="24" fillId="6" borderId="19" xfId="0" applyFont="1" applyFill="1" applyBorder="1"/>
    <xf numFmtId="0" fontId="4" fillId="6" borderId="19" xfId="0" applyFont="1" applyFill="1" applyBorder="1"/>
    <xf numFmtId="164" fontId="18" fillId="6" borderId="19" xfId="1" applyNumberFormat="1" applyFont="1" applyFill="1" applyBorder="1" applyAlignment="1">
      <alignment horizontal="center" vertical="center" wrapText="1"/>
    </xf>
    <xf numFmtId="4" fontId="25" fillId="6" borderId="19" xfId="0" applyNumberFormat="1" applyFont="1" applyFill="1" applyBorder="1" applyAlignment="1">
      <alignment horizontal="center" vertical="center"/>
    </xf>
    <xf numFmtId="0" fontId="15" fillId="6" borderId="19" xfId="3" applyFont="1" applyFill="1" applyBorder="1" applyAlignment="1">
      <alignment horizontal="right" vertical="center" wrapText="1"/>
    </xf>
    <xf numFmtId="0" fontId="15" fillId="6" borderId="19" xfId="2" applyFont="1" applyFill="1" applyBorder="1" applyAlignment="1">
      <alignment horizontal="center" vertical="center" wrapText="1"/>
    </xf>
    <xf numFmtId="4" fontId="15" fillId="6" borderId="19" xfId="4" applyNumberFormat="1" applyFont="1" applyFill="1" applyBorder="1" applyAlignment="1">
      <alignment horizontal="center" vertical="center"/>
    </xf>
    <xf numFmtId="165" fontId="15" fillId="6" borderId="19" xfId="4" applyNumberFormat="1" applyFont="1" applyFill="1" applyBorder="1" applyAlignment="1">
      <alignment horizontal="center" vertical="center"/>
    </xf>
    <xf numFmtId="165" fontId="18" fillId="6" borderId="19" xfId="1" applyNumberFormat="1" applyFont="1" applyFill="1" applyBorder="1" applyAlignment="1">
      <alignment horizontal="center" vertical="center" wrapText="1"/>
    </xf>
    <xf numFmtId="165" fontId="14" fillId="6" borderId="19" xfId="0" applyNumberFormat="1" applyFont="1" applyFill="1" applyBorder="1" applyAlignment="1">
      <alignment horizontal="center" vertical="center"/>
    </xf>
    <xf numFmtId="4" fontId="27" fillId="6" borderId="19" xfId="4" applyNumberFormat="1" applyFont="1" applyFill="1" applyBorder="1" applyAlignment="1">
      <alignment horizontal="center" vertical="center"/>
    </xf>
    <xf numFmtId="3" fontId="27" fillId="6" borderId="19" xfId="4" applyNumberFormat="1" applyFont="1" applyFill="1" applyBorder="1" applyAlignment="1">
      <alignment horizontal="center" vertical="center"/>
    </xf>
    <xf numFmtId="3" fontId="28" fillId="6" borderId="19" xfId="1" applyNumberFormat="1" applyFont="1" applyFill="1" applyBorder="1" applyAlignment="1">
      <alignment horizontal="center" vertical="center" wrapText="1"/>
    </xf>
    <xf numFmtId="0" fontId="18" fillId="6" borderId="25" xfId="1" applyFont="1" applyFill="1" applyBorder="1" applyAlignment="1">
      <alignment horizontal="left" vertical="center" wrapText="1"/>
    </xf>
    <xf numFmtId="0" fontId="18" fillId="6" borderId="25" xfId="1" applyFont="1" applyFill="1" applyBorder="1" applyAlignment="1">
      <alignment horizontal="center" vertical="center" wrapText="1"/>
    </xf>
    <xf numFmtId="4" fontId="18" fillId="6" borderId="25" xfId="1" applyNumberFormat="1" applyFont="1" applyFill="1" applyBorder="1" applyAlignment="1">
      <alignment horizontal="center" vertical="center" wrapText="1"/>
    </xf>
    <xf numFmtId="3" fontId="18" fillId="6" borderId="25" xfId="1" applyNumberFormat="1" applyFont="1" applyFill="1" applyBorder="1" applyAlignment="1">
      <alignment horizontal="center" vertical="center" wrapText="1"/>
    </xf>
    <xf numFmtId="0" fontId="18" fillId="6" borderId="26" xfId="1" applyFont="1" applyFill="1" applyBorder="1" applyAlignment="1">
      <alignment horizontal="left" vertical="center" wrapText="1"/>
    </xf>
    <xf numFmtId="4" fontId="29" fillId="6" borderId="26" xfId="1" applyNumberFormat="1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right" vertical="center" wrapText="1"/>
    </xf>
    <xf numFmtId="0" fontId="9" fillId="6" borderId="19" xfId="0" applyFont="1" applyFill="1" applyBorder="1" applyAlignment="1">
      <alignment horizontal="center" vertical="center"/>
    </xf>
    <xf numFmtId="1" fontId="14" fillId="6" borderId="29" xfId="0" applyNumberFormat="1" applyFont="1" applyFill="1" applyBorder="1" applyAlignment="1">
      <alignment horizontal="center" vertical="center" wrapText="1"/>
    </xf>
    <xf numFmtId="1" fontId="14" fillId="6" borderId="28" xfId="0" applyNumberFormat="1" applyFont="1" applyFill="1" applyBorder="1" applyAlignment="1">
      <alignment horizontal="center" vertical="center" wrapText="1"/>
    </xf>
    <xf numFmtId="1" fontId="15" fillId="6" borderId="28" xfId="0" applyNumberFormat="1" applyFont="1" applyFill="1" applyBorder="1" applyAlignment="1">
      <alignment horizontal="center" vertical="center" wrapText="1"/>
    </xf>
    <xf numFmtId="49" fontId="18" fillId="6" borderId="19" xfId="2" applyNumberFormat="1" applyFont="1" applyFill="1" applyBorder="1" applyAlignment="1">
      <alignment horizontal="center" vertical="center"/>
    </xf>
    <xf numFmtId="0" fontId="18" fillId="6" borderId="19" xfId="2" applyFont="1" applyFill="1" applyBorder="1" applyAlignment="1">
      <alignment horizontal="center" vertical="center"/>
    </xf>
    <xf numFmtId="3" fontId="29" fillId="6" borderId="19" xfId="1" applyNumberFormat="1" applyFont="1" applyFill="1" applyBorder="1" applyAlignment="1">
      <alignment horizontal="center" vertical="center" wrapText="1"/>
    </xf>
    <xf numFmtId="3" fontId="25" fillId="6" borderId="19" xfId="4" applyNumberFormat="1" applyFont="1" applyFill="1" applyBorder="1" applyAlignment="1">
      <alignment horizontal="center" vertical="center"/>
    </xf>
    <xf numFmtId="0" fontId="29" fillId="6" borderId="19" xfId="2" applyFont="1" applyFill="1" applyBorder="1" applyAlignment="1">
      <alignment horizontal="center" vertical="center"/>
    </xf>
    <xf numFmtId="49" fontId="31" fillId="6" borderId="19" xfId="2" applyNumberFormat="1" applyFont="1" applyFill="1" applyBorder="1" applyAlignment="1">
      <alignment horizontal="center" vertical="center"/>
    </xf>
    <xf numFmtId="0" fontId="31" fillId="6" borderId="19" xfId="2" applyFont="1" applyFill="1" applyBorder="1" applyAlignment="1">
      <alignment horizontal="center" vertical="center"/>
    </xf>
    <xf numFmtId="49" fontId="31" fillId="6" borderId="21" xfId="2" applyNumberFormat="1" applyFont="1" applyFill="1" applyBorder="1" applyAlignment="1">
      <alignment horizontal="center" vertical="center"/>
    </xf>
    <xf numFmtId="164" fontId="16" fillId="6" borderId="19" xfId="1" applyNumberFormat="1" applyFont="1" applyFill="1" applyBorder="1" applyAlignment="1">
      <alignment horizontal="center" vertical="center" wrapText="1"/>
    </xf>
    <xf numFmtId="164" fontId="29" fillId="6" borderId="19" xfId="1" applyNumberFormat="1" applyFont="1" applyFill="1" applyBorder="1" applyAlignment="1">
      <alignment horizontal="center" vertical="center" wrapText="1"/>
    </xf>
    <xf numFmtId="4" fontId="2" fillId="6" borderId="19" xfId="0" applyNumberFormat="1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vertical="center"/>
    </xf>
    <xf numFmtId="0" fontId="18" fillId="6" borderId="19" xfId="1" applyFont="1" applyFill="1" applyBorder="1" applyAlignment="1">
      <alignment horizontal="left" vertical="top" wrapText="1"/>
    </xf>
    <xf numFmtId="0" fontId="16" fillId="6" borderId="26" xfId="1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49" fontId="22" fillId="6" borderId="21" xfId="2" applyNumberFormat="1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164" fontId="22" fillId="6" borderId="19" xfId="1" applyNumberFormat="1" applyFont="1" applyFill="1" applyBorder="1" applyAlignment="1">
      <alignment horizontal="center" vertical="center" wrapText="1"/>
    </xf>
    <xf numFmtId="0" fontId="33" fillId="6" borderId="19" xfId="0" applyFont="1" applyFill="1" applyBorder="1" applyAlignment="1">
      <alignment horizontal="center" vertical="center"/>
    </xf>
    <xf numFmtId="4" fontId="22" fillId="6" borderId="19" xfId="1" applyNumberFormat="1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31" fillId="6" borderId="19" xfId="1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horizontal="center" vertical="center"/>
    </xf>
    <xf numFmtId="3" fontId="22" fillId="6" borderId="19" xfId="1" applyNumberFormat="1" applyFont="1" applyFill="1" applyBorder="1" applyAlignment="1">
      <alignment horizontal="center" vertical="center" wrapText="1"/>
    </xf>
    <xf numFmtId="49" fontId="22" fillId="6" borderId="31" xfId="2" applyNumberFormat="1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7" fillId="6" borderId="0" xfId="0" applyFont="1" applyFill="1" applyAlignment="1">
      <alignment vertical="center"/>
    </xf>
    <xf numFmtId="0" fontId="37" fillId="6" borderId="0" xfId="0" applyFont="1" applyFill="1" applyAlignment="1">
      <alignment vertical="center"/>
    </xf>
    <xf numFmtId="0" fontId="16" fillId="6" borderId="19" xfId="0" applyFont="1" applyFill="1" applyBorder="1" applyAlignment="1">
      <alignment horizontal="left" vertical="center"/>
    </xf>
    <xf numFmtId="4" fontId="29" fillId="6" borderId="19" xfId="0" applyNumberFormat="1" applyFont="1" applyFill="1" applyBorder="1" applyAlignment="1">
      <alignment horizontal="center" vertical="center"/>
    </xf>
    <xf numFmtId="4" fontId="39" fillId="6" borderId="25" xfId="0" applyNumberFormat="1" applyFont="1" applyFill="1" applyBorder="1" applyAlignment="1">
      <alignment horizontal="center" vertical="center"/>
    </xf>
    <xf numFmtId="4" fontId="16" fillId="6" borderId="19" xfId="0" applyNumberFormat="1" applyFont="1" applyFill="1" applyBorder="1" applyAlignment="1">
      <alignment horizontal="left" vertical="center" wrapText="1"/>
    </xf>
    <xf numFmtId="4" fontId="38" fillId="6" borderId="26" xfId="1" applyNumberFormat="1" applyFont="1" applyFill="1" applyBorder="1" applyAlignment="1">
      <alignment horizontal="center" vertical="center" wrapText="1"/>
    </xf>
    <xf numFmtId="0" fontId="45" fillId="6" borderId="19" xfId="0" applyFont="1" applyFill="1" applyBorder="1" applyAlignment="1">
      <alignment horizontal="center" vertical="justify"/>
    </xf>
    <xf numFmtId="4" fontId="33" fillId="6" borderId="19" xfId="0" applyNumberFormat="1" applyFont="1" applyFill="1" applyBorder="1" applyAlignment="1">
      <alignment horizontal="center" vertical="center"/>
    </xf>
    <xf numFmtId="164" fontId="22" fillId="6" borderId="26" xfId="1" applyNumberFormat="1" applyFont="1" applyFill="1" applyBorder="1" applyAlignment="1">
      <alignment horizontal="center" vertical="center" wrapText="1"/>
    </xf>
    <xf numFmtId="0" fontId="48" fillId="6" borderId="19" xfId="0" applyFont="1" applyFill="1" applyBorder="1" applyAlignment="1">
      <alignment horizontal="center" vertical="justify" wrapText="1"/>
    </xf>
    <xf numFmtId="0" fontId="37" fillId="6" borderId="26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left" vertical="center" wrapText="1"/>
    </xf>
    <xf numFmtId="0" fontId="33" fillId="6" borderId="26" xfId="0" applyFont="1" applyFill="1" applyBorder="1" applyAlignment="1">
      <alignment horizontal="center" vertical="center"/>
    </xf>
    <xf numFmtId="49" fontId="18" fillId="6" borderId="32" xfId="2" applyNumberFormat="1" applyFont="1" applyFill="1" applyBorder="1" applyAlignment="1">
      <alignment horizontal="center" vertical="center"/>
    </xf>
    <xf numFmtId="0" fontId="16" fillId="6" borderId="25" xfId="1" applyFont="1" applyFill="1" applyBorder="1" applyAlignment="1">
      <alignment horizontal="center" vertical="center" wrapText="1"/>
    </xf>
    <xf numFmtId="4" fontId="49" fillId="6" borderId="25" xfId="0" applyNumberFormat="1" applyFont="1" applyFill="1" applyBorder="1" applyAlignment="1">
      <alignment horizontal="center" vertical="center"/>
    </xf>
    <xf numFmtId="3" fontId="37" fillId="6" borderId="19" xfId="4" applyNumberFormat="1" applyFont="1" applyFill="1" applyBorder="1" applyAlignment="1">
      <alignment horizontal="center" vertical="center"/>
    </xf>
    <xf numFmtId="49" fontId="2" fillId="12" borderId="21" xfId="0" applyNumberFormat="1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center" vertical="center"/>
    </xf>
    <xf numFmtId="0" fontId="18" fillId="12" borderId="19" xfId="0" applyFont="1" applyFill="1" applyBorder="1" applyAlignment="1">
      <alignment horizontal="center" vertical="center"/>
    </xf>
    <xf numFmtId="0" fontId="16" fillId="12" borderId="19" xfId="0" applyFont="1" applyFill="1" applyBorder="1" applyAlignment="1">
      <alignment horizontal="center" vertical="center"/>
    </xf>
    <xf numFmtId="0" fontId="49" fillId="12" borderId="19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49" fontId="2" fillId="11" borderId="19" xfId="0" applyNumberFormat="1" applyFont="1" applyFill="1" applyBorder="1" applyAlignment="1">
      <alignment horizontal="center" vertical="center"/>
    </xf>
    <xf numFmtId="4" fontId="51" fillId="11" borderId="19" xfId="0" applyNumberFormat="1" applyFont="1" applyFill="1" applyBorder="1" applyAlignment="1">
      <alignment horizontal="left" vertical="center" wrapText="1"/>
    </xf>
    <xf numFmtId="4" fontId="18" fillId="11" borderId="19" xfId="0" applyNumberFormat="1" applyFont="1" applyFill="1" applyBorder="1" applyAlignment="1">
      <alignment horizontal="center" vertical="center"/>
    </xf>
    <xf numFmtId="49" fontId="2" fillId="11" borderId="14" xfId="0" applyNumberFormat="1" applyFont="1" applyFill="1" applyBorder="1" applyAlignment="1">
      <alignment horizontal="center" vertical="center"/>
    </xf>
    <xf numFmtId="4" fontId="51" fillId="11" borderId="12" xfId="0" applyNumberFormat="1" applyFont="1" applyFill="1" applyBorder="1" applyAlignment="1">
      <alignment horizontal="left" vertical="center" wrapText="1"/>
    </xf>
    <xf numFmtId="4" fontId="18" fillId="11" borderId="12" xfId="0" applyNumberFormat="1" applyFont="1" applyFill="1" applyBorder="1" applyAlignment="1">
      <alignment horizontal="center" vertical="center"/>
    </xf>
    <xf numFmtId="4" fontId="22" fillId="11" borderId="12" xfId="0" applyNumberFormat="1" applyFont="1" applyFill="1" applyBorder="1" applyAlignment="1">
      <alignment horizontal="center" vertical="center"/>
    </xf>
    <xf numFmtId="4" fontId="22" fillId="11" borderId="19" xfId="0" applyNumberFormat="1" applyFont="1" applyFill="1" applyBorder="1" applyAlignment="1">
      <alignment horizontal="center" vertical="center"/>
    </xf>
    <xf numFmtId="0" fontId="52" fillId="6" borderId="19" xfId="0" applyFont="1" applyFill="1" applyBorder="1"/>
    <xf numFmtId="4" fontId="39" fillId="11" borderId="19" xfId="0" applyNumberFormat="1" applyFont="1" applyFill="1" applyBorder="1" applyAlignment="1">
      <alignment horizontal="center" vertical="center"/>
    </xf>
    <xf numFmtId="4" fontId="16" fillId="11" borderId="19" xfId="0" applyNumberFormat="1" applyFont="1" applyFill="1" applyBorder="1" applyAlignment="1">
      <alignment horizontal="center" vertical="center"/>
    </xf>
    <xf numFmtId="4" fontId="21" fillId="11" borderId="19" xfId="0" applyNumberFormat="1" applyFont="1" applyFill="1" applyBorder="1" applyAlignment="1">
      <alignment horizontal="center" vertical="center"/>
    </xf>
    <xf numFmtId="0" fontId="50" fillId="6" borderId="19" xfId="1" applyFont="1" applyFill="1" applyBorder="1" applyAlignment="1">
      <alignment horizontal="left" vertical="center" wrapText="1"/>
    </xf>
    <xf numFmtId="4" fontId="29" fillId="11" borderId="19" xfId="0" applyNumberFormat="1" applyFont="1" applyFill="1" applyBorder="1" applyAlignment="1">
      <alignment horizontal="center" vertical="center"/>
    </xf>
    <xf numFmtId="4" fontId="50" fillId="6" borderId="19" xfId="1" applyNumberFormat="1" applyFont="1" applyFill="1" applyBorder="1" applyAlignment="1">
      <alignment horizontal="center" vertical="center" wrapText="1"/>
    </xf>
    <xf numFmtId="4" fontId="16" fillId="6" borderId="19" xfId="1" applyNumberFormat="1" applyFont="1" applyFill="1" applyBorder="1" applyAlignment="1">
      <alignment horizontal="right" vertical="center" wrapText="1"/>
    </xf>
    <xf numFmtId="4" fontId="50" fillId="6" borderId="19" xfId="1" applyNumberFormat="1" applyFont="1" applyFill="1" applyBorder="1" applyAlignment="1">
      <alignment horizontal="right" vertical="center" wrapText="1"/>
    </xf>
    <xf numFmtId="4" fontId="11" fillId="6" borderId="37" xfId="0" applyNumberFormat="1" applyFont="1" applyFill="1" applyBorder="1" applyAlignment="1">
      <alignment horizontal="right" vertical="center" wrapText="1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/>
    <xf numFmtId="0" fontId="23" fillId="6" borderId="0" xfId="0" applyFont="1" applyFill="1" applyAlignment="1">
      <alignment horizontal="center"/>
    </xf>
    <xf numFmtId="0" fontId="23" fillId="6" borderId="0" xfId="0" applyFont="1" applyFill="1"/>
    <xf numFmtId="0" fontId="14" fillId="6" borderId="40" xfId="3" applyFont="1" applyFill="1" applyBorder="1" applyAlignment="1">
      <alignment horizontal="right" vertical="center" wrapText="1"/>
    </xf>
    <xf numFmtId="0" fontId="24" fillId="6" borderId="0" xfId="0" applyFont="1" applyFill="1"/>
    <xf numFmtId="0" fontId="2" fillId="6" borderId="21" xfId="3" applyFont="1" applyFill="1" applyBorder="1" applyAlignment="1">
      <alignment horizontal="right" vertical="center" wrapText="1"/>
    </xf>
    <xf numFmtId="0" fontId="2" fillId="6" borderId="41" xfId="3" applyFont="1" applyFill="1" applyBorder="1" applyAlignment="1">
      <alignment horizontal="right" vertical="center" wrapText="1"/>
    </xf>
  </cellXfs>
  <cellStyles count="6">
    <cellStyle name="Excel Built-in Normal 2 2" xfId="1"/>
    <cellStyle name="Обычный" xfId="0" builtinId="0"/>
    <cellStyle name="Обычный 2" xfId="2"/>
    <cellStyle name="Обычный 2 2" xfId="3"/>
    <cellStyle name="Обычный 3 2 2" xfId="5"/>
    <cellStyle name="Обычный 6 3 2 2 2 4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O138"/>
  <sheetViews>
    <sheetView tabSelected="1" view="pageBreakPreview" topLeftCell="L1" zoomScale="85" zoomScaleNormal="85" zoomScaleSheetLayoutView="85" workbookViewId="0">
      <pane xSplit="3" ySplit="11" topLeftCell="O123" activePane="bottomRight" state="frozen"/>
      <selection activeCell="L1" sqref="L1"/>
      <selection pane="topRight" activeCell="T1" sqref="T1"/>
      <selection pane="bottomLeft" activeCell="L12" sqref="L12"/>
      <selection pane="bottomRight" activeCell="M10" sqref="M10"/>
    </sheetView>
  </sheetViews>
  <sheetFormatPr defaultColWidth="8.88671875" defaultRowHeight="15.6" outlineLevelRow="1" outlineLevelCol="1"/>
  <cols>
    <col min="1" max="2" width="9.6640625" style="1" hidden="1" customWidth="1" outlineLevel="1"/>
    <col min="3" max="3" width="61.88671875" style="1" hidden="1" customWidth="1" outlineLevel="1"/>
    <col min="4" max="11" width="9.6640625" style="1" hidden="1" customWidth="1" outlineLevel="1"/>
    <col min="12" max="12" width="9.5546875" style="3" customWidth="1" collapsed="1"/>
    <col min="13" max="13" width="75" style="186" customWidth="1"/>
    <col min="14" max="14" width="7.44140625" style="3" customWidth="1"/>
    <col min="15" max="15" width="6.44140625" style="3" hidden="1" customWidth="1"/>
    <col min="16" max="16" width="75" style="186" hidden="1" customWidth="1"/>
    <col min="17" max="17" width="7.44140625" style="3" hidden="1" customWidth="1"/>
    <col min="18" max="19" width="9.109375" style="188" hidden="1" customWidth="1" outlineLevel="1"/>
    <col min="20" max="21" width="10.6640625" style="189" hidden="1" customWidth="1" outlineLevel="1"/>
    <col min="22" max="22" width="10.6640625" style="189" customWidth="1" collapsed="1"/>
    <col min="23" max="23" width="20.44140625" style="3" customWidth="1"/>
    <col min="24" max="24" width="11.6640625" style="190" hidden="1" customWidth="1"/>
    <col min="25" max="25" width="14.6640625" style="3" customWidth="1"/>
    <col min="26" max="26" width="17" style="3" hidden="1" customWidth="1"/>
    <col min="27" max="27" width="22" style="3" customWidth="1"/>
    <col min="28" max="30" width="30.88671875" style="3" hidden="1" customWidth="1"/>
    <col min="31" max="31" width="39.6640625" style="3" hidden="1" customWidth="1"/>
    <col min="32" max="32" width="47.109375" style="3" hidden="1" customWidth="1"/>
    <col min="33" max="33" width="61.44140625" style="3" hidden="1" customWidth="1"/>
    <col min="34" max="34" width="8.44140625" style="3" customWidth="1"/>
    <col min="35" max="35" width="7" style="3" customWidth="1"/>
    <col min="36" max="36" width="11.88671875" style="3" customWidth="1"/>
    <col min="37" max="37" width="18.33203125" style="3" customWidth="1"/>
    <col min="38" max="38" width="14.109375" style="3" customWidth="1"/>
    <col min="39" max="39" width="12.6640625" style="3" customWidth="1"/>
    <col min="40" max="40" width="14.44140625" style="3" customWidth="1"/>
    <col min="41" max="41" width="29" style="3" customWidth="1"/>
    <col min="42" max="286" width="8.88671875" style="3"/>
    <col min="287" max="287" width="6.33203125" style="3" customWidth="1"/>
    <col min="288" max="288" width="7.33203125" style="3" customWidth="1"/>
    <col min="289" max="289" width="61.44140625" style="3" customWidth="1"/>
    <col min="290" max="290" width="8.44140625" style="3" customWidth="1"/>
    <col min="291" max="291" width="7" style="3" customWidth="1"/>
    <col min="292" max="292" width="11.88671875" style="3" customWidth="1"/>
    <col min="293" max="293" width="18.33203125" style="3" customWidth="1"/>
    <col min="294" max="294" width="14.109375" style="3" customWidth="1"/>
    <col min="295" max="295" width="12.6640625" style="3" customWidth="1"/>
    <col min="296" max="296" width="14.44140625" style="3" customWidth="1"/>
    <col min="297" max="297" width="29" style="3" customWidth="1"/>
    <col min="298" max="542" width="8.88671875" style="3"/>
    <col min="543" max="543" width="6.33203125" style="3" customWidth="1"/>
    <col min="544" max="544" width="7.33203125" style="3" customWidth="1"/>
    <col min="545" max="545" width="61.44140625" style="3" customWidth="1"/>
    <col min="546" max="546" width="8.44140625" style="3" customWidth="1"/>
    <col min="547" max="547" width="7" style="3" customWidth="1"/>
    <col min="548" max="548" width="11.88671875" style="3" customWidth="1"/>
    <col min="549" max="549" width="18.33203125" style="3" customWidth="1"/>
    <col min="550" max="550" width="14.109375" style="3" customWidth="1"/>
    <col min="551" max="551" width="12.6640625" style="3" customWidth="1"/>
    <col min="552" max="552" width="14.44140625" style="3" customWidth="1"/>
    <col min="553" max="553" width="29" style="3" customWidth="1"/>
    <col min="554" max="798" width="8.88671875" style="3"/>
    <col min="799" max="799" width="6.33203125" style="3" customWidth="1"/>
    <col min="800" max="800" width="7.33203125" style="3" customWidth="1"/>
    <col min="801" max="801" width="61.44140625" style="3" customWidth="1"/>
    <col min="802" max="802" width="8.44140625" style="3" customWidth="1"/>
    <col min="803" max="803" width="7" style="3" customWidth="1"/>
    <col min="804" max="804" width="11.88671875" style="3" customWidth="1"/>
    <col min="805" max="805" width="18.33203125" style="3" customWidth="1"/>
    <col min="806" max="806" width="14.109375" style="3" customWidth="1"/>
    <col min="807" max="807" width="12.6640625" style="3" customWidth="1"/>
    <col min="808" max="808" width="14.44140625" style="3" customWidth="1"/>
    <col min="809" max="809" width="29" style="3" customWidth="1"/>
    <col min="810" max="873" width="8.88671875" style="3"/>
  </cols>
  <sheetData>
    <row r="1" spans="1:32" ht="20.399999999999999"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2"/>
      <c r="AC1" s="2"/>
      <c r="AD1" s="2"/>
      <c r="AE1" s="2"/>
      <c r="AF1" s="2"/>
    </row>
    <row r="2" spans="1:32" ht="17.399999999999999"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4"/>
      <c r="AC2" s="4"/>
      <c r="AD2" s="4"/>
      <c r="AF2" s="4">
        <f>6720/(1.55*2.5)</f>
        <v>1734.1935483870968</v>
      </c>
    </row>
    <row r="3" spans="1:32" ht="49.5" customHeight="1"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5"/>
      <c r="AC3" s="5"/>
      <c r="AD3" s="5"/>
      <c r="AE3" s="5"/>
      <c r="AF3" s="4"/>
    </row>
    <row r="4" spans="1:32" ht="16.2" thickBot="1">
      <c r="L4" s="1"/>
      <c r="M4" s="6"/>
      <c r="N4" s="7"/>
      <c r="O4" s="1"/>
      <c r="P4" s="6"/>
      <c r="Q4" s="7"/>
      <c r="R4" s="8"/>
      <c r="S4" s="8"/>
      <c r="T4" s="8"/>
      <c r="U4" s="8"/>
      <c r="V4" s="8"/>
      <c r="W4" s="8"/>
      <c r="X4" s="9"/>
      <c r="Y4" s="7"/>
      <c r="Z4" s="7"/>
      <c r="AA4" s="6"/>
      <c r="AB4" s="6"/>
      <c r="AC4" s="6"/>
      <c r="AD4" s="6"/>
      <c r="AE4" s="6"/>
      <c r="AF4" s="6"/>
    </row>
    <row r="5" spans="1:32" s="13" customFormat="1" ht="19.5" customHeight="1" thickBot="1">
      <c r="A5" s="10"/>
      <c r="B5" s="10"/>
      <c r="C5" s="196" t="s">
        <v>0</v>
      </c>
      <c r="D5" s="196" t="s">
        <v>1</v>
      </c>
      <c r="E5" s="199" t="s">
        <v>2</v>
      </c>
      <c r="F5" s="193" t="s">
        <v>3</v>
      </c>
      <c r="G5" s="193" t="s">
        <v>4</v>
      </c>
      <c r="H5" s="193" t="s">
        <v>5</v>
      </c>
      <c r="I5" s="193" t="s">
        <v>6</v>
      </c>
      <c r="J5" s="11"/>
      <c r="K5" s="11"/>
      <c r="L5" s="201" t="s">
        <v>7</v>
      </c>
      <c r="M5" s="202" t="s">
        <v>0</v>
      </c>
      <c r="N5" s="202" t="s">
        <v>1</v>
      </c>
      <c r="O5" s="203" t="s">
        <v>7</v>
      </c>
      <c r="P5" s="204" t="s">
        <v>0</v>
      </c>
      <c r="Q5" s="204" t="s">
        <v>1</v>
      </c>
      <c r="R5" s="205" t="s">
        <v>2</v>
      </c>
      <c r="S5" s="205" t="s">
        <v>3</v>
      </c>
      <c r="T5" s="205" t="s">
        <v>4</v>
      </c>
      <c r="U5" s="205" t="s">
        <v>5</v>
      </c>
      <c r="V5" s="205" t="s">
        <v>6</v>
      </c>
      <c r="W5" s="206" t="s">
        <v>186</v>
      </c>
      <c r="X5" s="206"/>
      <c r="Y5" s="206"/>
      <c r="Z5" s="206"/>
      <c r="AA5" s="206"/>
      <c r="AB5" s="12"/>
      <c r="AC5" s="12"/>
      <c r="AD5" s="12"/>
      <c r="AE5" s="191" t="s">
        <v>8</v>
      </c>
      <c r="AF5" s="191" t="s">
        <v>8</v>
      </c>
    </row>
    <row r="6" spans="1:32" s="13" customFormat="1" ht="18.600000000000001" thickBot="1">
      <c r="A6" s="10"/>
      <c r="B6" s="10"/>
      <c r="C6" s="196"/>
      <c r="D6" s="196"/>
      <c r="E6" s="199"/>
      <c r="F6" s="194"/>
      <c r="G6" s="194"/>
      <c r="H6" s="194"/>
      <c r="I6" s="194"/>
      <c r="J6" s="14"/>
      <c r="K6" s="14"/>
      <c r="L6" s="201"/>
      <c r="M6" s="202"/>
      <c r="N6" s="202"/>
      <c r="O6" s="207"/>
      <c r="P6" s="208"/>
      <c r="Q6" s="208"/>
      <c r="R6" s="209"/>
      <c r="S6" s="209"/>
      <c r="T6" s="209"/>
      <c r="U6" s="209"/>
      <c r="V6" s="209"/>
      <c r="W6" s="210" t="s">
        <v>9</v>
      </c>
      <c r="X6" s="210"/>
      <c r="Y6" s="210" t="s">
        <v>10</v>
      </c>
      <c r="Z6" s="210"/>
      <c r="AA6" s="206" t="s">
        <v>11</v>
      </c>
      <c r="AB6" s="12"/>
      <c r="AC6" s="12"/>
      <c r="AD6" s="12"/>
      <c r="AE6" s="191"/>
      <c r="AF6" s="191"/>
    </row>
    <row r="7" spans="1:32" s="13" customFormat="1" ht="18.600000000000001" thickBot="1">
      <c r="A7" s="10"/>
      <c r="B7" s="10"/>
      <c r="C7" s="196"/>
      <c r="D7" s="196"/>
      <c r="E7" s="199"/>
      <c r="F7" s="195"/>
      <c r="G7" s="195"/>
      <c r="H7" s="195"/>
      <c r="I7" s="195"/>
      <c r="J7" s="15"/>
      <c r="K7" s="15"/>
      <c r="L7" s="201"/>
      <c r="M7" s="202"/>
      <c r="N7" s="202"/>
      <c r="O7" s="211"/>
      <c r="P7" s="212"/>
      <c r="Q7" s="212"/>
      <c r="R7" s="213"/>
      <c r="S7" s="213"/>
      <c r="T7" s="213"/>
      <c r="U7" s="213"/>
      <c r="V7" s="213"/>
      <c r="W7" s="214" t="s">
        <v>12</v>
      </c>
      <c r="X7" s="214" t="s">
        <v>13</v>
      </c>
      <c r="Y7" s="214" t="s">
        <v>12</v>
      </c>
      <c r="Z7" s="214" t="s">
        <v>13</v>
      </c>
      <c r="AA7" s="206"/>
      <c r="AB7" s="12"/>
      <c r="AC7" s="12"/>
      <c r="AD7" s="12"/>
      <c r="AE7" s="191"/>
      <c r="AF7" s="191"/>
    </row>
    <row r="8" spans="1:32" s="16" customFormat="1" ht="14.4" thickBot="1">
      <c r="C8" s="17">
        <v>2</v>
      </c>
      <c r="D8" s="17">
        <v>3</v>
      </c>
      <c r="E8" s="18">
        <v>4</v>
      </c>
      <c r="F8" s="18">
        <v>5</v>
      </c>
      <c r="G8" s="18">
        <v>6</v>
      </c>
      <c r="H8" s="18">
        <v>7</v>
      </c>
      <c r="I8" s="18">
        <v>8</v>
      </c>
      <c r="J8" s="19"/>
      <c r="K8" s="19"/>
      <c r="L8" s="215">
        <v>1</v>
      </c>
      <c r="M8" s="216">
        <v>2</v>
      </c>
      <c r="N8" s="216">
        <v>3</v>
      </c>
      <c r="O8" s="215">
        <v>1</v>
      </c>
      <c r="P8" s="216">
        <v>2</v>
      </c>
      <c r="Q8" s="216">
        <v>3</v>
      </c>
      <c r="R8" s="217">
        <v>4</v>
      </c>
      <c r="S8" s="217">
        <v>5</v>
      </c>
      <c r="T8" s="217">
        <v>6</v>
      </c>
      <c r="U8" s="217">
        <v>7</v>
      </c>
      <c r="V8" s="217">
        <v>14</v>
      </c>
      <c r="W8" s="217">
        <v>15</v>
      </c>
      <c r="X8" s="217">
        <v>10</v>
      </c>
      <c r="Y8" s="217">
        <v>16</v>
      </c>
      <c r="Z8" s="217">
        <v>12</v>
      </c>
      <c r="AA8" s="217">
        <v>17</v>
      </c>
      <c r="AB8" s="20"/>
      <c r="AC8" s="20"/>
      <c r="AD8" s="20"/>
      <c r="AE8" s="20"/>
      <c r="AF8" s="21">
        <v>13</v>
      </c>
    </row>
    <row r="9" spans="1:32" s="16" customFormat="1" ht="16.2" thickBot="1">
      <c r="C9" s="22" t="s">
        <v>14</v>
      </c>
      <c r="D9" s="23"/>
      <c r="E9" s="24"/>
      <c r="F9" s="24"/>
      <c r="G9" s="24"/>
      <c r="H9" s="24"/>
      <c r="I9" s="24"/>
      <c r="J9" s="25" t="b">
        <f t="shared" ref="J9:J52" si="0">C9=M9</f>
        <v>1</v>
      </c>
      <c r="K9" s="25"/>
      <c r="L9" s="218"/>
      <c r="M9" s="219" t="s">
        <v>14</v>
      </c>
      <c r="N9" s="220"/>
      <c r="O9" s="218"/>
      <c r="P9" s="219" t="s">
        <v>14</v>
      </c>
      <c r="Q9" s="220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6"/>
      <c r="AC9" s="26"/>
      <c r="AD9" s="26"/>
      <c r="AE9" s="26"/>
      <c r="AF9" s="27"/>
    </row>
    <row r="10" spans="1:32" s="28" customFormat="1" ht="16.2" thickBot="1">
      <c r="C10" s="29" t="s">
        <v>15</v>
      </c>
      <c r="D10" s="30"/>
      <c r="E10" s="31"/>
      <c r="F10" s="31"/>
      <c r="G10" s="32"/>
      <c r="H10" s="32"/>
      <c r="I10" s="32"/>
      <c r="J10" s="25" t="b">
        <f t="shared" si="0"/>
        <v>1</v>
      </c>
      <c r="K10" s="33"/>
      <c r="L10" s="222"/>
      <c r="M10" s="223" t="s">
        <v>15</v>
      </c>
      <c r="N10" s="224"/>
      <c r="O10" s="222"/>
      <c r="P10" s="223" t="s">
        <v>15</v>
      </c>
      <c r="Q10" s="224"/>
      <c r="R10" s="225"/>
      <c r="S10" s="225"/>
      <c r="T10" s="226"/>
      <c r="U10" s="226"/>
      <c r="V10" s="226"/>
      <c r="W10" s="227"/>
      <c r="X10" s="228"/>
      <c r="Y10" s="229"/>
      <c r="Z10" s="229"/>
      <c r="AA10" s="229"/>
      <c r="AB10" s="35"/>
      <c r="AC10" s="35"/>
      <c r="AD10" s="35"/>
      <c r="AE10" s="35"/>
      <c r="AF10" s="36"/>
    </row>
    <row r="11" spans="1:32" s="28" customFormat="1" ht="31.8" thickBot="1">
      <c r="C11" s="37" t="s">
        <v>16</v>
      </c>
      <c r="D11" s="38"/>
      <c r="E11" s="39"/>
      <c r="F11" s="39"/>
      <c r="G11" s="40"/>
      <c r="H11" s="40"/>
      <c r="I11" s="40"/>
      <c r="J11" s="25" t="b">
        <f t="shared" si="0"/>
        <v>1</v>
      </c>
      <c r="K11" s="33"/>
      <c r="L11" s="222"/>
      <c r="M11" s="223" t="s">
        <v>16</v>
      </c>
      <c r="N11" s="224"/>
      <c r="O11" s="222"/>
      <c r="P11" s="223" t="s">
        <v>16</v>
      </c>
      <c r="Q11" s="224"/>
      <c r="R11" s="225"/>
      <c r="S11" s="225"/>
      <c r="T11" s="226"/>
      <c r="U11" s="226"/>
      <c r="V11" s="226"/>
      <c r="W11" s="227"/>
      <c r="X11" s="228"/>
      <c r="Y11" s="229"/>
      <c r="Z11" s="229"/>
      <c r="AA11" s="229"/>
      <c r="AB11" s="42"/>
      <c r="AC11" s="42"/>
      <c r="AD11" s="42"/>
      <c r="AE11" s="42"/>
      <c r="AF11" s="43"/>
    </row>
    <row r="12" spans="1:32" s="28" customFormat="1" ht="16.2" thickBot="1">
      <c r="C12" s="44" t="s">
        <v>17</v>
      </c>
      <c r="D12" s="38" t="s">
        <v>18</v>
      </c>
      <c r="E12" s="39"/>
      <c r="F12" s="38">
        <v>40</v>
      </c>
      <c r="G12" s="40"/>
      <c r="H12" s="40"/>
      <c r="I12" s="45">
        <f t="shared" ref="I12:I20" si="1">F12+G12+H12</f>
        <v>40</v>
      </c>
      <c r="J12" s="25" t="b">
        <f t="shared" si="0"/>
        <v>1</v>
      </c>
      <c r="K12" s="33" t="e">
        <f>I12-#REF!</f>
        <v>#REF!</v>
      </c>
      <c r="L12" s="222"/>
      <c r="M12" s="72" t="s">
        <v>17</v>
      </c>
      <c r="N12" s="224" t="s">
        <v>18</v>
      </c>
      <c r="O12" s="222"/>
      <c r="P12" s="72" t="s">
        <v>17</v>
      </c>
      <c r="Q12" s="224" t="s">
        <v>18</v>
      </c>
      <c r="R12" s="225"/>
      <c r="S12" s="224">
        <v>40</v>
      </c>
      <c r="T12" s="226"/>
      <c r="U12" s="226"/>
      <c r="V12" s="75"/>
      <c r="W12" s="230"/>
      <c r="X12" s="228"/>
      <c r="Y12" s="229">
        <f t="shared" ref="Y12:Y20" si="2">V12*W12</f>
        <v>0</v>
      </c>
      <c r="Z12" s="229"/>
      <c r="AA12" s="229">
        <f>Y12+Z12</f>
        <v>0</v>
      </c>
      <c r="AB12" s="47"/>
      <c r="AC12" s="47"/>
      <c r="AD12" s="47"/>
      <c r="AE12" s="48" t="s">
        <v>19</v>
      </c>
      <c r="AF12" s="43" t="s">
        <v>20</v>
      </c>
    </row>
    <row r="13" spans="1:32" s="28" customFormat="1" ht="15.75" hidden="1" customHeight="1" outlineLevel="1">
      <c r="C13" s="49" t="s">
        <v>21</v>
      </c>
      <c r="D13" s="38" t="s">
        <v>22</v>
      </c>
      <c r="E13" s="39"/>
      <c r="F13" s="38">
        <v>50</v>
      </c>
      <c r="G13" s="40"/>
      <c r="H13" s="40"/>
      <c r="I13" s="45">
        <f t="shared" si="1"/>
        <v>50</v>
      </c>
      <c r="J13" s="25" t="b">
        <f t="shared" si="0"/>
        <v>1</v>
      </c>
      <c r="K13" s="33" t="e">
        <f>I13-#REF!</f>
        <v>#REF!</v>
      </c>
      <c r="L13" s="222"/>
      <c r="M13" s="231" t="s">
        <v>21</v>
      </c>
      <c r="N13" s="224" t="s">
        <v>22</v>
      </c>
      <c r="O13" s="222"/>
      <c r="P13" s="231" t="s">
        <v>21</v>
      </c>
      <c r="Q13" s="224" t="s">
        <v>22</v>
      </c>
      <c r="R13" s="225"/>
      <c r="S13" s="224">
        <v>50</v>
      </c>
      <c r="T13" s="226"/>
      <c r="U13" s="226"/>
      <c r="V13" s="75"/>
      <c r="W13" s="230"/>
      <c r="X13" s="228"/>
      <c r="Y13" s="229">
        <f t="shared" si="2"/>
        <v>0</v>
      </c>
      <c r="Z13" s="229"/>
      <c r="AA13" s="229">
        <f t="shared" ref="AA13:AA20" si="3">Y13+Z13</f>
        <v>0</v>
      </c>
      <c r="AB13" s="47"/>
      <c r="AC13" s="47"/>
      <c r="AD13" s="47"/>
      <c r="AE13" s="48"/>
      <c r="AF13" s="43"/>
    </row>
    <row r="14" spans="1:32" s="28" customFormat="1" ht="31.8" collapsed="1" thickBot="1">
      <c r="C14" s="44" t="s">
        <v>23</v>
      </c>
      <c r="D14" s="38" t="s">
        <v>24</v>
      </c>
      <c r="E14" s="39"/>
      <c r="F14" s="38">
        <v>1</v>
      </c>
      <c r="G14" s="40"/>
      <c r="H14" s="40"/>
      <c r="I14" s="45">
        <f t="shared" si="1"/>
        <v>1</v>
      </c>
      <c r="J14" s="25" t="b">
        <f t="shared" si="0"/>
        <v>0</v>
      </c>
      <c r="K14" s="33" t="e">
        <f>I14-#REF!</f>
        <v>#REF!</v>
      </c>
      <c r="L14" s="222"/>
      <c r="M14" s="72" t="s">
        <v>25</v>
      </c>
      <c r="N14" s="224" t="s">
        <v>24</v>
      </c>
      <c r="O14" s="222"/>
      <c r="P14" s="72" t="s">
        <v>23</v>
      </c>
      <c r="Q14" s="224" t="s">
        <v>24</v>
      </c>
      <c r="R14" s="225"/>
      <c r="S14" s="224">
        <v>1</v>
      </c>
      <c r="T14" s="226"/>
      <c r="U14" s="226"/>
      <c r="V14" s="75"/>
      <c r="W14" s="230"/>
      <c r="X14" s="228"/>
      <c r="Y14" s="229">
        <f t="shared" si="2"/>
        <v>0</v>
      </c>
      <c r="Z14" s="229"/>
      <c r="AA14" s="229">
        <f t="shared" si="3"/>
        <v>0</v>
      </c>
      <c r="AB14" s="42">
        <f>1.8*0.9*0.1*1.5*V14</f>
        <v>0</v>
      </c>
      <c r="AC14" s="42">
        <f>1.8*0.9*AD14*V14</f>
        <v>0</v>
      </c>
      <c r="AD14" s="42">
        <f>12*6.8/1000*1.8*0.9</f>
        <v>0.13219199999999998</v>
      </c>
      <c r="AE14" s="50" t="s">
        <v>26</v>
      </c>
      <c r="AF14" s="43" t="s">
        <v>20</v>
      </c>
    </row>
    <row r="15" spans="1:32" s="28" customFormat="1" ht="31.8" thickBot="1">
      <c r="C15" s="44" t="s">
        <v>27</v>
      </c>
      <c r="D15" s="38" t="s">
        <v>24</v>
      </c>
      <c r="E15" s="39"/>
      <c r="F15" s="38">
        <v>1</v>
      </c>
      <c r="G15" s="40"/>
      <c r="H15" s="40"/>
      <c r="I15" s="45">
        <f t="shared" si="1"/>
        <v>1</v>
      </c>
      <c r="J15" s="25" t="b">
        <f t="shared" si="0"/>
        <v>0</v>
      </c>
      <c r="K15" s="33" t="e">
        <f>I15-#REF!</f>
        <v>#REF!</v>
      </c>
      <c r="L15" s="222"/>
      <c r="M15" s="72" t="s">
        <v>28</v>
      </c>
      <c r="N15" s="224" t="s">
        <v>24</v>
      </c>
      <c r="O15" s="222"/>
      <c r="P15" s="72" t="s">
        <v>27</v>
      </c>
      <c r="Q15" s="224" t="s">
        <v>24</v>
      </c>
      <c r="R15" s="225"/>
      <c r="S15" s="224">
        <v>1</v>
      </c>
      <c r="T15" s="226"/>
      <c r="U15" s="226"/>
      <c r="V15" s="75"/>
      <c r="W15" s="230"/>
      <c r="X15" s="228"/>
      <c r="Y15" s="229">
        <f t="shared" si="2"/>
        <v>0</v>
      </c>
      <c r="Z15" s="229"/>
      <c r="AA15" s="229">
        <f t="shared" si="3"/>
        <v>0</v>
      </c>
      <c r="AB15" s="42">
        <f>1.8*0.9*0.25*1.5</f>
        <v>0.60750000000000004</v>
      </c>
      <c r="AC15" s="42">
        <f>1.8*0.9*AD15*V15</f>
        <v>0</v>
      </c>
      <c r="AD15" s="42">
        <f>17*12*1.8*0.9/1000</f>
        <v>0.33048</v>
      </c>
      <c r="AE15" s="50" t="s">
        <v>26</v>
      </c>
      <c r="AF15" s="43" t="s">
        <v>20</v>
      </c>
    </row>
    <row r="16" spans="1:32" s="28" customFormat="1" ht="31.8" hidden="1" thickBot="1">
      <c r="C16" s="44" t="s">
        <v>29</v>
      </c>
      <c r="D16" s="38" t="s">
        <v>24</v>
      </c>
      <c r="E16" s="39"/>
      <c r="F16" s="38">
        <v>6</v>
      </c>
      <c r="G16" s="40">
        <v>5</v>
      </c>
      <c r="H16" s="40">
        <v>2</v>
      </c>
      <c r="I16" s="45">
        <f t="shared" si="1"/>
        <v>13</v>
      </c>
      <c r="J16" s="25" t="b">
        <f t="shared" si="0"/>
        <v>1</v>
      </c>
      <c r="K16" s="33" t="e">
        <f>I16-#REF!</f>
        <v>#REF!</v>
      </c>
      <c r="L16" s="222"/>
      <c r="M16" s="72" t="s">
        <v>29</v>
      </c>
      <c r="N16" s="224" t="s">
        <v>24</v>
      </c>
      <c r="O16" s="222"/>
      <c r="P16" s="72" t="s">
        <v>29</v>
      </c>
      <c r="Q16" s="224" t="s">
        <v>24</v>
      </c>
      <c r="R16" s="225"/>
      <c r="S16" s="224">
        <v>6</v>
      </c>
      <c r="T16" s="226">
        <v>5</v>
      </c>
      <c r="U16" s="226">
        <v>2</v>
      </c>
      <c r="V16" s="75"/>
      <c r="W16" s="230"/>
      <c r="X16" s="228"/>
      <c r="Y16" s="229">
        <f t="shared" si="2"/>
        <v>0</v>
      </c>
      <c r="Z16" s="229"/>
      <c r="AA16" s="229">
        <f t="shared" si="3"/>
        <v>0</v>
      </c>
      <c r="AB16" s="42">
        <f>3.14*0.04*0.04*0.2*V16*1.5</f>
        <v>0</v>
      </c>
      <c r="AC16" s="42"/>
      <c r="AD16" s="42"/>
      <c r="AE16" s="50" t="s">
        <v>26</v>
      </c>
      <c r="AF16" s="43" t="s">
        <v>20</v>
      </c>
    </row>
    <row r="17" spans="3:32" s="28" customFormat="1" ht="31.8" thickBot="1">
      <c r="C17" s="44" t="s">
        <v>30</v>
      </c>
      <c r="D17" s="38" t="s">
        <v>24</v>
      </c>
      <c r="E17" s="39"/>
      <c r="F17" s="38">
        <v>2</v>
      </c>
      <c r="G17" s="40"/>
      <c r="H17" s="40"/>
      <c r="I17" s="45">
        <f t="shared" si="1"/>
        <v>2</v>
      </c>
      <c r="J17" s="25" t="b">
        <f t="shared" si="0"/>
        <v>1</v>
      </c>
      <c r="K17" s="33" t="e">
        <f>I17-#REF!</f>
        <v>#REF!</v>
      </c>
      <c r="L17" s="222"/>
      <c r="M17" s="72" t="s">
        <v>30</v>
      </c>
      <c r="N17" s="224" t="s">
        <v>24</v>
      </c>
      <c r="O17" s="222"/>
      <c r="P17" s="72" t="s">
        <v>30</v>
      </c>
      <c r="Q17" s="224" t="s">
        <v>24</v>
      </c>
      <c r="R17" s="225"/>
      <c r="S17" s="224">
        <v>2</v>
      </c>
      <c r="T17" s="226"/>
      <c r="U17" s="226"/>
      <c r="V17" s="75"/>
      <c r="W17" s="230"/>
      <c r="X17" s="228"/>
      <c r="Y17" s="229">
        <f t="shared" si="2"/>
        <v>0</v>
      </c>
      <c r="Z17" s="229"/>
      <c r="AA17" s="229">
        <f t="shared" si="3"/>
        <v>0</v>
      </c>
      <c r="AB17" s="42" t="e">
        <f>#REF!*1*2.1*0.25*1.5</f>
        <v>#REF!</v>
      </c>
      <c r="AC17" s="42"/>
      <c r="AD17" s="42"/>
      <c r="AE17" s="50" t="s">
        <v>26</v>
      </c>
      <c r="AF17" s="43" t="s">
        <v>20</v>
      </c>
    </row>
    <row r="18" spans="3:32" s="28" customFormat="1" ht="31.8" thickBot="1">
      <c r="C18" s="44" t="s">
        <v>31</v>
      </c>
      <c r="D18" s="38" t="s">
        <v>24</v>
      </c>
      <c r="E18" s="39"/>
      <c r="F18" s="39"/>
      <c r="G18" s="40">
        <v>1</v>
      </c>
      <c r="H18" s="40">
        <v>1</v>
      </c>
      <c r="I18" s="45">
        <f t="shared" si="1"/>
        <v>2</v>
      </c>
      <c r="J18" s="25" t="b">
        <f t="shared" si="0"/>
        <v>1</v>
      </c>
      <c r="K18" s="33" t="e">
        <f>I18-#REF!</f>
        <v>#REF!</v>
      </c>
      <c r="L18" s="222"/>
      <c r="M18" s="72" t="s">
        <v>31</v>
      </c>
      <c r="N18" s="224" t="s">
        <v>24</v>
      </c>
      <c r="O18" s="222"/>
      <c r="P18" s="72" t="s">
        <v>31</v>
      </c>
      <c r="Q18" s="224" t="s">
        <v>24</v>
      </c>
      <c r="R18" s="225"/>
      <c r="S18" s="225"/>
      <c r="T18" s="226">
        <v>1</v>
      </c>
      <c r="U18" s="226">
        <v>1</v>
      </c>
      <c r="V18" s="75"/>
      <c r="W18" s="230"/>
      <c r="X18" s="228"/>
      <c r="Y18" s="229">
        <f t="shared" si="2"/>
        <v>0</v>
      </c>
      <c r="Z18" s="229"/>
      <c r="AA18" s="229">
        <f t="shared" si="3"/>
        <v>0</v>
      </c>
      <c r="AB18" s="42" t="e">
        <f>#REF!*1.75*0.9*0.25*1.5</f>
        <v>#REF!</v>
      </c>
      <c r="AC18" s="42"/>
      <c r="AD18" s="42"/>
      <c r="AE18" s="50" t="s">
        <v>26</v>
      </c>
      <c r="AF18" s="43" t="s">
        <v>20</v>
      </c>
    </row>
    <row r="19" spans="3:32" ht="31.8" thickBot="1">
      <c r="C19" s="44" t="s">
        <v>32</v>
      </c>
      <c r="D19" s="38" t="s">
        <v>18</v>
      </c>
      <c r="E19" s="51"/>
      <c r="F19" s="38">
        <f>3.2*2*5</f>
        <v>32</v>
      </c>
      <c r="G19" s="38"/>
      <c r="H19" s="38"/>
      <c r="I19" s="45">
        <f t="shared" si="1"/>
        <v>32</v>
      </c>
      <c r="J19" s="25" t="b">
        <f t="shared" si="0"/>
        <v>1</v>
      </c>
      <c r="K19" s="33" t="e">
        <f>I19-#REF!</f>
        <v>#REF!</v>
      </c>
      <c r="L19" s="232"/>
      <c r="M19" s="72" t="s">
        <v>32</v>
      </c>
      <c r="N19" s="224" t="s">
        <v>18</v>
      </c>
      <c r="O19" s="232"/>
      <c r="P19" s="72" t="s">
        <v>32</v>
      </c>
      <c r="Q19" s="224" t="s">
        <v>18</v>
      </c>
      <c r="R19" s="233"/>
      <c r="S19" s="224">
        <f>3.2*2*5</f>
        <v>32</v>
      </c>
      <c r="T19" s="224"/>
      <c r="U19" s="224"/>
      <c r="V19" s="75"/>
      <c r="W19" s="230"/>
      <c r="X19" s="234"/>
      <c r="Y19" s="229">
        <f t="shared" si="2"/>
        <v>0</v>
      </c>
      <c r="Z19" s="235"/>
      <c r="AA19" s="229">
        <f t="shared" si="3"/>
        <v>0</v>
      </c>
      <c r="AB19" s="47"/>
      <c r="AC19" s="47"/>
      <c r="AD19" s="47"/>
      <c r="AE19" s="48" t="s">
        <v>33</v>
      </c>
      <c r="AF19" s="48" t="s">
        <v>19</v>
      </c>
    </row>
    <row r="20" spans="3:32" ht="47.4" thickBot="1">
      <c r="C20" s="44" t="s">
        <v>34</v>
      </c>
      <c r="D20" s="38" t="s">
        <v>24</v>
      </c>
      <c r="E20" s="52"/>
      <c r="F20" s="40">
        <v>2</v>
      </c>
      <c r="G20" s="38"/>
      <c r="H20" s="38"/>
      <c r="I20" s="45">
        <f t="shared" si="1"/>
        <v>2</v>
      </c>
      <c r="J20" s="25" t="b">
        <f t="shared" si="0"/>
        <v>0</v>
      </c>
      <c r="K20" s="33" t="e">
        <f>I20-#REF!</f>
        <v>#REF!</v>
      </c>
      <c r="L20" s="232"/>
      <c r="M20" s="72" t="s">
        <v>35</v>
      </c>
      <c r="N20" s="224" t="s">
        <v>24</v>
      </c>
      <c r="O20" s="232"/>
      <c r="P20" s="72" t="s">
        <v>34</v>
      </c>
      <c r="Q20" s="224" t="s">
        <v>24</v>
      </c>
      <c r="R20" s="236"/>
      <c r="S20" s="226">
        <v>2</v>
      </c>
      <c r="T20" s="224"/>
      <c r="U20" s="224"/>
      <c r="V20" s="75"/>
      <c r="W20" s="230"/>
      <c r="X20" s="234"/>
      <c r="Y20" s="229">
        <f t="shared" si="2"/>
        <v>0</v>
      </c>
      <c r="Z20" s="235"/>
      <c r="AA20" s="229">
        <f t="shared" si="3"/>
        <v>0</v>
      </c>
      <c r="AB20" s="42" t="e">
        <f>#REF!*1*2.1*0.25*1.5</f>
        <v>#REF!</v>
      </c>
      <c r="AC20" s="47"/>
      <c r="AD20" s="47"/>
      <c r="AE20" s="50" t="s">
        <v>26</v>
      </c>
      <c r="AF20" s="48"/>
    </row>
    <row r="21" spans="3:32" s="28" customFormat="1" ht="16.2" thickBot="1">
      <c r="C21" s="53" t="s">
        <v>36</v>
      </c>
      <c r="D21" s="54"/>
      <c r="E21" s="55"/>
      <c r="F21" s="55"/>
      <c r="G21" s="56"/>
      <c r="H21" s="56"/>
      <c r="I21" s="56"/>
      <c r="J21" s="25" t="b">
        <f t="shared" si="0"/>
        <v>1</v>
      </c>
      <c r="K21" s="33" t="e">
        <f>I21-#REF!</f>
        <v>#REF!</v>
      </c>
      <c r="L21" s="222"/>
      <c r="M21" s="223" t="s">
        <v>36</v>
      </c>
      <c r="N21" s="224"/>
      <c r="O21" s="222"/>
      <c r="P21" s="223" t="s">
        <v>36</v>
      </c>
      <c r="Q21" s="224"/>
      <c r="R21" s="225"/>
      <c r="S21" s="225"/>
      <c r="T21" s="226"/>
      <c r="U21" s="226"/>
      <c r="V21" s="226"/>
      <c r="W21" s="237"/>
      <c r="X21" s="228"/>
      <c r="Y21" s="229"/>
      <c r="Z21" s="229"/>
      <c r="AA21" s="229"/>
      <c r="AB21" s="57"/>
      <c r="AC21" s="57"/>
      <c r="AD21" s="57"/>
      <c r="AE21" s="58"/>
      <c r="AF21" s="59"/>
    </row>
    <row r="22" spans="3:32" s="28" customFormat="1" ht="47.4" thickBot="1">
      <c r="C22" s="37" t="s">
        <v>37</v>
      </c>
      <c r="D22" s="38"/>
      <c r="E22" s="39"/>
      <c r="F22" s="39"/>
      <c r="G22" s="40"/>
      <c r="H22" s="40"/>
      <c r="I22" s="40"/>
      <c r="J22" s="25" t="b">
        <f t="shared" si="0"/>
        <v>1</v>
      </c>
      <c r="K22" s="33" t="e">
        <f>I22-#REF!</f>
        <v>#REF!</v>
      </c>
      <c r="L22" s="222"/>
      <c r="M22" s="223" t="s">
        <v>37</v>
      </c>
      <c r="N22" s="224"/>
      <c r="O22" s="222"/>
      <c r="P22" s="223" t="s">
        <v>37</v>
      </c>
      <c r="Q22" s="224"/>
      <c r="R22" s="225"/>
      <c r="S22" s="225"/>
      <c r="T22" s="226"/>
      <c r="U22" s="226"/>
      <c r="V22" s="226"/>
      <c r="W22" s="237"/>
      <c r="X22" s="228"/>
      <c r="Y22" s="229"/>
      <c r="Z22" s="229"/>
      <c r="AA22" s="229"/>
      <c r="AB22" s="42"/>
      <c r="AC22" s="42"/>
      <c r="AD22" s="42"/>
      <c r="AE22" s="50"/>
      <c r="AF22" s="43"/>
    </row>
    <row r="23" spans="3:32" s="28" customFormat="1" ht="47.4" thickBot="1">
      <c r="C23" s="44" t="s">
        <v>38</v>
      </c>
      <c r="D23" s="38" t="s">
        <v>39</v>
      </c>
      <c r="E23" s="39"/>
      <c r="F23" s="39">
        <v>3.52</v>
      </c>
      <c r="G23" s="39">
        <f>3.37+0.7</f>
        <v>4.07</v>
      </c>
      <c r="H23" s="39">
        <f>1.04+0.9</f>
        <v>1.94</v>
      </c>
      <c r="I23" s="45">
        <f>F23+G23+H23</f>
        <v>9.5299999999999994</v>
      </c>
      <c r="J23" s="25" t="b">
        <f t="shared" si="0"/>
        <v>1</v>
      </c>
      <c r="K23" s="33" t="e">
        <f>I23-#REF!</f>
        <v>#REF!</v>
      </c>
      <c r="L23" s="222"/>
      <c r="M23" s="72" t="s">
        <v>38</v>
      </c>
      <c r="N23" s="224" t="s">
        <v>39</v>
      </c>
      <c r="O23" s="222"/>
      <c r="P23" s="72" t="s">
        <v>38</v>
      </c>
      <c r="Q23" s="224" t="s">
        <v>39</v>
      </c>
      <c r="R23" s="225"/>
      <c r="S23" s="225">
        <v>3.52</v>
      </c>
      <c r="T23" s="225">
        <f>3.37+0.7</f>
        <v>4.07</v>
      </c>
      <c r="U23" s="225">
        <f>1.04+0.9</f>
        <v>1.94</v>
      </c>
      <c r="V23" s="75"/>
      <c r="W23" s="230"/>
      <c r="X23" s="228"/>
      <c r="Y23" s="229">
        <f t="shared" ref="Y23:Y33" si="4">V23*W23</f>
        <v>0</v>
      </c>
      <c r="Z23" s="229"/>
      <c r="AA23" s="229">
        <f t="shared" ref="AA23:AA32" si="5">Y23+Z23</f>
        <v>0</v>
      </c>
      <c r="AB23" s="42"/>
      <c r="AC23" s="42"/>
      <c r="AD23" s="42"/>
      <c r="AE23" s="192" t="s">
        <v>40</v>
      </c>
      <c r="AF23" s="43" t="s">
        <v>41</v>
      </c>
    </row>
    <row r="24" spans="3:32" s="28" customFormat="1" ht="30" hidden="1" customHeight="1" outlineLevel="1">
      <c r="C24" s="60" t="s">
        <v>42</v>
      </c>
      <c r="D24" s="61" t="s">
        <v>43</v>
      </c>
      <c r="E24" s="62">
        <v>2.5</v>
      </c>
      <c r="F24" s="63">
        <f>F23*E24</f>
        <v>8.8000000000000007</v>
      </c>
      <c r="G24" s="63">
        <f>G23*E24</f>
        <v>10.175000000000001</v>
      </c>
      <c r="H24" s="63">
        <f>H23*E24</f>
        <v>4.8499999999999996</v>
      </c>
      <c r="I24" s="45">
        <f t="shared" ref="I24:I38" si="6">F24+G24+H24</f>
        <v>23.825000000000003</v>
      </c>
      <c r="J24" s="25" t="b">
        <f t="shared" si="0"/>
        <v>1</v>
      </c>
      <c r="K24" s="33" t="e">
        <f>I24-#REF!</f>
        <v>#REF!</v>
      </c>
      <c r="L24" s="222"/>
      <c r="M24" s="238" t="s">
        <v>42</v>
      </c>
      <c r="N24" s="239" t="s">
        <v>43</v>
      </c>
      <c r="O24" s="222"/>
      <c r="P24" s="238" t="s">
        <v>42</v>
      </c>
      <c r="Q24" s="239" t="s">
        <v>43</v>
      </c>
      <c r="R24" s="240">
        <v>2.5</v>
      </c>
      <c r="S24" s="241">
        <f>S23*R24</f>
        <v>8.8000000000000007</v>
      </c>
      <c r="T24" s="241">
        <f>T23*R24</f>
        <v>10.175000000000001</v>
      </c>
      <c r="U24" s="241">
        <f>U23*R24</f>
        <v>4.8499999999999996</v>
      </c>
      <c r="V24" s="226"/>
      <c r="W24" s="230"/>
      <c r="X24" s="228"/>
      <c r="Y24" s="229">
        <f t="shared" si="4"/>
        <v>0</v>
      </c>
      <c r="Z24" s="229"/>
      <c r="AA24" s="229">
        <f t="shared" si="5"/>
        <v>0</v>
      </c>
      <c r="AB24" s="42"/>
      <c r="AC24" s="42"/>
      <c r="AD24" s="42"/>
      <c r="AE24" s="192"/>
      <c r="AF24" s="43"/>
    </row>
    <row r="25" spans="3:32" s="28" customFormat="1" ht="15.75" hidden="1" customHeight="1" outlineLevel="1">
      <c r="C25" s="60" t="s">
        <v>44</v>
      </c>
      <c r="D25" s="61" t="s">
        <v>43</v>
      </c>
      <c r="E25" s="62">
        <v>1.05</v>
      </c>
      <c r="F25" s="63">
        <f>0.073*E25</f>
        <v>7.6649999999999996E-2</v>
      </c>
      <c r="G25" s="62">
        <f>0.067+0.014</f>
        <v>8.1000000000000003E-2</v>
      </c>
      <c r="H25" s="62">
        <f>0.021+0.02</f>
        <v>4.1000000000000002E-2</v>
      </c>
      <c r="I25" s="64">
        <f t="shared" si="6"/>
        <v>0.19865000000000002</v>
      </c>
      <c r="J25" s="25" t="b">
        <f t="shared" si="0"/>
        <v>1</v>
      </c>
      <c r="K25" s="33" t="e">
        <f>I25-#REF!</f>
        <v>#REF!</v>
      </c>
      <c r="L25" s="222"/>
      <c r="M25" s="238" t="s">
        <v>44</v>
      </c>
      <c r="N25" s="239" t="s">
        <v>43</v>
      </c>
      <c r="O25" s="222"/>
      <c r="P25" s="238" t="s">
        <v>44</v>
      </c>
      <c r="Q25" s="239" t="s">
        <v>43</v>
      </c>
      <c r="R25" s="240">
        <v>1.05</v>
      </c>
      <c r="S25" s="241">
        <f>0.073*R25</f>
        <v>7.6649999999999996E-2</v>
      </c>
      <c r="T25" s="240">
        <f>0.067+0.014</f>
        <v>8.1000000000000003E-2</v>
      </c>
      <c r="U25" s="240">
        <f>0.021+0.02</f>
        <v>4.1000000000000002E-2</v>
      </c>
      <c r="V25" s="225"/>
      <c r="W25" s="230"/>
      <c r="X25" s="228"/>
      <c r="Y25" s="229">
        <f t="shared" si="4"/>
        <v>0</v>
      </c>
      <c r="Z25" s="229"/>
      <c r="AA25" s="229">
        <f t="shared" si="5"/>
        <v>0</v>
      </c>
      <c r="AB25" s="42"/>
      <c r="AC25" s="42"/>
      <c r="AD25" s="42"/>
      <c r="AE25" s="192"/>
      <c r="AF25" s="43"/>
    </row>
    <row r="26" spans="3:32" s="28" customFormat="1" ht="15.75" hidden="1" customHeight="1" outlineLevel="1">
      <c r="C26" s="60" t="s">
        <v>45</v>
      </c>
      <c r="D26" s="61" t="s">
        <v>43</v>
      </c>
      <c r="E26" s="62">
        <v>1.05</v>
      </c>
      <c r="F26" s="63">
        <f>0.125*E26</f>
        <v>0.13125000000000001</v>
      </c>
      <c r="G26" s="62">
        <f>0.119+0.018</f>
        <v>0.13699999999999998</v>
      </c>
      <c r="H26" s="62">
        <f>0.029+0.026</f>
        <v>5.5E-2</v>
      </c>
      <c r="I26" s="64">
        <f t="shared" si="6"/>
        <v>0.32324999999999998</v>
      </c>
      <c r="J26" s="25" t="b">
        <f t="shared" si="0"/>
        <v>1</v>
      </c>
      <c r="K26" s="33" t="e">
        <f>I26-#REF!</f>
        <v>#REF!</v>
      </c>
      <c r="L26" s="222"/>
      <c r="M26" s="238" t="s">
        <v>45</v>
      </c>
      <c r="N26" s="239" t="s">
        <v>43</v>
      </c>
      <c r="O26" s="222"/>
      <c r="P26" s="238" t="s">
        <v>45</v>
      </c>
      <c r="Q26" s="239" t="s">
        <v>43</v>
      </c>
      <c r="R26" s="240">
        <v>1.05</v>
      </c>
      <c r="S26" s="241">
        <f>0.125*R26</f>
        <v>0.13125000000000001</v>
      </c>
      <c r="T26" s="240">
        <f>0.119+0.018</f>
        <v>0.13699999999999998</v>
      </c>
      <c r="U26" s="240">
        <f>0.029+0.026</f>
        <v>5.5E-2</v>
      </c>
      <c r="V26" s="225"/>
      <c r="W26" s="230"/>
      <c r="X26" s="228"/>
      <c r="Y26" s="229">
        <f t="shared" si="4"/>
        <v>0</v>
      </c>
      <c r="Z26" s="229"/>
      <c r="AA26" s="229">
        <f t="shared" si="5"/>
        <v>0</v>
      </c>
      <c r="AB26" s="42"/>
      <c r="AC26" s="42"/>
      <c r="AD26" s="42"/>
      <c r="AE26" s="192"/>
      <c r="AF26" s="43"/>
    </row>
    <row r="27" spans="3:32" s="28" customFormat="1" ht="15.75" hidden="1" customHeight="1" outlineLevel="1">
      <c r="C27" s="60" t="s">
        <v>46</v>
      </c>
      <c r="D27" s="61" t="s">
        <v>43</v>
      </c>
      <c r="E27" s="63">
        <v>8.0000000000000002E-3</v>
      </c>
      <c r="F27" s="63">
        <f>(F25+F26)/1.05*E27</f>
        <v>1.5839999999999999E-3</v>
      </c>
      <c r="G27" s="63">
        <f>(G25+G26)/1.05*0.008</f>
        <v>1.6609523809523808E-3</v>
      </c>
      <c r="H27" s="63">
        <f>(H25+H26)/1.05*0.008</f>
        <v>7.3142857142857146E-4</v>
      </c>
      <c r="I27" s="65">
        <f t="shared" si="6"/>
        <v>3.9763809523809517E-3</v>
      </c>
      <c r="J27" s="25" t="b">
        <f t="shared" si="0"/>
        <v>1</v>
      </c>
      <c r="K27" s="33" t="e">
        <f>I27-#REF!</f>
        <v>#REF!</v>
      </c>
      <c r="L27" s="222"/>
      <c r="M27" s="238" t="s">
        <v>46</v>
      </c>
      <c r="N27" s="239" t="s">
        <v>43</v>
      </c>
      <c r="O27" s="222"/>
      <c r="P27" s="238" t="s">
        <v>46</v>
      </c>
      <c r="Q27" s="239" t="s">
        <v>43</v>
      </c>
      <c r="R27" s="241">
        <v>8.0000000000000002E-3</v>
      </c>
      <c r="S27" s="241">
        <f>(S25+S26)/1.05*R27</f>
        <v>1.5839999999999999E-3</v>
      </c>
      <c r="T27" s="241">
        <f>(T25+T26)/1.05*0.008</f>
        <v>1.6609523809523808E-3</v>
      </c>
      <c r="U27" s="241">
        <f>(U25+U26)/1.05*0.008</f>
        <v>7.3142857142857146E-4</v>
      </c>
      <c r="V27" s="242"/>
      <c r="W27" s="230"/>
      <c r="X27" s="243"/>
      <c r="Y27" s="229">
        <f t="shared" si="4"/>
        <v>0</v>
      </c>
      <c r="Z27" s="229"/>
      <c r="AA27" s="229">
        <f t="shared" si="5"/>
        <v>0</v>
      </c>
      <c r="AB27" s="42"/>
      <c r="AC27" s="42"/>
      <c r="AD27" s="42"/>
      <c r="AE27" s="192"/>
      <c r="AF27" s="43"/>
    </row>
    <row r="28" spans="3:32" s="28" customFormat="1" ht="16.2" collapsed="1" thickBot="1">
      <c r="C28" s="44" t="s">
        <v>47</v>
      </c>
      <c r="D28" s="38" t="s">
        <v>24</v>
      </c>
      <c r="E28" s="39"/>
      <c r="F28" s="40">
        <v>180</v>
      </c>
      <c r="G28" s="40">
        <f>174+36</f>
        <v>210</v>
      </c>
      <c r="H28" s="40">
        <f>56+52</f>
        <v>108</v>
      </c>
      <c r="I28" s="45">
        <f t="shared" si="6"/>
        <v>498</v>
      </c>
      <c r="J28" s="25" t="b">
        <f t="shared" si="0"/>
        <v>1</v>
      </c>
      <c r="K28" s="33" t="e">
        <f>I28-#REF!</f>
        <v>#REF!</v>
      </c>
      <c r="L28" s="222"/>
      <c r="M28" s="72" t="s">
        <v>47</v>
      </c>
      <c r="N28" s="224" t="s">
        <v>24</v>
      </c>
      <c r="O28" s="222"/>
      <c r="P28" s="72" t="s">
        <v>47</v>
      </c>
      <c r="Q28" s="224" t="s">
        <v>24</v>
      </c>
      <c r="R28" s="225"/>
      <c r="S28" s="226">
        <v>180</v>
      </c>
      <c r="T28" s="226">
        <f>174+36</f>
        <v>210</v>
      </c>
      <c r="U28" s="226">
        <f>56+52</f>
        <v>108</v>
      </c>
      <c r="V28" s="75"/>
      <c r="W28" s="230"/>
      <c r="X28" s="228"/>
      <c r="Y28" s="229">
        <f t="shared" si="4"/>
        <v>0</v>
      </c>
      <c r="Z28" s="229"/>
      <c r="AA28" s="229">
        <f t="shared" si="5"/>
        <v>0</v>
      </c>
      <c r="AB28" s="42"/>
      <c r="AC28" s="42"/>
      <c r="AD28" s="42"/>
      <c r="AE28" s="192"/>
      <c r="AF28" s="43" t="s">
        <v>41</v>
      </c>
    </row>
    <row r="29" spans="3:32" s="28" customFormat="1" ht="15.75" hidden="1" customHeight="1" outlineLevel="1">
      <c r="C29" s="60" t="s">
        <v>48</v>
      </c>
      <c r="D29" s="61" t="s">
        <v>24</v>
      </c>
      <c r="E29" s="62"/>
      <c r="F29" s="66">
        <f>F28</f>
        <v>180</v>
      </c>
      <c r="G29" s="66">
        <f>174+36</f>
        <v>210</v>
      </c>
      <c r="H29" s="66">
        <f>56+52</f>
        <v>108</v>
      </c>
      <c r="I29" s="45">
        <f t="shared" si="6"/>
        <v>498</v>
      </c>
      <c r="J29" s="25" t="b">
        <f t="shared" si="0"/>
        <v>1</v>
      </c>
      <c r="K29" s="33" t="e">
        <f>I29-#REF!</f>
        <v>#REF!</v>
      </c>
      <c r="L29" s="222"/>
      <c r="M29" s="238" t="s">
        <v>48</v>
      </c>
      <c r="N29" s="239" t="s">
        <v>24</v>
      </c>
      <c r="O29" s="222"/>
      <c r="P29" s="238" t="s">
        <v>48</v>
      </c>
      <c r="Q29" s="239" t="s">
        <v>24</v>
      </c>
      <c r="R29" s="244"/>
      <c r="S29" s="245">
        <f>S28</f>
        <v>180</v>
      </c>
      <c r="T29" s="245">
        <f>174+36</f>
        <v>210</v>
      </c>
      <c r="U29" s="245">
        <f>56+52</f>
        <v>108</v>
      </c>
      <c r="V29" s="246"/>
      <c r="W29" s="230"/>
      <c r="X29" s="228"/>
      <c r="Y29" s="229">
        <f t="shared" si="4"/>
        <v>0</v>
      </c>
      <c r="Z29" s="229"/>
      <c r="AA29" s="229">
        <f t="shared" si="5"/>
        <v>0</v>
      </c>
      <c r="AB29" s="42"/>
      <c r="AC29" s="42"/>
      <c r="AD29" s="42"/>
      <c r="AE29" s="50"/>
      <c r="AF29" s="67" t="s">
        <v>49</v>
      </c>
    </row>
    <row r="30" spans="3:32" s="28" customFormat="1" ht="31.8" collapsed="1" thickBot="1">
      <c r="C30" s="68" t="s">
        <v>50</v>
      </c>
      <c r="D30" s="69" t="s">
        <v>51</v>
      </c>
      <c r="E30" s="70"/>
      <c r="F30" s="71">
        <v>2</v>
      </c>
      <c r="G30" s="71">
        <f>2+1</f>
        <v>3</v>
      </c>
      <c r="H30" s="71">
        <f>0.5+0.5</f>
        <v>1</v>
      </c>
      <c r="I30" s="45">
        <f t="shared" si="6"/>
        <v>6</v>
      </c>
      <c r="J30" s="25" t="b">
        <f t="shared" si="0"/>
        <v>1</v>
      </c>
      <c r="K30" s="33" t="e">
        <f>I30-#REF!</f>
        <v>#REF!</v>
      </c>
      <c r="L30" s="222"/>
      <c r="M30" s="247" t="s">
        <v>50</v>
      </c>
      <c r="N30" s="248" t="s">
        <v>51</v>
      </c>
      <c r="O30" s="222"/>
      <c r="P30" s="247" t="s">
        <v>50</v>
      </c>
      <c r="Q30" s="248" t="s">
        <v>51</v>
      </c>
      <c r="R30" s="249"/>
      <c r="S30" s="250">
        <v>2</v>
      </c>
      <c r="T30" s="250">
        <f>2+1</f>
        <v>3</v>
      </c>
      <c r="U30" s="250">
        <f>0.5+0.5</f>
        <v>1</v>
      </c>
      <c r="V30" s="75"/>
      <c r="W30" s="230"/>
      <c r="X30" s="228"/>
      <c r="Y30" s="229">
        <f t="shared" si="4"/>
        <v>0</v>
      </c>
      <c r="Z30" s="229"/>
      <c r="AA30" s="229">
        <f t="shared" si="5"/>
        <v>0</v>
      </c>
      <c r="AB30" s="42"/>
      <c r="AC30" s="42"/>
      <c r="AD30" s="42"/>
      <c r="AE30" s="50" t="s">
        <v>52</v>
      </c>
      <c r="AF30" s="43" t="s">
        <v>41</v>
      </c>
    </row>
    <row r="31" spans="3:32" s="28" customFormat="1" ht="15.75" customHeight="1" thickBot="1">
      <c r="C31" s="68" t="s">
        <v>53</v>
      </c>
      <c r="D31" s="69" t="s">
        <v>43</v>
      </c>
      <c r="E31" s="70"/>
      <c r="F31" s="71">
        <v>8</v>
      </c>
      <c r="G31" s="71">
        <f>8+2</f>
        <v>10</v>
      </c>
      <c r="H31" s="71">
        <f>3+2</f>
        <v>5</v>
      </c>
      <c r="I31" s="45">
        <f t="shared" si="6"/>
        <v>23</v>
      </c>
      <c r="J31" s="25" t="b">
        <f t="shared" si="0"/>
        <v>1</v>
      </c>
      <c r="K31" s="33" t="e">
        <f>I31-#REF!</f>
        <v>#REF!</v>
      </c>
      <c r="L31" s="222"/>
      <c r="M31" s="247" t="s">
        <v>53</v>
      </c>
      <c r="N31" s="248" t="s">
        <v>43</v>
      </c>
      <c r="O31" s="222"/>
      <c r="P31" s="247" t="s">
        <v>53</v>
      </c>
      <c r="Q31" s="248" t="s">
        <v>43</v>
      </c>
      <c r="R31" s="249"/>
      <c r="S31" s="250">
        <v>8</v>
      </c>
      <c r="T31" s="250">
        <f>8+2</f>
        <v>10</v>
      </c>
      <c r="U31" s="250">
        <f>3+2</f>
        <v>5</v>
      </c>
      <c r="V31" s="75"/>
      <c r="W31" s="230"/>
      <c r="X31" s="228"/>
      <c r="Y31" s="229">
        <f t="shared" si="4"/>
        <v>0</v>
      </c>
      <c r="Z31" s="229"/>
      <c r="AA31" s="229">
        <f t="shared" si="5"/>
        <v>0</v>
      </c>
      <c r="AB31" s="42"/>
      <c r="AC31" s="42"/>
      <c r="AD31" s="42"/>
      <c r="AE31" s="50" t="s">
        <v>54</v>
      </c>
      <c r="AF31" s="43" t="s">
        <v>41</v>
      </c>
    </row>
    <row r="32" spans="3:32" s="28" customFormat="1" ht="16.2" thickBot="1">
      <c r="C32" s="68" t="s">
        <v>55</v>
      </c>
      <c r="D32" s="69" t="s">
        <v>56</v>
      </c>
      <c r="E32" s="70"/>
      <c r="F32" s="71">
        <v>5</v>
      </c>
      <c r="G32" s="71">
        <f>5+1</f>
        <v>6</v>
      </c>
      <c r="H32" s="71">
        <f>1+1</f>
        <v>2</v>
      </c>
      <c r="I32" s="45">
        <f t="shared" si="6"/>
        <v>13</v>
      </c>
      <c r="J32" s="25" t="b">
        <f t="shared" si="0"/>
        <v>1</v>
      </c>
      <c r="K32" s="33" t="e">
        <f>I32-#REF!</f>
        <v>#REF!</v>
      </c>
      <c r="L32" s="222"/>
      <c r="M32" s="247" t="s">
        <v>55</v>
      </c>
      <c r="N32" s="248" t="s">
        <v>56</v>
      </c>
      <c r="O32" s="222"/>
      <c r="P32" s="247" t="s">
        <v>55</v>
      </c>
      <c r="Q32" s="248" t="s">
        <v>56</v>
      </c>
      <c r="R32" s="249"/>
      <c r="S32" s="250">
        <v>5</v>
      </c>
      <c r="T32" s="250">
        <f>5+1</f>
        <v>6</v>
      </c>
      <c r="U32" s="250">
        <f>1+1</f>
        <v>2</v>
      </c>
      <c r="V32" s="75"/>
      <c r="W32" s="230"/>
      <c r="X32" s="228"/>
      <c r="Y32" s="229">
        <f t="shared" si="4"/>
        <v>0</v>
      </c>
      <c r="Z32" s="229"/>
      <c r="AA32" s="229">
        <f t="shared" si="5"/>
        <v>0</v>
      </c>
      <c r="AB32" s="42"/>
      <c r="AC32" s="42"/>
      <c r="AD32" s="42"/>
      <c r="AE32" s="50" t="s">
        <v>57</v>
      </c>
      <c r="AF32" s="43" t="s">
        <v>41</v>
      </c>
    </row>
    <row r="33" spans="3:32" s="28" customFormat="1" ht="47.4" thickBot="1">
      <c r="C33" s="72" t="s">
        <v>58</v>
      </c>
      <c r="D33" s="73" t="s">
        <v>59</v>
      </c>
      <c r="E33" s="74"/>
      <c r="F33" s="74">
        <f>F23/0.2</f>
        <v>17.599999999999998</v>
      </c>
      <c r="G33" s="74">
        <f>G23/0.2</f>
        <v>20.350000000000001</v>
      </c>
      <c r="H33" s="74">
        <f>H23/0.2</f>
        <v>9.6999999999999993</v>
      </c>
      <c r="I33" s="75">
        <f t="shared" si="6"/>
        <v>47.650000000000006</v>
      </c>
      <c r="J33" s="25" t="b">
        <f t="shared" si="0"/>
        <v>1</v>
      </c>
      <c r="K33" s="33" t="e">
        <f>I33-#REF!</f>
        <v>#REF!</v>
      </c>
      <c r="L33" s="222"/>
      <c r="M33" s="72" t="s">
        <v>58</v>
      </c>
      <c r="N33" s="73" t="s">
        <v>59</v>
      </c>
      <c r="O33" s="222"/>
      <c r="P33" s="251"/>
      <c r="Q33" s="73"/>
      <c r="R33" s="74"/>
      <c r="S33" s="252">
        <f>S23/0.2</f>
        <v>17.599999999999998</v>
      </c>
      <c r="T33" s="252">
        <f>T23/0.2</f>
        <v>20.350000000000001</v>
      </c>
      <c r="U33" s="252">
        <f>U23/0.2</f>
        <v>9.6999999999999993</v>
      </c>
      <c r="V33" s="75"/>
      <c r="W33" s="230"/>
      <c r="X33" s="228"/>
      <c r="Y33" s="229">
        <f t="shared" si="4"/>
        <v>0</v>
      </c>
      <c r="Z33" s="229"/>
      <c r="AA33" s="229">
        <f>Y33+Z33</f>
        <v>0</v>
      </c>
      <c r="AB33" s="42"/>
      <c r="AC33" s="42"/>
      <c r="AD33" s="42"/>
      <c r="AE33" s="50"/>
      <c r="AF33" s="43"/>
    </row>
    <row r="34" spans="3:32" s="28" customFormat="1" ht="16.2" hidden="1" outlineLevel="1" thickBot="1">
      <c r="C34" s="77" t="s">
        <v>60</v>
      </c>
      <c r="D34" s="78" t="s">
        <v>43</v>
      </c>
      <c r="E34" s="79">
        <v>0.03</v>
      </c>
      <c r="F34" s="74">
        <f>E34*F33</f>
        <v>0.52799999999999991</v>
      </c>
      <c r="G34" s="74">
        <f>E34*G33</f>
        <v>0.61050000000000004</v>
      </c>
      <c r="H34" s="74">
        <f>H33*E34</f>
        <v>0.29099999999999998</v>
      </c>
      <c r="I34" s="80">
        <f t="shared" si="6"/>
        <v>1.4295</v>
      </c>
      <c r="J34" s="25" t="b">
        <f t="shared" si="0"/>
        <v>1</v>
      </c>
      <c r="K34" s="33" t="e">
        <f>I34-#REF!</f>
        <v>#REF!</v>
      </c>
      <c r="L34" s="222"/>
      <c r="M34" s="253" t="s">
        <v>60</v>
      </c>
      <c r="N34" s="254" t="s">
        <v>43</v>
      </c>
      <c r="O34" s="222"/>
      <c r="P34" s="251"/>
      <c r="Q34" s="73"/>
      <c r="R34" s="74"/>
      <c r="S34" s="155"/>
      <c r="T34" s="155"/>
      <c r="U34" s="155"/>
      <c r="V34" s="75"/>
      <c r="W34" s="230"/>
      <c r="X34" s="228"/>
      <c r="Y34" s="229"/>
      <c r="Z34" s="229"/>
      <c r="AA34" s="229"/>
      <c r="AB34" s="42"/>
      <c r="AC34" s="42"/>
      <c r="AD34" s="42"/>
      <c r="AE34" s="50"/>
      <c r="AF34" s="43"/>
    </row>
    <row r="35" spans="3:32" s="28" customFormat="1" ht="16.2" hidden="1" outlineLevel="1" thickBot="1">
      <c r="C35" s="77" t="s">
        <v>61</v>
      </c>
      <c r="D35" s="78" t="s">
        <v>43</v>
      </c>
      <c r="E35" s="79">
        <v>0.14199999999999999</v>
      </c>
      <c r="F35" s="74">
        <f>E35*F33</f>
        <v>2.4991999999999996</v>
      </c>
      <c r="G35" s="74">
        <f>E35*G33</f>
        <v>2.8896999999999999</v>
      </c>
      <c r="H35" s="74">
        <f>E35*H33</f>
        <v>1.3773999999999997</v>
      </c>
      <c r="I35" s="80">
        <f t="shared" si="6"/>
        <v>6.7662999999999993</v>
      </c>
      <c r="J35" s="25" t="b">
        <f t="shared" si="0"/>
        <v>1</v>
      </c>
      <c r="K35" s="33" t="e">
        <f>I35-#REF!</f>
        <v>#REF!</v>
      </c>
      <c r="L35" s="222"/>
      <c r="M35" s="253" t="s">
        <v>61</v>
      </c>
      <c r="N35" s="254" t="s">
        <v>43</v>
      </c>
      <c r="O35" s="222"/>
      <c r="P35" s="251"/>
      <c r="Q35" s="73"/>
      <c r="R35" s="74"/>
      <c r="S35" s="155"/>
      <c r="T35" s="155"/>
      <c r="U35" s="155"/>
      <c r="V35" s="75"/>
      <c r="W35" s="230"/>
      <c r="X35" s="228"/>
      <c r="Y35" s="229"/>
      <c r="Z35" s="229"/>
      <c r="AA35" s="229"/>
      <c r="AB35" s="42"/>
      <c r="AC35" s="42"/>
      <c r="AD35" s="42"/>
      <c r="AE35" s="50"/>
      <c r="AF35" s="43"/>
    </row>
    <row r="36" spans="3:32" s="28" customFormat="1" ht="16.2" hidden="1" outlineLevel="1" thickBot="1">
      <c r="C36" s="77" t="s">
        <v>62</v>
      </c>
      <c r="D36" s="78" t="s">
        <v>63</v>
      </c>
      <c r="E36" s="79">
        <v>1.1000000000000001</v>
      </c>
      <c r="F36" s="74">
        <f>E36*F33</f>
        <v>19.36</v>
      </c>
      <c r="G36" s="74">
        <f>E36*G33</f>
        <v>22.385000000000005</v>
      </c>
      <c r="H36" s="74">
        <f>E36*H33</f>
        <v>10.67</v>
      </c>
      <c r="I36" s="80">
        <f t="shared" si="6"/>
        <v>52.415000000000006</v>
      </c>
      <c r="J36" s="25" t="b">
        <f t="shared" si="0"/>
        <v>1</v>
      </c>
      <c r="K36" s="33" t="e">
        <f>I36-#REF!</f>
        <v>#REF!</v>
      </c>
      <c r="L36" s="222"/>
      <c r="M36" s="253" t="s">
        <v>62</v>
      </c>
      <c r="N36" s="254" t="s">
        <v>63</v>
      </c>
      <c r="O36" s="222"/>
      <c r="P36" s="251"/>
      <c r="Q36" s="73"/>
      <c r="R36" s="74"/>
      <c r="S36" s="155"/>
      <c r="T36" s="155"/>
      <c r="U36" s="155"/>
      <c r="V36" s="75"/>
      <c r="W36" s="230"/>
      <c r="X36" s="228"/>
      <c r="Y36" s="229"/>
      <c r="Z36" s="229"/>
      <c r="AA36" s="229"/>
      <c r="AB36" s="42"/>
      <c r="AC36" s="42"/>
      <c r="AD36" s="42"/>
      <c r="AE36" s="50"/>
      <c r="AF36" s="43"/>
    </row>
    <row r="37" spans="3:32" s="28" customFormat="1" ht="47.4" collapsed="1" thickBot="1">
      <c r="C37" s="37" t="s">
        <v>64</v>
      </c>
      <c r="D37" s="38"/>
      <c r="E37" s="39"/>
      <c r="F37" s="39"/>
      <c r="G37" s="40"/>
      <c r="H37" s="40"/>
      <c r="I37" s="45"/>
      <c r="J37" s="25" t="b">
        <f t="shared" si="0"/>
        <v>1</v>
      </c>
      <c r="K37" s="33" t="e">
        <f>I37-#REF!</f>
        <v>#REF!</v>
      </c>
      <c r="L37" s="222"/>
      <c r="M37" s="223" t="s">
        <v>64</v>
      </c>
      <c r="N37" s="224"/>
      <c r="O37" s="222"/>
      <c r="P37" s="223" t="s">
        <v>64</v>
      </c>
      <c r="Q37" s="224"/>
      <c r="R37" s="225"/>
      <c r="S37" s="225"/>
      <c r="T37" s="226"/>
      <c r="U37" s="226"/>
      <c r="V37" s="226"/>
      <c r="W37" s="230"/>
      <c r="X37" s="228"/>
      <c r="Y37" s="229"/>
      <c r="Z37" s="229"/>
      <c r="AA37" s="229"/>
      <c r="AB37" s="42"/>
      <c r="AC37" s="42"/>
      <c r="AD37" s="42"/>
      <c r="AE37" s="50"/>
      <c r="AF37" s="43"/>
    </row>
    <row r="38" spans="3:32" s="28" customFormat="1" ht="31.8" thickBot="1">
      <c r="C38" s="68" t="s">
        <v>65</v>
      </c>
      <c r="D38" s="38" t="s">
        <v>66</v>
      </c>
      <c r="E38" s="39"/>
      <c r="F38" s="40">
        <v>15</v>
      </c>
      <c r="G38" s="40">
        <v>12</v>
      </c>
      <c r="H38" s="40">
        <v>12</v>
      </c>
      <c r="I38" s="45">
        <f t="shared" si="6"/>
        <v>39</v>
      </c>
      <c r="J38" s="25" t="b">
        <f t="shared" si="0"/>
        <v>1</v>
      </c>
      <c r="K38" s="33" t="e">
        <f>I38-#REF!</f>
        <v>#REF!</v>
      </c>
      <c r="L38" s="222"/>
      <c r="M38" s="247" t="s">
        <v>65</v>
      </c>
      <c r="N38" s="224" t="s">
        <v>66</v>
      </c>
      <c r="O38" s="222"/>
      <c r="P38" s="247" t="s">
        <v>65</v>
      </c>
      <c r="Q38" s="224" t="s">
        <v>66</v>
      </c>
      <c r="R38" s="225"/>
      <c r="S38" s="226">
        <v>15</v>
      </c>
      <c r="T38" s="226">
        <v>12</v>
      </c>
      <c r="U38" s="226">
        <v>12</v>
      </c>
      <c r="V38" s="75"/>
      <c r="W38" s="230"/>
      <c r="X38" s="228"/>
      <c r="Y38" s="229">
        <f>V38*W38</f>
        <v>0</v>
      </c>
      <c r="Z38" s="229"/>
      <c r="AA38" s="229">
        <f>Y38+Z38</f>
        <v>0</v>
      </c>
      <c r="AB38" s="42"/>
      <c r="AC38" s="42"/>
      <c r="AD38" s="42"/>
      <c r="AE38" s="81" t="s">
        <v>67</v>
      </c>
      <c r="AF38" s="43" t="s">
        <v>41</v>
      </c>
    </row>
    <row r="39" spans="3:32" s="16" customFormat="1" ht="16.2" thickBot="1">
      <c r="C39" s="82" t="s">
        <v>68</v>
      </c>
      <c r="D39" s="83"/>
      <c r="E39" s="84"/>
      <c r="F39" s="84"/>
      <c r="G39" s="84"/>
      <c r="H39" s="84"/>
      <c r="I39" s="84"/>
      <c r="J39" s="25" t="b">
        <f t="shared" si="0"/>
        <v>1</v>
      </c>
      <c r="K39" s="33" t="e">
        <f>I39-#REF!</f>
        <v>#REF!</v>
      </c>
      <c r="L39" s="255"/>
      <c r="M39" s="223" t="s">
        <v>68</v>
      </c>
      <c r="N39" s="256"/>
      <c r="O39" s="255"/>
      <c r="P39" s="223" t="s">
        <v>68</v>
      </c>
      <c r="Q39" s="256"/>
      <c r="R39" s="257"/>
      <c r="S39" s="257"/>
      <c r="T39" s="257"/>
      <c r="U39" s="257"/>
      <c r="V39" s="257"/>
      <c r="W39" s="257"/>
      <c r="X39" s="257"/>
      <c r="Y39" s="257"/>
      <c r="Z39" s="257"/>
      <c r="AA39" s="221"/>
      <c r="AB39" s="42"/>
      <c r="AC39" s="42"/>
      <c r="AD39" s="42"/>
      <c r="AE39" s="85"/>
      <c r="AF39" s="86"/>
    </row>
    <row r="40" spans="3:32" s="28" customFormat="1" ht="16.2" thickBot="1">
      <c r="C40" s="29" t="s">
        <v>15</v>
      </c>
      <c r="D40" s="30"/>
      <c r="E40" s="31"/>
      <c r="F40" s="31"/>
      <c r="G40" s="32"/>
      <c r="H40" s="32"/>
      <c r="I40" s="32"/>
      <c r="J40" s="25" t="b">
        <f t="shared" si="0"/>
        <v>1</v>
      </c>
      <c r="K40" s="33" t="e">
        <f>I40-#REF!</f>
        <v>#REF!</v>
      </c>
      <c r="L40" s="222"/>
      <c r="M40" s="223" t="s">
        <v>15</v>
      </c>
      <c r="N40" s="224"/>
      <c r="O40" s="222"/>
      <c r="P40" s="223" t="s">
        <v>15</v>
      </c>
      <c r="Q40" s="224"/>
      <c r="R40" s="225"/>
      <c r="S40" s="225"/>
      <c r="T40" s="226"/>
      <c r="U40" s="226"/>
      <c r="V40" s="226"/>
      <c r="W40" s="237"/>
      <c r="X40" s="228"/>
      <c r="Y40" s="229"/>
      <c r="Z40" s="229"/>
      <c r="AA40" s="229"/>
      <c r="AB40" s="42"/>
      <c r="AC40" s="42"/>
      <c r="AD40" s="42"/>
      <c r="AE40" s="87"/>
      <c r="AF40" s="36"/>
    </row>
    <row r="41" spans="3:32" s="28" customFormat="1" ht="16.2" thickBot="1">
      <c r="C41" s="37" t="s">
        <v>69</v>
      </c>
      <c r="D41" s="38"/>
      <c r="E41" s="39"/>
      <c r="F41" s="39"/>
      <c r="G41" s="40"/>
      <c r="H41" s="40"/>
      <c r="I41" s="40"/>
      <c r="J41" s="25" t="b">
        <f t="shared" si="0"/>
        <v>1</v>
      </c>
      <c r="K41" s="33" t="e">
        <f>I41-#REF!</f>
        <v>#REF!</v>
      </c>
      <c r="L41" s="222"/>
      <c r="M41" s="223" t="s">
        <v>69</v>
      </c>
      <c r="N41" s="224"/>
      <c r="O41" s="222"/>
      <c r="P41" s="223" t="s">
        <v>69</v>
      </c>
      <c r="Q41" s="224"/>
      <c r="R41" s="225"/>
      <c r="S41" s="225"/>
      <c r="T41" s="226"/>
      <c r="U41" s="226"/>
      <c r="V41" s="226"/>
      <c r="W41" s="237"/>
      <c r="X41" s="228"/>
      <c r="Y41" s="229"/>
      <c r="Z41" s="229"/>
      <c r="AA41" s="229"/>
      <c r="AB41" s="42"/>
      <c r="AC41" s="42"/>
      <c r="AD41" s="42"/>
      <c r="AE41" s="50"/>
      <c r="AF41" s="43"/>
    </row>
    <row r="42" spans="3:32" s="28" customFormat="1" ht="31.8" thickBot="1">
      <c r="C42" s="44" t="s">
        <v>70</v>
      </c>
      <c r="D42" s="38" t="s">
        <v>24</v>
      </c>
      <c r="E42" s="88"/>
      <c r="F42" s="89">
        <v>30</v>
      </c>
      <c r="G42" s="90">
        <v>128</v>
      </c>
      <c r="H42" s="40"/>
      <c r="I42" s="91">
        <f t="shared" ref="I42:I58" si="7">SUM(F42:H42)</f>
        <v>158</v>
      </c>
      <c r="J42" s="25" t="b">
        <f t="shared" si="0"/>
        <v>1</v>
      </c>
      <c r="K42" s="33" t="e">
        <f>I42-#REF!</f>
        <v>#REF!</v>
      </c>
      <c r="L42" s="222" t="s">
        <v>71</v>
      </c>
      <c r="M42" s="72" t="s">
        <v>70</v>
      </c>
      <c r="N42" s="224" t="s">
        <v>24</v>
      </c>
      <c r="O42" s="222"/>
      <c r="P42" s="72" t="s">
        <v>72</v>
      </c>
      <c r="Q42" s="224" t="s">
        <v>24</v>
      </c>
      <c r="R42" s="258"/>
      <c r="S42" s="259">
        <v>30</v>
      </c>
      <c r="T42" s="260">
        <v>128</v>
      </c>
      <c r="U42" s="226"/>
      <c r="V42" s="261"/>
      <c r="W42" s="230"/>
      <c r="X42" s="228"/>
      <c r="Y42" s="229">
        <f t="shared" ref="Y42:Y58" si="8">V42*W42</f>
        <v>0</v>
      </c>
      <c r="Z42" s="229"/>
      <c r="AA42" s="229">
        <f t="shared" ref="AA42:AA58" si="9">Y42+Z42</f>
        <v>0</v>
      </c>
      <c r="AB42" s="42">
        <f>3.14*0.025*0.025*0.2*V42*1.5</f>
        <v>0</v>
      </c>
      <c r="AC42" s="42"/>
      <c r="AD42" s="42"/>
      <c r="AE42" s="50" t="s">
        <v>26</v>
      </c>
      <c r="AF42" s="43"/>
    </row>
    <row r="43" spans="3:32" s="28" customFormat="1" ht="31.8" thickBot="1">
      <c r="C43" s="44" t="s">
        <v>73</v>
      </c>
      <c r="D43" s="38" t="s">
        <v>24</v>
      </c>
      <c r="E43" s="88"/>
      <c r="F43" s="89">
        <v>24</v>
      </c>
      <c r="G43" s="90">
        <v>69</v>
      </c>
      <c r="H43" s="40"/>
      <c r="I43" s="91">
        <f t="shared" si="7"/>
        <v>93</v>
      </c>
      <c r="J43" s="25" t="b">
        <f t="shared" si="0"/>
        <v>1</v>
      </c>
      <c r="K43" s="33" t="e">
        <f>I43-#REF!</f>
        <v>#REF!</v>
      </c>
      <c r="L43" s="222" t="s">
        <v>74</v>
      </c>
      <c r="M43" s="72" t="s">
        <v>73</v>
      </c>
      <c r="N43" s="224" t="s">
        <v>24</v>
      </c>
      <c r="O43" s="222"/>
      <c r="P43" s="72" t="s">
        <v>75</v>
      </c>
      <c r="Q43" s="224" t="s">
        <v>24</v>
      </c>
      <c r="R43" s="258"/>
      <c r="S43" s="259">
        <v>24</v>
      </c>
      <c r="T43" s="260">
        <v>69</v>
      </c>
      <c r="U43" s="226"/>
      <c r="V43" s="261"/>
      <c r="W43" s="230"/>
      <c r="X43" s="228"/>
      <c r="Y43" s="229">
        <f t="shared" si="8"/>
        <v>0</v>
      </c>
      <c r="Z43" s="229"/>
      <c r="AA43" s="229">
        <f t="shared" si="9"/>
        <v>0</v>
      </c>
      <c r="AB43" s="42">
        <f>3.14*0.025*0.025*0.2*V43*1.5</f>
        <v>0</v>
      </c>
      <c r="AC43" s="42"/>
      <c r="AD43" s="42"/>
      <c r="AE43" s="50" t="s">
        <v>26</v>
      </c>
      <c r="AF43" s="43"/>
    </row>
    <row r="44" spans="3:32" s="28" customFormat="1" ht="31.8" thickBot="1">
      <c r="C44" s="44" t="s">
        <v>76</v>
      </c>
      <c r="D44" s="38" t="s">
        <v>24</v>
      </c>
      <c r="E44" s="88"/>
      <c r="F44" s="89">
        <v>15</v>
      </c>
      <c r="G44" s="90">
        <v>21</v>
      </c>
      <c r="H44" s="40"/>
      <c r="I44" s="91">
        <f t="shared" si="7"/>
        <v>36</v>
      </c>
      <c r="J44" s="25" t="b">
        <f t="shared" si="0"/>
        <v>1</v>
      </c>
      <c r="K44" s="33" t="e">
        <f>I44-#REF!</f>
        <v>#REF!</v>
      </c>
      <c r="L44" s="222"/>
      <c r="M44" s="72" t="s">
        <v>76</v>
      </c>
      <c r="N44" s="224" t="s">
        <v>24</v>
      </c>
      <c r="O44" s="222"/>
      <c r="P44" s="72"/>
      <c r="Q44" s="224"/>
      <c r="R44" s="258"/>
      <c r="S44" s="259">
        <v>15</v>
      </c>
      <c r="T44" s="260">
        <v>21</v>
      </c>
      <c r="U44" s="226"/>
      <c r="V44" s="261"/>
      <c r="W44" s="230"/>
      <c r="X44" s="228"/>
      <c r="Y44" s="229">
        <f t="shared" si="8"/>
        <v>0</v>
      </c>
      <c r="Z44" s="229"/>
      <c r="AA44" s="229">
        <f t="shared" si="9"/>
        <v>0</v>
      </c>
      <c r="AB44" s="42"/>
      <c r="AC44" s="42"/>
      <c r="AD44" s="42"/>
      <c r="AE44" s="50"/>
      <c r="AF44" s="43"/>
    </row>
    <row r="45" spans="3:32" s="28" customFormat="1" ht="31.8" thickBot="1">
      <c r="C45" s="44" t="s">
        <v>77</v>
      </c>
      <c r="D45" s="38" t="s">
        <v>24</v>
      </c>
      <c r="E45" s="88"/>
      <c r="F45" s="89">
        <v>37</v>
      </c>
      <c r="G45" s="90">
        <v>108</v>
      </c>
      <c r="H45" s="40"/>
      <c r="I45" s="91">
        <f t="shared" si="7"/>
        <v>145</v>
      </c>
      <c r="J45" s="25" t="b">
        <f t="shared" si="0"/>
        <v>1</v>
      </c>
      <c r="K45" s="33" t="e">
        <f>I45-#REF!</f>
        <v>#REF!</v>
      </c>
      <c r="L45" s="222" t="s">
        <v>78</v>
      </c>
      <c r="M45" s="72" t="s">
        <v>77</v>
      </c>
      <c r="N45" s="224" t="s">
        <v>24</v>
      </c>
      <c r="O45" s="222"/>
      <c r="P45" s="72" t="s">
        <v>79</v>
      </c>
      <c r="Q45" s="224" t="s">
        <v>24</v>
      </c>
      <c r="R45" s="258"/>
      <c r="S45" s="259">
        <v>37</v>
      </c>
      <c r="T45" s="260">
        <v>108</v>
      </c>
      <c r="U45" s="226"/>
      <c r="V45" s="261"/>
      <c r="W45" s="230"/>
      <c r="X45" s="228"/>
      <c r="Y45" s="229">
        <f t="shared" si="8"/>
        <v>0</v>
      </c>
      <c r="Z45" s="229"/>
      <c r="AA45" s="229">
        <f t="shared" si="9"/>
        <v>0</v>
      </c>
      <c r="AB45" s="42">
        <f>3.14*0.04*0.04*0.2*V45*1.5</f>
        <v>0</v>
      </c>
      <c r="AC45" s="42"/>
      <c r="AD45" s="42"/>
      <c r="AE45" s="50" t="s">
        <v>26</v>
      </c>
      <c r="AF45" s="43"/>
    </row>
    <row r="46" spans="3:32" s="28" customFormat="1" ht="31.8" thickBot="1">
      <c r="C46" s="92" t="s">
        <v>80</v>
      </c>
      <c r="D46" s="93" t="s">
        <v>24</v>
      </c>
      <c r="E46" s="94"/>
      <c r="F46" s="95">
        <v>52</v>
      </c>
      <c r="G46" s="90">
        <v>136</v>
      </c>
      <c r="H46" s="40"/>
      <c r="I46" s="91">
        <f>SUM(F46:H46)</f>
        <v>188</v>
      </c>
      <c r="J46" s="25" t="b">
        <f t="shared" si="0"/>
        <v>1</v>
      </c>
      <c r="K46" s="33" t="e">
        <f>I46-#REF!</f>
        <v>#REF!</v>
      </c>
      <c r="L46" s="222" t="s">
        <v>81</v>
      </c>
      <c r="M46" s="72" t="s">
        <v>80</v>
      </c>
      <c r="N46" s="224" t="s">
        <v>24</v>
      </c>
      <c r="O46" s="222"/>
      <c r="P46" s="72"/>
      <c r="Q46" s="224"/>
      <c r="R46" s="258"/>
      <c r="S46" s="262">
        <v>52</v>
      </c>
      <c r="T46" s="260">
        <v>136</v>
      </c>
      <c r="U46" s="226"/>
      <c r="V46" s="261"/>
      <c r="W46" s="230"/>
      <c r="X46" s="228"/>
      <c r="Y46" s="229">
        <f t="shared" si="8"/>
        <v>0</v>
      </c>
      <c r="Z46" s="229"/>
      <c r="AA46" s="229">
        <f t="shared" si="9"/>
        <v>0</v>
      </c>
      <c r="AB46" s="42"/>
      <c r="AC46" s="42"/>
      <c r="AD46" s="42"/>
      <c r="AE46" s="50"/>
      <c r="AF46" s="43"/>
    </row>
    <row r="47" spans="3:32" s="28" customFormat="1" ht="47.4" thickBot="1">
      <c r="C47" s="92" t="s">
        <v>82</v>
      </c>
      <c r="D47" s="93" t="s">
        <v>24</v>
      </c>
      <c r="E47" s="94"/>
      <c r="F47" s="95"/>
      <c r="G47" s="90">
        <v>44</v>
      </c>
      <c r="H47" s="90"/>
      <c r="I47" s="96">
        <f t="shared" si="7"/>
        <v>44</v>
      </c>
      <c r="J47" s="25" t="b">
        <f t="shared" si="0"/>
        <v>1</v>
      </c>
      <c r="K47" s="33" t="e">
        <f>I47-#REF!</f>
        <v>#REF!</v>
      </c>
      <c r="L47" s="222"/>
      <c r="M47" s="72" t="s">
        <v>82</v>
      </c>
      <c r="N47" s="224" t="s">
        <v>24</v>
      </c>
      <c r="O47" s="222"/>
      <c r="P47" s="72" t="s">
        <v>83</v>
      </c>
      <c r="Q47" s="224" t="s">
        <v>24</v>
      </c>
      <c r="R47" s="258"/>
      <c r="S47" s="262"/>
      <c r="T47" s="260">
        <v>44</v>
      </c>
      <c r="U47" s="226"/>
      <c r="V47" s="261"/>
      <c r="W47" s="230"/>
      <c r="X47" s="228"/>
      <c r="Y47" s="229">
        <f t="shared" si="8"/>
        <v>0</v>
      </c>
      <c r="Z47" s="229"/>
      <c r="AA47" s="229">
        <f t="shared" si="9"/>
        <v>0</v>
      </c>
      <c r="AB47" s="42">
        <f>3.14*0.05*0.05*0.2*V47*1.5</f>
        <v>0</v>
      </c>
      <c r="AC47" s="42"/>
      <c r="AD47" s="42"/>
      <c r="AE47" s="50"/>
      <c r="AF47" s="43" t="s">
        <v>84</v>
      </c>
    </row>
    <row r="48" spans="3:32" s="28" customFormat="1" ht="16.2" thickBot="1">
      <c r="C48" s="44" t="s">
        <v>85</v>
      </c>
      <c r="D48" s="38" t="s">
        <v>24</v>
      </c>
      <c r="E48" s="40"/>
      <c r="F48" s="40">
        <v>14</v>
      </c>
      <c r="G48" s="40">
        <v>34</v>
      </c>
      <c r="H48" s="40"/>
      <c r="I48" s="91">
        <f t="shared" si="7"/>
        <v>48</v>
      </c>
      <c r="J48" s="25" t="b">
        <f t="shared" si="0"/>
        <v>1</v>
      </c>
      <c r="K48" s="33" t="e">
        <f>I48-#REF!</f>
        <v>#REF!</v>
      </c>
      <c r="L48" s="222"/>
      <c r="M48" s="72" t="s">
        <v>85</v>
      </c>
      <c r="N48" s="224" t="s">
        <v>24</v>
      </c>
      <c r="O48" s="222"/>
      <c r="P48" s="72" t="s">
        <v>85</v>
      </c>
      <c r="Q48" s="224" t="s">
        <v>24</v>
      </c>
      <c r="R48" s="226"/>
      <c r="S48" s="226">
        <v>14</v>
      </c>
      <c r="T48" s="226">
        <v>34</v>
      </c>
      <c r="U48" s="226"/>
      <c r="V48" s="261"/>
      <c r="W48" s="230"/>
      <c r="X48" s="228"/>
      <c r="Y48" s="229">
        <f t="shared" si="8"/>
        <v>0</v>
      </c>
      <c r="Z48" s="229"/>
      <c r="AA48" s="229">
        <f t="shared" si="9"/>
        <v>0</v>
      </c>
      <c r="AB48" s="42"/>
      <c r="AC48" s="42"/>
      <c r="AD48" s="42"/>
      <c r="AE48" s="97" t="s">
        <v>86</v>
      </c>
      <c r="AF48" s="43" t="s">
        <v>87</v>
      </c>
    </row>
    <row r="49" spans="3:32" s="28" customFormat="1" ht="16.2" thickBot="1">
      <c r="C49" s="92" t="s">
        <v>88</v>
      </c>
      <c r="D49" s="93" t="s">
        <v>24</v>
      </c>
      <c r="E49" s="90"/>
      <c r="F49" s="90"/>
      <c r="G49" s="90">
        <v>44</v>
      </c>
      <c r="H49" s="90"/>
      <c r="I49" s="91">
        <f t="shared" si="7"/>
        <v>44</v>
      </c>
      <c r="J49" s="25" t="b">
        <f t="shared" si="0"/>
        <v>1</v>
      </c>
      <c r="K49" s="33" t="e">
        <f>I49-#REF!</f>
        <v>#REF!</v>
      </c>
      <c r="L49" s="222"/>
      <c r="M49" s="72" t="s">
        <v>88</v>
      </c>
      <c r="N49" s="224" t="s">
        <v>24</v>
      </c>
      <c r="O49" s="222"/>
      <c r="P49" s="72"/>
      <c r="Q49" s="224"/>
      <c r="R49" s="226"/>
      <c r="S49" s="260"/>
      <c r="T49" s="260">
        <v>44</v>
      </c>
      <c r="U49" s="226"/>
      <c r="V49" s="261"/>
      <c r="W49" s="230"/>
      <c r="X49" s="228"/>
      <c r="Y49" s="229">
        <f t="shared" si="8"/>
        <v>0</v>
      </c>
      <c r="Z49" s="229"/>
      <c r="AA49" s="229">
        <f t="shared" si="9"/>
        <v>0</v>
      </c>
      <c r="AB49" s="42"/>
      <c r="AC49" s="42"/>
      <c r="AD49" s="42"/>
      <c r="AE49" s="97" t="s">
        <v>86</v>
      </c>
      <c r="AF49" s="43"/>
    </row>
    <row r="50" spans="3:32" s="28" customFormat="1" ht="16.2" thickBot="1">
      <c r="C50" s="44" t="s">
        <v>89</v>
      </c>
      <c r="D50" s="38" t="s">
        <v>90</v>
      </c>
      <c r="E50" s="40"/>
      <c r="F50" s="40">
        <v>14</v>
      </c>
      <c r="G50" s="40">
        <v>34</v>
      </c>
      <c r="H50" s="40"/>
      <c r="I50" s="91">
        <f t="shared" si="7"/>
        <v>48</v>
      </c>
      <c r="J50" s="25" t="b">
        <f t="shared" si="0"/>
        <v>1</v>
      </c>
      <c r="K50" s="33" t="e">
        <f>I50-#REF!</f>
        <v>#REF!</v>
      </c>
      <c r="L50" s="261"/>
      <c r="M50" s="72" t="s">
        <v>89</v>
      </c>
      <c r="N50" s="224" t="s">
        <v>90</v>
      </c>
      <c r="O50" s="222"/>
      <c r="P50" s="72" t="s">
        <v>89</v>
      </c>
      <c r="Q50" s="224" t="s">
        <v>90</v>
      </c>
      <c r="R50" s="226"/>
      <c r="S50" s="226">
        <v>14</v>
      </c>
      <c r="T50" s="226">
        <v>34</v>
      </c>
      <c r="U50" s="226"/>
      <c r="V50" s="261"/>
      <c r="W50" s="230"/>
      <c r="X50" s="228"/>
      <c r="Y50" s="229">
        <f t="shared" si="8"/>
        <v>0</v>
      </c>
      <c r="Z50" s="229"/>
      <c r="AA50" s="229">
        <f t="shared" si="9"/>
        <v>0</v>
      </c>
      <c r="AB50" s="42"/>
      <c r="AC50" s="42"/>
      <c r="AD50" s="42"/>
      <c r="AE50" s="97" t="s">
        <v>91</v>
      </c>
      <c r="AF50" s="43" t="s">
        <v>92</v>
      </c>
    </row>
    <row r="51" spans="3:32" s="28" customFormat="1" ht="16.2" thickBot="1">
      <c r="C51" s="37" t="s">
        <v>93</v>
      </c>
      <c r="D51" s="38"/>
      <c r="E51" s="40"/>
      <c r="F51" s="40"/>
      <c r="G51" s="40"/>
      <c r="H51" s="40"/>
      <c r="I51" s="91"/>
      <c r="J51" s="25" t="b">
        <f t="shared" si="0"/>
        <v>1</v>
      </c>
      <c r="K51" s="33" t="e">
        <f>I51-#REF!</f>
        <v>#REF!</v>
      </c>
      <c r="L51" s="261"/>
      <c r="M51" s="223" t="s">
        <v>93</v>
      </c>
      <c r="N51" s="224"/>
      <c r="O51" s="222"/>
      <c r="P51" s="223" t="s">
        <v>93</v>
      </c>
      <c r="Q51" s="224"/>
      <c r="R51" s="226"/>
      <c r="S51" s="226"/>
      <c r="T51" s="226"/>
      <c r="U51" s="226"/>
      <c r="V51" s="261"/>
      <c r="W51" s="230"/>
      <c r="X51" s="228"/>
      <c r="Y51" s="229">
        <f t="shared" si="8"/>
        <v>0</v>
      </c>
      <c r="Z51" s="229"/>
      <c r="AA51" s="229">
        <f t="shared" si="9"/>
        <v>0</v>
      </c>
      <c r="AB51" s="42"/>
      <c r="AC51" s="42"/>
      <c r="AD51" s="42"/>
      <c r="AE51" s="50"/>
      <c r="AF51" s="43"/>
    </row>
    <row r="52" spans="3:32" s="28" customFormat="1" ht="31.8" thickBot="1">
      <c r="C52" s="44" t="s">
        <v>94</v>
      </c>
      <c r="D52" s="38" t="s">
        <v>59</v>
      </c>
      <c r="E52" s="98"/>
      <c r="F52" s="95">
        <f>3.52*14</f>
        <v>49.28</v>
      </c>
      <c r="G52" s="95">
        <f>(8.37+8.302)*17</f>
        <v>283.42399999999998</v>
      </c>
      <c r="H52" s="40"/>
      <c r="I52" s="99">
        <f t="shared" si="7"/>
        <v>332.70399999999995</v>
      </c>
      <c r="J52" s="25" t="b">
        <f t="shared" si="0"/>
        <v>1</v>
      </c>
      <c r="K52" s="33" t="e">
        <f>I52-#REF!</f>
        <v>#REF!</v>
      </c>
      <c r="L52" s="261"/>
      <c r="M52" s="72" t="s">
        <v>94</v>
      </c>
      <c r="N52" s="224" t="s">
        <v>59</v>
      </c>
      <c r="O52" s="222"/>
      <c r="P52" s="72" t="s">
        <v>94</v>
      </c>
      <c r="Q52" s="224" t="s">
        <v>59</v>
      </c>
      <c r="R52" s="263"/>
      <c r="S52" s="262">
        <f>3.52*14</f>
        <v>49.28</v>
      </c>
      <c r="T52" s="262">
        <f>(8.37+8.302)*17</f>
        <v>283.42399999999998</v>
      </c>
      <c r="U52" s="226"/>
      <c r="V52" s="261"/>
      <c r="W52" s="230"/>
      <c r="X52" s="228"/>
      <c r="Y52" s="229">
        <f t="shared" si="8"/>
        <v>0</v>
      </c>
      <c r="Z52" s="229"/>
      <c r="AA52" s="229">
        <f t="shared" si="9"/>
        <v>0</v>
      </c>
      <c r="AB52" s="47">
        <f>V52*0.075*1.5</f>
        <v>0</v>
      </c>
      <c r="AC52" s="47"/>
      <c r="AD52" s="47"/>
      <c r="AE52" s="97" t="s">
        <v>95</v>
      </c>
      <c r="AF52" s="101">
        <v>141715</v>
      </c>
    </row>
    <row r="53" spans="3:32" s="28" customFormat="1" ht="31.8" thickBot="1">
      <c r="C53" s="92" t="s">
        <v>96</v>
      </c>
      <c r="D53" s="93" t="s">
        <v>18</v>
      </c>
      <c r="E53" s="98"/>
      <c r="F53" s="95">
        <f>13*3.5</f>
        <v>45.5</v>
      </c>
      <c r="G53" s="95">
        <f>(0+10)*17</f>
        <v>170</v>
      </c>
      <c r="H53" s="40"/>
      <c r="I53" s="99">
        <f>SUM(F53:H53)</f>
        <v>215.5</v>
      </c>
      <c r="J53" s="25" t="b">
        <f>C53=M53</f>
        <v>1</v>
      </c>
      <c r="K53" s="33" t="e">
        <f>I53-#REF!</f>
        <v>#REF!</v>
      </c>
      <c r="L53" s="261"/>
      <c r="M53" s="72" t="s">
        <v>96</v>
      </c>
      <c r="N53" s="224" t="s">
        <v>18</v>
      </c>
      <c r="O53" s="222"/>
      <c r="P53" s="72"/>
      <c r="Q53" s="224"/>
      <c r="R53" s="263"/>
      <c r="S53" s="262">
        <f>13*3.5</f>
        <v>45.5</v>
      </c>
      <c r="T53" s="262">
        <f>(0+10)*17</f>
        <v>170</v>
      </c>
      <c r="U53" s="226"/>
      <c r="V53" s="261"/>
      <c r="W53" s="230"/>
      <c r="X53" s="228"/>
      <c r="Y53" s="229">
        <f t="shared" si="8"/>
        <v>0</v>
      </c>
      <c r="Z53" s="229"/>
      <c r="AA53" s="229">
        <f t="shared" si="9"/>
        <v>0</v>
      </c>
      <c r="AB53" s="47"/>
      <c r="AC53" s="47"/>
      <c r="AD53" s="47"/>
      <c r="AE53" s="101" t="s">
        <v>97</v>
      </c>
      <c r="AF53" s="101"/>
    </row>
    <row r="54" spans="3:32" s="28" customFormat="1" ht="31.8" thickBot="1">
      <c r="C54" s="92" t="s">
        <v>98</v>
      </c>
      <c r="D54" s="94" t="s">
        <v>18</v>
      </c>
      <c r="E54" s="95"/>
      <c r="F54" s="95">
        <f>5*13</f>
        <v>65</v>
      </c>
      <c r="G54" s="95">
        <f>(5+5)*17</f>
        <v>170</v>
      </c>
      <c r="H54" s="40"/>
      <c r="I54" s="99">
        <f>SUM(F54:H54)</f>
        <v>235</v>
      </c>
      <c r="J54" s="25" t="b">
        <f>C54=M54</f>
        <v>1</v>
      </c>
      <c r="K54" s="33" t="e">
        <f>I54-#REF!</f>
        <v>#REF!</v>
      </c>
      <c r="L54" s="261"/>
      <c r="M54" s="72" t="s">
        <v>98</v>
      </c>
      <c r="N54" s="258" t="s">
        <v>18</v>
      </c>
      <c r="O54" s="222"/>
      <c r="P54" s="72"/>
      <c r="Q54" s="224"/>
      <c r="R54" s="263"/>
      <c r="S54" s="262">
        <f>5*13</f>
        <v>65</v>
      </c>
      <c r="T54" s="262">
        <f>(5+5)*17</f>
        <v>170</v>
      </c>
      <c r="U54" s="226"/>
      <c r="V54" s="261"/>
      <c r="W54" s="230"/>
      <c r="X54" s="228"/>
      <c r="Y54" s="229">
        <f t="shared" si="8"/>
        <v>0</v>
      </c>
      <c r="Z54" s="229"/>
      <c r="AA54" s="229">
        <f t="shared" si="9"/>
        <v>0</v>
      </c>
      <c r="AB54" s="47"/>
      <c r="AC54" s="47"/>
      <c r="AD54" s="47"/>
      <c r="AE54" s="101" t="s">
        <v>97</v>
      </c>
      <c r="AF54" s="101"/>
    </row>
    <row r="55" spans="3:32" s="28" customFormat="1" ht="31.8" thickBot="1">
      <c r="C55" s="92" t="s">
        <v>99</v>
      </c>
      <c r="D55" s="94" t="s">
        <v>18</v>
      </c>
      <c r="E55" s="95"/>
      <c r="F55" s="95">
        <f>6*13</f>
        <v>78</v>
      </c>
      <c r="G55" s="95">
        <f>(2+2)*13</f>
        <v>52</v>
      </c>
      <c r="H55" s="40"/>
      <c r="I55" s="99">
        <f>SUM(F55:H55)</f>
        <v>130</v>
      </c>
      <c r="J55" s="25" t="b">
        <f>C55=M55</f>
        <v>1</v>
      </c>
      <c r="K55" s="33" t="e">
        <f>I55-#REF!</f>
        <v>#REF!</v>
      </c>
      <c r="L55" s="261"/>
      <c r="M55" s="72" t="s">
        <v>99</v>
      </c>
      <c r="N55" s="258" t="s">
        <v>18</v>
      </c>
      <c r="O55" s="222"/>
      <c r="P55" s="72"/>
      <c r="Q55" s="224"/>
      <c r="R55" s="263"/>
      <c r="S55" s="262">
        <f>6*13</f>
        <v>78</v>
      </c>
      <c r="T55" s="262">
        <f>(2+2)*13</f>
        <v>52</v>
      </c>
      <c r="U55" s="226"/>
      <c r="V55" s="261"/>
      <c r="W55" s="230"/>
      <c r="X55" s="228"/>
      <c r="Y55" s="229">
        <f t="shared" si="8"/>
        <v>0</v>
      </c>
      <c r="Z55" s="229"/>
      <c r="AA55" s="229">
        <f t="shared" si="9"/>
        <v>0</v>
      </c>
      <c r="AB55" s="47"/>
      <c r="AC55" s="47"/>
      <c r="AD55" s="47"/>
      <c r="AE55" s="97" t="s">
        <v>100</v>
      </c>
      <c r="AF55" s="101"/>
    </row>
    <row r="56" spans="3:32" s="28" customFormat="1" ht="47.4" thickBot="1">
      <c r="C56" s="44" t="s">
        <v>101</v>
      </c>
      <c r="D56" s="38" t="s">
        <v>39</v>
      </c>
      <c r="E56" s="89"/>
      <c r="F56" s="95">
        <f>(0.561)*14</f>
        <v>7.854000000000001</v>
      </c>
      <c r="G56" s="102">
        <f>(0.629+0.515)*17</f>
        <v>19.448</v>
      </c>
      <c r="H56" s="40"/>
      <c r="I56" s="99">
        <f t="shared" si="7"/>
        <v>27.302</v>
      </c>
      <c r="J56" s="25" t="b">
        <f t="shared" ref="J56:J65" si="10">C56=M56</f>
        <v>1</v>
      </c>
      <c r="K56" s="33" t="e">
        <f>I56-#REF!</f>
        <v>#REF!</v>
      </c>
      <c r="L56" s="261"/>
      <c r="M56" s="72" t="s">
        <v>101</v>
      </c>
      <c r="N56" s="224" t="s">
        <v>39</v>
      </c>
      <c r="O56" s="222"/>
      <c r="P56" s="72" t="s">
        <v>101</v>
      </c>
      <c r="Q56" s="224" t="s">
        <v>39</v>
      </c>
      <c r="R56" s="263"/>
      <c r="S56" s="262">
        <f>(0.561)*14</f>
        <v>7.854000000000001</v>
      </c>
      <c r="T56" s="130">
        <f>(0.629+0.515)*17</f>
        <v>19.448</v>
      </c>
      <c r="U56" s="226"/>
      <c r="V56" s="261"/>
      <c r="W56" s="230"/>
      <c r="X56" s="228"/>
      <c r="Y56" s="229">
        <f t="shared" si="8"/>
        <v>0</v>
      </c>
      <c r="Z56" s="229"/>
      <c r="AA56" s="229">
        <f t="shared" si="9"/>
        <v>0</v>
      </c>
      <c r="AB56" s="42">
        <f>V56*1.5</f>
        <v>0</v>
      </c>
      <c r="AC56" s="42"/>
      <c r="AD56" s="42"/>
      <c r="AE56" s="81" t="s">
        <v>102</v>
      </c>
      <c r="AF56" s="43"/>
    </row>
    <row r="57" spans="3:32" s="28" customFormat="1" ht="16.2" thickBot="1">
      <c r="C57" s="44" t="s">
        <v>103</v>
      </c>
      <c r="D57" s="100" t="s">
        <v>59</v>
      </c>
      <c r="E57" s="89"/>
      <c r="F57" s="95">
        <f>9.512*12</f>
        <v>114.14400000000001</v>
      </c>
      <c r="G57" s="95">
        <f>(30.896+24.852)*17</f>
        <v>947.71600000000012</v>
      </c>
      <c r="H57" s="40"/>
      <c r="I57" s="99">
        <f t="shared" si="7"/>
        <v>1061.8600000000001</v>
      </c>
      <c r="J57" s="25" t="b">
        <f t="shared" si="10"/>
        <v>1</v>
      </c>
      <c r="K57" s="33" t="e">
        <f>I57-#REF!</f>
        <v>#REF!</v>
      </c>
      <c r="L57" s="261"/>
      <c r="M57" s="72" t="s">
        <v>103</v>
      </c>
      <c r="N57" s="258" t="s">
        <v>59</v>
      </c>
      <c r="O57" s="222"/>
      <c r="P57" s="72" t="s">
        <v>103</v>
      </c>
      <c r="Q57" s="263" t="s">
        <v>59</v>
      </c>
      <c r="R57" s="263"/>
      <c r="S57" s="262">
        <f>9.512*12</f>
        <v>114.14400000000001</v>
      </c>
      <c r="T57" s="262">
        <f>(30.896+24.852)*17</f>
        <v>947.71600000000012</v>
      </c>
      <c r="U57" s="226"/>
      <c r="V57" s="261"/>
      <c r="W57" s="230"/>
      <c r="X57" s="228"/>
      <c r="Y57" s="229">
        <f t="shared" si="8"/>
        <v>0</v>
      </c>
      <c r="Z57" s="229"/>
      <c r="AA57" s="229">
        <f t="shared" si="9"/>
        <v>0</v>
      </c>
      <c r="AB57" s="42">
        <f>V57*0.1*1.5</f>
        <v>0</v>
      </c>
      <c r="AC57" s="42"/>
      <c r="AD57" s="42"/>
      <c r="AE57" s="50" t="s">
        <v>104</v>
      </c>
      <c r="AF57" s="43"/>
    </row>
    <row r="58" spans="3:32" s="28" customFormat="1" ht="31.5" customHeight="1" thickBot="1">
      <c r="C58" s="44" t="s">
        <v>105</v>
      </c>
      <c r="D58" s="100" t="s">
        <v>24</v>
      </c>
      <c r="E58" s="100"/>
      <c r="F58" s="98">
        <f>(1)*14</f>
        <v>14</v>
      </c>
      <c r="G58" s="98">
        <v>34</v>
      </c>
      <c r="H58" s="40"/>
      <c r="I58" s="91">
        <f t="shared" si="7"/>
        <v>48</v>
      </c>
      <c r="J58" s="25" t="b">
        <f t="shared" si="10"/>
        <v>1</v>
      </c>
      <c r="K58" s="33" t="e">
        <f>I58-#REF!</f>
        <v>#REF!</v>
      </c>
      <c r="L58" s="261"/>
      <c r="M58" s="72" t="s">
        <v>105</v>
      </c>
      <c r="N58" s="258" t="s">
        <v>24</v>
      </c>
      <c r="O58" s="222"/>
      <c r="P58" s="72" t="s">
        <v>105</v>
      </c>
      <c r="Q58" s="263" t="s">
        <v>24</v>
      </c>
      <c r="R58" s="263"/>
      <c r="S58" s="264">
        <f>(1)*14</f>
        <v>14</v>
      </c>
      <c r="T58" s="264">
        <v>34</v>
      </c>
      <c r="U58" s="226"/>
      <c r="V58" s="261"/>
      <c r="W58" s="230"/>
      <c r="X58" s="228"/>
      <c r="Y58" s="229">
        <f t="shared" si="8"/>
        <v>0</v>
      </c>
      <c r="Z58" s="229"/>
      <c r="AA58" s="229">
        <f t="shared" si="9"/>
        <v>0</v>
      </c>
      <c r="AB58" s="42"/>
      <c r="AC58" s="42"/>
      <c r="AD58" s="42"/>
      <c r="AE58" s="50"/>
      <c r="AF58" s="43" t="s">
        <v>92</v>
      </c>
    </row>
    <row r="59" spans="3:32" s="28" customFormat="1" ht="16.5" customHeight="1" thickBot="1">
      <c r="C59" s="37" t="s">
        <v>36</v>
      </c>
      <c r="D59" s="38"/>
      <c r="E59" s="39"/>
      <c r="F59" s="39"/>
      <c r="G59" s="40"/>
      <c r="H59" s="40"/>
      <c r="I59" s="40"/>
      <c r="J59" s="25" t="b">
        <f t="shared" si="10"/>
        <v>1</v>
      </c>
      <c r="K59" s="33" t="e">
        <f>I59-#REF!</f>
        <v>#REF!</v>
      </c>
      <c r="L59" s="222"/>
      <c r="M59" s="223" t="s">
        <v>36</v>
      </c>
      <c r="N59" s="224"/>
      <c r="O59" s="222"/>
      <c r="P59" s="223"/>
      <c r="Q59" s="224"/>
      <c r="R59" s="225"/>
      <c r="S59" s="225"/>
      <c r="T59" s="226"/>
      <c r="U59" s="226"/>
      <c r="V59" s="226"/>
      <c r="W59" s="237"/>
      <c r="X59" s="228"/>
      <c r="Y59" s="229"/>
      <c r="Z59" s="229"/>
      <c r="AA59" s="229"/>
      <c r="AB59" s="57"/>
      <c r="AC59" s="57"/>
      <c r="AD59" s="57"/>
      <c r="AE59" s="58"/>
      <c r="AF59" s="59"/>
    </row>
    <row r="60" spans="3:32" s="28" customFormat="1" ht="16.5" customHeight="1" thickBot="1">
      <c r="C60" s="37" t="s">
        <v>106</v>
      </c>
      <c r="D60" s="100"/>
      <c r="E60" s="100"/>
      <c r="F60" s="98"/>
      <c r="G60" s="98"/>
      <c r="H60" s="40"/>
      <c r="I60" s="91"/>
      <c r="J60" s="25" t="b">
        <f t="shared" si="10"/>
        <v>1</v>
      </c>
      <c r="K60" s="33" t="e">
        <f>I60-#REF!</f>
        <v>#REF!</v>
      </c>
      <c r="L60" s="222"/>
      <c r="M60" s="223" t="s">
        <v>106</v>
      </c>
      <c r="N60" s="263"/>
      <c r="O60" s="222"/>
      <c r="P60" s="223"/>
      <c r="Q60" s="263"/>
      <c r="R60" s="263"/>
      <c r="S60" s="264"/>
      <c r="T60" s="264"/>
      <c r="U60" s="226"/>
      <c r="V60" s="261"/>
      <c r="W60" s="237"/>
      <c r="X60" s="228"/>
      <c r="Y60" s="229"/>
      <c r="Z60" s="229"/>
      <c r="AA60" s="229"/>
      <c r="AB60" s="42"/>
      <c r="AC60" s="42"/>
      <c r="AD60" s="42"/>
      <c r="AE60" s="50"/>
      <c r="AF60" s="43"/>
    </row>
    <row r="61" spans="3:32" s="28" customFormat="1" ht="18" customHeight="1" thickBot="1">
      <c r="C61" s="44" t="s">
        <v>107</v>
      </c>
      <c r="D61" s="38" t="s">
        <v>39</v>
      </c>
      <c r="E61" s="100"/>
      <c r="F61" s="103">
        <f>2.528*14</f>
        <v>35.392000000000003</v>
      </c>
      <c r="G61" s="102">
        <f>(4.726+2.394)*17</f>
        <v>121.04</v>
      </c>
      <c r="H61" s="41"/>
      <c r="I61" s="99">
        <f>SUM(F61:H61)</f>
        <v>156.43200000000002</v>
      </c>
      <c r="J61" s="25" t="b">
        <f t="shared" si="10"/>
        <v>1</v>
      </c>
      <c r="K61" s="33" t="e">
        <f>I61-#REF!</f>
        <v>#REF!</v>
      </c>
      <c r="L61" s="222"/>
      <c r="M61" s="72" t="s">
        <v>107</v>
      </c>
      <c r="N61" s="224" t="s">
        <v>39</v>
      </c>
      <c r="O61" s="265"/>
      <c r="P61" s="72" t="s">
        <v>107</v>
      </c>
      <c r="Q61" s="224" t="s">
        <v>39</v>
      </c>
      <c r="R61" s="266"/>
      <c r="S61" s="267">
        <f>2.528*14</f>
        <v>35.392000000000003</v>
      </c>
      <c r="T61" s="130">
        <f>(4.726+2.394)*17</f>
        <v>121.04</v>
      </c>
      <c r="U61" s="228"/>
      <c r="V61" s="261"/>
      <c r="W61" s="230"/>
      <c r="X61" s="268"/>
      <c r="Y61" s="229">
        <f>V61*W61</f>
        <v>0</v>
      </c>
      <c r="Z61" s="269"/>
      <c r="AA61" s="229">
        <f>Y61+Z61</f>
        <v>0</v>
      </c>
      <c r="AB61" s="47">
        <f>((17.2*44.5)/1000+0.2*1.8)*V61</f>
        <v>0</v>
      </c>
      <c r="AC61" s="47"/>
      <c r="AD61" s="47"/>
      <c r="AE61" s="28" t="s">
        <v>108</v>
      </c>
      <c r="AF61" s="105"/>
    </row>
    <row r="62" spans="3:32" s="28" customFormat="1" ht="30" customHeight="1" thickBot="1">
      <c r="C62" s="92" t="s">
        <v>109</v>
      </c>
      <c r="D62" s="93" t="s">
        <v>24</v>
      </c>
      <c r="E62" s="100"/>
      <c r="F62" s="90">
        <f>2*14</f>
        <v>28</v>
      </c>
      <c r="G62" s="90">
        <f>4*17</f>
        <v>68</v>
      </c>
      <c r="H62" s="41"/>
      <c r="I62" s="99">
        <f>SUM(F62:H62)</f>
        <v>96</v>
      </c>
      <c r="J62" s="25" t="b">
        <f t="shared" si="10"/>
        <v>0</v>
      </c>
      <c r="K62" s="33" t="e">
        <f>I62-#REF!</f>
        <v>#REF!</v>
      </c>
      <c r="L62" s="222"/>
      <c r="M62" s="72" t="s">
        <v>110</v>
      </c>
      <c r="N62" s="224" t="s">
        <v>24</v>
      </c>
      <c r="O62" s="265"/>
      <c r="P62" s="72"/>
      <c r="Q62" s="224"/>
      <c r="R62" s="266"/>
      <c r="S62" s="260">
        <f>2*14</f>
        <v>28</v>
      </c>
      <c r="T62" s="260">
        <f>4*17</f>
        <v>68</v>
      </c>
      <c r="U62" s="228"/>
      <c r="V62" s="261"/>
      <c r="W62" s="230"/>
      <c r="X62" s="268"/>
      <c r="Y62" s="229">
        <f>V62*W62</f>
        <v>0</v>
      </c>
      <c r="Z62" s="269"/>
      <c r="AA62" s="229">
        <f>Y62+Z62</f>
        <v>0</v>
      </c>
      <c r="AB62" s="47"/>
      <c r="AC62" s="47"/>
      <c r="AD62" s="47"/>
      <c r="AE62" s="28" t="s">
        <v>111</v>
      </c>
      <c r="AF62" s="105"/>
    </row>
    <row r="63" spans="3:32" s="28" customFormat="1" ht="29.25" customHeight="1" thickBot="1">
      <c r="C63" s="92" t="s">
        <v>112</v>
      </c>
      <c r="D63" s="93" t="s">
        <v>24</v>
      </c>
      <c r="E63" s="94"/>
      <c r="F63" s="90">
        <v>14</v>
      </c>
      <c r="G63" s="90"/>
      <c r="H63" s="106"/>
      <c r="I63" s="99">
        <f>SUM(F63:H63)</f>
        <v>14</v>
      </c>
      <c r="J63" s="25" t="b">
        <f t="shared" si="10"/>
        <v>1</v>
      </c>
      <c r="K63" s="33" t="e">
        <f>I63-#REF!</f>
        <v>#REF!</v>
      </c>
      <c r="L63" s="222"/>
      <c r="M63" s="72" t="s">
        <v>112</v>
      </c>
      <c r="N63" s="224" t="s">
        <v>24</v>
      </c>
      <c r="O63" s="265"/>
      <c r="P63" s="72"/>
      <c r="Q63" s="224"/>
      <c r="R63" s="266"/>
      <c r="S63" s="260">
        <v>14</v>
      </c>
      <c r="T63" s="260"/>
      <c r="U63" s="228"/>
      <c r="V63" s="261"/>
      <c r="W63" s="230"/>
      <c r="X63" s="268"/>
      <c r="Y63" s="229">
        <f>V63*W63</f>
        <v>0</v>
      </c>
      <c r="Z63" s="269"/>
      <c r="AA63" s="229">
        <f>Y63+Z63</f>
        <v>0</v>
      </c>
      <c r="AB63" s="47"/>
      <c r="AC63" s="47"/>
      <c r="AD63" s="47"/>
      <c r="AF63" s="105"/>
    </row>
    <row r="64" spans="3:32" s="28" customFormat="1" ht="18" customHeight="1" thickBot="1">
      <c r="C64" s="107" t="s">
        <v>113</v>
      </c>
      <c r="D64" s="93" t="s">
        <v>24</v>
      </c>
      <c r="E64" s="94"/>
      <c r="F64" s="90">
        <f>1*13+26</f>
        <v>39</v>
      </c>
      <c r="G64" s="90">
        <f>4*17+22</f>
        <v>90</v>
      </c>
      <c r="H64" s="106"/>
      <c r="I64" s="99">
        <f>SUM(F64:H64)</f>
        <v>129</v>
      </c>
      <c r="J64" s="25" t="b">
        <f t="shared" si="10"/>
        <v>1</v>
      </c>
      <c r="K64" s="33" t="e">
        <f>I64-#REF!</f>
        <v>#REF!</v>
      </c>
      <c r="L64" s="222"/>
      <c r="M64" s="270" t="s">
        <v>113</v>
      </c>
      <c r="N64" s="224" t="s">
        <v>24</v>
      </c>
      <c r="O64" s="265"/>
      <c r="P64" s="72"/>
      <c r="Q64" s="224"/>
      <c r="R64" s="266"/>
      <c r="S64" s="260">
        <f>1*13+26</f>
        <v>39</v>
      </c>
      <c r="T64" s="260">
        <f>4*17+22</f>
        <v>90</v>
      </c>
      <c r="U64" s="228"/>
      <c r="V64" s="261"/>
      <c r="W64" s="230"/>
      <c r="X64" s="268"/>
      <c r="Y64" s="229">
        <f>V64*W64</f>
        <v>0</v>
      </c>
      <c r="Z64" s="269"/>
      <c r="AA64" s="229">
        <f>Y64+Z64</f>
        <v>0</v>
      </c>
      <c r="AB64" s="47"/>
      <c r="AC64" s="47"/>
      <c r="AD64" s="47"/>
      <c r="AE64" s="28" t="s">
        <v>111</v>
      </c>
      <c r="AF64" s="105"/>
    </row>
    <row r="65" spans="3:32" s="28" customFormat="1" ht="18" customHeight="1" thickBot="1">
      <c r="C65" s="44" t="s">
        <v>114</v>
      </c>
      <c r="D65" s="93" t="s">
        <v>59</v>
      </c>
      <c r="E65" s="94"/>
      <c r="F65" s="103">
        <f>4.72*16</f>
        <v>75.52</v>
      </c>
      <c r="G65" s="103">
        <f>3.652*22</f>
        <v>80.344000000000008</v>
      </c>
      <c r="H65" s="41"/>
      <c r="I65" s="99">
        <f>SUM(F65:H65)</f>
        <v>155.864</v>
      </c>
      <c r="J65" s="25" t="b">
        <f t="shared" si="10"/>
        <v>1</v>
      </c>
      <c r="K65" s="33" t="e">
        <f>I65-#REF!</f>
        <v>#REF!</v>
      </c>
      <c r="L65" s="222"/>
      <c r="M65" s="72" t="s">
        <v>114</v>
      </c>
      <c r="N65" s="224" t="s">
        <v>59</v>
      </c>
      <c r="O65" s="265"/>
      <c r="P65" s="72"/>
      <c r="Q65" s="224"/>
      <c r="R65" s="266"/>
      <c r="S65" s="267">
        <f>4.72*16</f>
        <v>75.52</v>
      </c>
      <c r="T65" s="267">
        <f>3.652*22</f>
        <v>80.344000000000008</v>
      </c>
      <c r="U65" s="228"/>
      <c r="V65" s="261"/>
      <c r="W65" s="230"/>
      <c r="X65" s="268"/>
      <c r="Y65" s="229">
        <f>V65*W65</f>
        <v>0</v>
      </c>
      <c r="Z65" s="269"/>
      <c r="AA65" s="229">
        <f>Y65+Z65</f>
        <v>0</v>
      </c>
      <c r="AB65" s="47"/>
      <c r="AC65" s="47"/>
      <c r="AD65" s="47"/>
      <c r="AE65" s="28" t="s">
        <v>108</v>
      </c>
      <c r="AF65" s="105"/>
    </row>
    <row r="66" spans="3:32" s="28" customFormat="1" ht="18" customHeight="1" thickBot="1">
      <c r="C66" s="44"/>
      <c r="D66" s="93"/>
      <c r="E66" s="94"/>
      <c r="F66" s="103"/>
      <c r="G66" s="103"/>
      <c r="H66" s="41"/>
      <c r="I66" s="99"/>
      <c r="J66" s="25"/>
      <c r="K66" s="33" t="e">
        <f>I66-#REF!</f>
        <v>#REF!</v>
      </c>
      <c r="L66" s="222"/>
      <c r="M66" s="72"/>
      <c r="N66" s="224"/>
      <c r="O66" s="265"/>
      <c r="P66" s="72"/>
      <c r="Q66" s="224"/>
      <c r="R66" s="266"/>
      <c r="S66" s="267"/>
      <c r="T66" s="130"/>
      <c r="U66" s="228"/>
      <c r="V66" s="261"/>
      <c r="W66" s="230"/>
      <c r="X66" s="268"/>
      <c r="Y66" s="229"/>
      <c r="Z66" s="269"/>
      <c r="AA66" s="229"/>
      <c r="AB66" s="47"/>
      <c r="AC66" s="47"/>
      <c r="AD66" s="47"/>
      <c r="AF66" s="105"/>
    </row>
    <row r="67" spans="3:32" s="28" customFormat="1" ht="18" customHeight="1" thickBot="1">
      <c r="C67" s="44" t="s">
        <v>115</v>
      </c>
      <c r="D67" s="38" t="s">
        <v>59</v>
      </c>
      <c r="E67" s="104"/>
      <c r="F67" s="103">
        <f>30.018*14</f>
        <v>420.25200000000001</v>
      </c>
      <c r="G67" s="102">
        <f>(37.74+29.109)*17</f>
        <v>1136.433</v>
      </c>
      <c r="H67" s="41"/>
      <c r="I67" s="99">
        <f t="shared" ref="I67:I72" si="11">SUM(F67:H67)</f>
        <v>1556.6849999999999</v>
      </c>
      <c r="J67" s="25" t="b">
        <f t="shared" ref="J67:J126" si="12">C67=M67</f>
        <v>1</v>
      </c>
      <c r="K67" s="33" t="e">
        <f>I67-#REF!</f>
        <v>#REF!</v>
      </c>
      <c r="L67" s="222"/>
      <c r="M67" s="72" t="s">
        <v>115</v>
      </c>
      <c r="N67" s="224" t="s">
        <v>59</v>
      </c>
      <c r="O67" s="265"/>
      <c r="P67" s="72" t="s">
        <v>115</v>
      </c>
      <c r="Q67" s="224" t="s">
        <v>59</v>
      </c>
      <c r="R67" s="266"/>
      <c r="S67" s="267">
        <f>30.018*14</f>
        <v>420.25200000000001</v>
      </c>
      <c r="T67" s="130">
        <f>(37.74+29.109)*17</f>
        <v>1136.433</v>
      </c>
      <c r="U67" s="228"/>
      <c r="V67" s="261"/>
      <c r="W67" s="230"/>
      <c r="X67" s="268"/>
      <c r="Y67" s="229">
        <f t="shared" ref="Y67:Y72" si="13">V67*W67</f>
        <v>0</v>
      </c>
      <c r="Z67" s="269"/>
      <c r="AA67" s="229">
        <f t="shared" ref="AA67:AA72" si="14">Y67+Z67</f>
        <v>0</v>
      </c>
      <c r="AB67" s="47">
        <f>((6.7*8.33)/1000)*V67</f>
        <v>0</v>
      </c>
      <c r="AC67" s="47"/>
      <c r="AD67" s="47"/>
      <c r="AE67" s="28" t="s">
        <v>108</v>
      </c>
      <c r="AF67" s="105"/>
    </row>
    <row r="68" spans="3:32" s="28" customFormat="1" ht="38.25" customHeight="1" thickBot="1">
      <c r="C68" s="92" t="s">
        <v>116</v>
      </c>
      <c r="D68" s="93" t="s">
        <v>59</v>
      </c>
      <c r="E68" s="104"/>
      <c r="F68" s="103">
        <f>1.6*14</f>
        <v>22.400000000000002</v>
      </c>
      <c r="G68" s="102">
        <v>0</v>
      </c>
      <c r="H68" s="41"/>
      <c r="I68" s="99">
        <f t="shared" si="11"/>
        <v>22.400000000000002</v>
      </c>
      <c r="J68" s="25" t="b">
        <f t="shared" si="12"/>
        <v>1</v>
      </c>
      <c r="K68" s="33" t="e">
        <f>I68-#REF!</f>
        <v>#REF!</v>
      </c>
      <c r="L68" s="222"/>
      <c r="M68" s="72" t="s">
        <v>116</v>
      </c>
      <c r="N68" s="224" t="s">
        <v>59</v>
      </c>
      <c r="O68" s="265"/>
      <c r="P68" s="72"/>
      <c r="Q68" s="224"/>
      <c r="R68" s="266"/>
      <c r="S68" s="267">
        <f>1.6*14</f>
        <v>22.400000000000002</v>
      </c>
      <c r="T68" s="130">
        <v>0</v>
      </c>
      <c r="U68" s="228"/>
      <c r="V68" s="261"/>
      <c r="W68" s="230"/>
      <c r="X68" s="268"/>
      <c r="Y68" s="229">
        <f t="shared" si="13"/>
        <v>0</v>
      </c>
      <c r="Z68" s="269"/>
      <c r="AA68" s="229">
        <f t="shared" si="14"/>
        <v>0</v>
      </c>
      <c r="AB68" s="47"/>
      <c r="AC68" s="47"/>
      <c r="AD68" s="47"/>
      <c r="AE68" s="97"/>
      <c r="AF68" s="105"/>
    </row>
    <row r="69" spans="3:32" s="28" customFormat="1" ht="18" customHeight="1" thickBot="1">
      <c r="C69" s="107" t="s">
        <v>117</v>
      </c>
      <c r="D69" s="93" t="s">
        <v>18</v>
      </c>
      <c r="E69" s="98"/>
      <c r="F69" s="95">
        <f>13*3.5</f>
        <v>45.5</v>
      </c>
      <c r="G69" s="95">
        <f>(0+10)*17</f>
        <v>170</v>
      </c>
      <c r="H69" s="41"/>
      <c r="I69" s="99">
        <f t="shared" si="11"/>
        <v>215.5</v>
      </c>
      <c r="J69" s="25" t="b">
        <f t="shared" si="12"/>
        <v>1</v>
      </c>
      <c r="K69" s="33" t="e">
        <f>I69-#REF!</f>
        <v>#REF!</v>
      </c>
      <c r="L69" s="222"/>
      <c r="M69" s="270" t="s">
        <v>117</v>
      </c>
      <c r="N69" s="224" t="s">
        <v>18</v>
      </c>
      <c r="O69" s="265"/>
      <c r="P69" s="72"/>
      <c r="Q69" s="224"/>
      <c r="R69" s="266"/>
      <c r="S69" s="262">
        <f>13*3.5</f>
        <v>45.5</v>
      </c>
      <c r="T69" s="262">
        <f>(0+10)*17</f>
        <v>170</v>
      </c>
      <c r="U69" s="228"/>
      <c r="V69" s="261"/>
      <c r="W69" s="230"/>
      <c r="X69" s="268"/>
      <c r="Y69" s="229">
        <f t="shared" si="13"/>
        <v>0</v>
      </c>
      <c r="Z69" s="269"/>
      <c r="AA69" s="229">
        <f t="shared" si="14"/>
        <v>0</v>
      </c>
      <c r="AB69" s="47"/>
      <c r="AC69" s="47"/>
      <c r="AD69" s="47"/>
      <c r="AF69" s="105"/>
    </row>
    <row r="70" spans="3:32" s="28" customFormat="1" ht="18" customHeight="1" thickBot="1">
      <c r="C70" s="107" t="s">
        <v>118</v>
      </c>
      <c r="D70" s="94" t="s">
        <v>18</v>
      </c>
      <c r="E70" s="95"/>
      <c r="F70" s="95">
        <f>5*13</f>
        <v>65</v>
      </c>
      <c r="G70" s="95">
        <f>(5+5)*17</f>
        <v>170</v>
      </c>
      <c r="H70" s="41"/>
      <c r="I70" s="99">
        <f t="shared" si="11"/>
        <v>235</v>
      </c>
      <c r="J70" s="25" t="b">
        <f t="shared" si="12"/>
        <v>1</v>
      </c>
      <c r="K70" s="33" t="e">
        <f>I70-#REF!</f>
        <v>#REF!</v>
      </c>
      <c r="L70" s="222"/>
      <c r="M70" s="270" t="s">
        <v>118</v>
      </c>
      <c r="N70" s="258" t="s">
        <v>18</v>
      </c>
      <c r="O70" s="265"/>
      <c r="P70" s="72"/>
      <c r="Q70" s="224"/>
      <c r="R70" s="266"/>
      <c r="S70" s="262">
        <f>5*13</f>
        <v>65</v>
      </c>
      <c r="T70" s="262">
        <f>(5+5)*17</f>
        <v>170</v>
      </c>
      <c r="U70" s="228"/>
      <c r="V70" s="261"/>
      <c r="W70" s="230"/>
      <c r="X70" s="268"/>
      <c r="Y70" s="229">
        <f t="shared" si="13"/>
        <v>0</v>
      </c>
      <c r="Z70" s="269"/>
      <c r="AA70" s="229">
        <f t="shared" si="14"/>
        <v>0</v>
      </c>
      <c r="AB70" s="47"/>
      <c r="AC70" s="47"/>
      <c r="AD70" s="47"/>
      <c r="AF70" s="105"/>
    </row>
    <row r="71" spans="3:32" s="28" customFormat="1" ht="18" customHeight="1" thickBot="1">
      <c r="C71" s="107" t="s">
        <v>119</v>
      </c>
      <c r="D71" s="94" t="s">
        <v>18</v>
      </c>
      <c r="E71" s="95"/>
      <c r="F71" s="95">
        <f>6*13</f>
        <v>78</v>
      </c>
      <c r="G71" s="95">
        <f>(2+2)*13</f>
        <v>52</v>
      </c>
      <c r="H71" s="41"/>
      <c r="I71" s="99">
        <f t="shared" si="11"/>
        <v>130</v>
      </c>
      <c r="J71" s="25" t="b">
        <f t="shared" si="12"/>
        <v>1</v>
      </c>
      <c r="K71" s="33" t="e">
        <f>I71-#REF!</f>
        <v>#REF!</v>
      </c>
      <c r="L71" s="222"/>
      <c r="M71" s="270" t="s">
        <v>119</v>
      </c>
      <c r="N71" s="258" t="s">
        <v>18</v>
      </c>
      <c r="O71" s="265"/>
      <c r="P71" s="72"/>
      <c r="Q71" s="224"/>
      <c r="R71" s="266"/>
      <c r="S71" s="262">
        <f>6*13</f>
        <v>78</v>
      </c>
      <c r="T71" s="262">
        <f>(2+2)*13</f>
        <v>52</v>
      </c>
      <c r="U71" s="228"/>
      <c r="V71" s="261"/>
      <c r="W71" s="230"/>
      <c r="X71" s="268"/>
      <c r="Y71" s="229">
        <f t="shared" si="13"/>
        <v>0</v>
      </c>
      <c r="Z71" s="269"/>
      <c r="AA71" s="229">
        <f t="shared" si="14"/>
        <v>0</v>
      </c>
      <c r="AB71" s="47"/>
      <c r="AC71" s="47"/>
      <c r="AD71" s="47"/>
      <c r="AF71" s="105"/>
    </row>
    <row r="72" spans="3:32" s="28" customFormat="1" ht="33" customHeight="1" thickBot="1">
      <c r="C72" s="44" t="s">
        <v>120</v>
      </c>
      <c r="D72" s="93" t="s">
        <v>59</v>
      </c>
      <c r="E72" s="104"/>
      <c r="F72" s="103">
        <f>21.184*14</f>
        <v>296.57600000000002</v>
      </c>
      <c r="G72" s="102">
        <f>(9.8+13.09)*17</f>
        <v>389.13</v>
      </c>
      <c r="H72" s="41"/>
      <c r="I72" s="99">
        <f t="shared" si="11"/>
        <v>685.70600000000002</v>
      </c>
      <c r="J72" s="25" t="b">
        <f t="shared" si="12"/>
        <v>1</v>
      </c>
      <c r="K72" s="33" t="e">
        <f>I72-#REF!</f>
        <v>#REF!</v>
      </c>
      <c r="L72" s="222"/>
      <c r="M72" s="72" t="s">
        <v>120</v>
      </c>
      <c r="N72" s="224" t="s">
        <v>59</v>
      </c>
      <c r="O72" s="265"/>
      <c r="P72" s="72"/>
      <c r="Q72" s="224"/>
      <c r="R72" s="266"/>
      <c r="S72" s="267">
        <f>21.184*14</f>
        <v>296.57600000000002</v>
      </c>
      <c r="T72" s="130">
        <f>(9.8+13.09)*17</f>
        <v>389.13</v>
      </c>
      <c r="U72" s="228"/>
      <c r="V72" s="261"/>
      <c r="W72" s="230"/>
      <c r="X72" s="268"/>
      <c r="Y72" s="229">
        <f t="shared" si="13"/>
        <v>0</v>
      </c>
      <c r="Z72" s="269"/>
      <c r="AA72" s="229">
        <f t="shared" si="14"/>
        <v>0</v>
      </c>
      <c r="AB72" s="47"/>
      <c r="AC72" s="47"/>
      <c r="AD72" s="47"/>
      <c r="AE72" s="97" t="s">
        <v>121</v>
      </c>
      <c r="AF72" s="105"/>
    </row>
    <row r="73" spans="3:32" s="28" customFormat="1" ht="18" customHeight="1" thickBot="1">
      <c r="C73" s="37" t="s">
        <v>122</v>
      </c>
      <c r="D73" s="38"/>
      <c r="E73" s="104"/>
      <c r="F73" s="39"/>
      <c r="G73" s="39"/>
      <c r="H73" s="41"/>
      <c r="I73" s="91"/>
      <c r="J73" s="25" t="b">
        <f t="shared" si="12"/>
        <v>1</v>
      </c>
      <c r="K73" s="33" t="e">
        <f>I73-#REF!</f>
        <v>#REF!</v>
      </c>
      <c r="L73" s="222"/>
      <c r="M73" s="223" t="s">
        <v>122</v>
      </c>
      <c r="N73" s="224"/>
      <c r="O73" s="265"/>
      <c r="P73" s="223"/>
      <c r="Q73" s="224"/>
      <c r="R73" s="266"/>
      <c r="S73" s="225"/>
      <c r="T73" s="225"/>
      <c r="U73" s="228"/>
      <c r="V73" s="261"/>
      <c r="W73" s="230"/>
      <c r="X73" s="268"/>
      <c r="Y73" s="229"/>
      <c r="Z73" s="269"/>
      <c r="AA73" s="229"/>
      <c r="AB73" s="47"/>
      <c r="AC73" s="47"/>
      <c r="AD73" s="47"/>
      <c r="AF73" s="105"/>
    </row>
    <row r="74" spans="3:32" s="28" customFormat="1" ht="30.75" customHeight="1" thickBot="1">
      <c r="C74" s="44" t="s">
        <v>123</v>
      </c>
      <c r="D74" s="100" t="s">
        <v>24</v>
      </c>
      <c r="E74" s="100"/>
      <c r="F74" s="98">
        <v>14</v>
      </c>
      <c r="G74" s="98">
        <v>34</v>
      </c>
      <c r="H74" s="40"/>
      <c r="I74" s="91">
        <f>SUM(F74:H74)</f>
        <v>48</v>
      </c>
      <c r="J74" s="25" t="b">
        <f t="shared" si="12"/>
        <v>1</v>
      </c>
      <c r="K74" s="33" t="e">
        <f>I74-#REF!</f>
        <v>#REF!</v>
      </c>
      <c r="L74" s="222" t="s">
        <v>124</v>
      </c>
      <c r="M74" s="72" t="s">
        <v>123</v>
      </c>
      <c r="N74" s="258" t="s">
        <v>24</v>
      </c>
      <c r="O74" s="222"/>
      <c r="P74" s="72" t="s">
        <v>123</v>
      </c>
      <c r="Q74" s="263" t="s">
        <v>24</v>
      </c>
      <c r="R74" s="263"/>
      <c r="S74" s="259">
        <v>14</v>
      </c>
      <c r="T74" s="259">
        <v>34</v>
      </c>
      <c r="U74" s="226"/>
      <c r="V74" s="261"/>
      <c r="W74" s="230"/>
      <c r="X74" s="228"/>
      <c r="Y74" s="229">
        <f>V74*W74</f>
        <v>0</v>
      </c>
      <c r="Z74" s="229"/>
      <c r="AA74" s="229">
        <f>Y74+Z74</f>
        <v>0</v>
      </c>
      <c r="AB74" s="47" t="s">
        <v>125</v>
      </c>
      <c r="AC74" s="47"/>
      <c r="AD74" s="47"/>
      <c r="AE74" s="97" t="s">
        <v>126</v>
      </c>
      <c r="AF74" s="108" t="s">
        <v>127</v>
      </c>
    </row>
    <row r="75" spans="3:32" s="28" customFormat="1" ht="78.599999999999994" thickBot="1">
      <c r="C75" s="44" t="s">
        <v>123</v>
      </c>
      <c r="D75" s="100" t="s">
        <v>24</v>
      </c>
      <c r="E75" s="100"/>
      <c r="F75" s="98">
        <v>14</v>
      </c>
      <c r="G75" s="98">
        <v>34</v>
      </c>
      <c r="H75" s="40"/>
      <c r="I75" s="91">
        <f>SUM(F75:H75)</f>
        <v>48</v>
      </c>
      <c r="J75" s="25" t="b">
        <f t="shared" si="12"/>
        <v>1</v>
      </c>
      <c r="K75" s="33" t="e">
        <f>I75-#REF!</f>
        <v>#REF!</v>
      </c>
      <c r="L75" s="222" t="s">
        <v>124</v>
      </c>
      <c r="M75" s="72" t="s">
        <v>123</v>
      </c>
      <c r="N75" s="258" t="s">
        <v>24</v>
      </c>
      <c r="O75" s="222"/>
      <c r="P75" s="72" t="s">
        <v>128</v>
      </c>
      <c r="Q75" s="263" t="s">
        <v>24</v>
      </c>
      <c r="R75" s="263"/>
      <c r="S75" s="259">
        <v>14</v>
      </c>
      <c r="T75" s="259">
        <v>34</v>
      </c>
      <c r="U75" s="226"/>
      <c r="V75" s="261"/>
      <c r="W75" s="230"/>
      <c r="X75" s="228"/>
      <c r="Y75" s="229">
        <f>V75*W75</f>
        <v>0</v>
      </c>
      <c r="Z75" s="229"/>
      <c r="AA75" s="229">
        <f>Y75+Z75</f>
        <v>0</v>
      </c>
      <c r="AB75" s="47" t="s">
        <v>125</v>
      </c>
      <c r="AC75" s="47"/>
      <c r="AD75" s="47"/>
      <c r="AE75" s="97" t="s">
        <v>129</v>
      </c>
      <c r="AF75" s="109"/>
    </row>
    <row r="76" spans="3:32" s="28" customFormat="1" ht="16.2" thickBot="1">
      <c r="C76" s="37" t="s">
        <v>130</v>
      </c>
      <c r="D76" s="100"/>
      <c r="E76" s="100"/>
      <c r="F76" s="98"/>
      <c r="G76" s="98"/>
      <c r="H76" s="40"/>
      <c r="I76" s="91"/>
      <c r="J76" s="25" t="b">
        <f t="shared" si="12"/>
        <v>1</v>
      </c>
      <c r="K76" s="33" t="e">
        <f>I76-#REF!</f>
        <v>#REF!</v>
      </c>
      <c r="L76" s="222"/>
      <c r="M76" s="223" t="s">
        <v>130</v>
      </c>
      <c r="N76" s="258"/>
      <c r="O76" s="222"/>
      <c r="P76" s="223" t="s">
        <v>130</v>
      </c>
      <c r="Q76" s="263"/>
      <c r="R76" s="263"/>
      <c r="S76" s="264"/>
      <c r="T76" s="264"/>
      <c r="U76" s="226"/>
      <c r="V76" s="261"/>
      <c r="W76" s="230"/>
      <c r="X76" s="228"/>
      <c r="Y76" s="229"/>
      <c r="Z76" s="229"/>
      <c r="AA76" s="229"/>
      <c r="AB76" s="47"/>
      <c r="AC76" s="47"/>
      <c r="AD76" s="47"/>
      <c r="AE76" s="97"/>
      <c r="AF76" s="108"/>
    </row>
    <row r="77" spans="3:32" s="28" customFormat="1" ht="16.2" thickBot="1">
      <c r="C77" s="44" t="s">
        <v>131</v>
      </c>
      <c r="D77" s="38" t="s">
        <v>24</v>
      </c>
      <c r="E77" s="100"/>
      <c r="F77" s="40">
        <v>14</v>
      </c>
      <c r="G77" s="40">
        <v>34</v>
      </c>
      <c r="H77" s="40"/>
      <c r="I77" s="91">
        <f>SUM(F77:H77)</f>
        <v>48</v>
      </c>
      <c r="J77" s="25" t="b">
        <f t="shared" si="12"/>
        <v>1</v>
      </c>
      <c r="K77" s="33" t="e">
        <f>I77-#REF!</f>
        <v>#REF!</v>
      </c>
      <c r="L77" s="222"/>
      <c r="M77" s="72" t="s">
        <v>131</v>
      </c>
      <c r="N77" s="224" t="s">
        <v>24</v>
      </c>
      <c r="O77" s="222"/>
      <c r="P77" s="72" t="s">
        <v>131</v>
      </c>
      <c r="Q77" s="224" t="s">
        <v>24</v>
      </c>
      <c r="R77" s="263"/>
      <c r="S77" s="226">
        <v>14</v>
      </c>
      <c r="T77" s="226">
        <v>34</v>
      </c>
      <c r="U77" s="226"/>
      <c r="V77" s="261"/>
      <c r="W77" s="230"/>
      <c r="X77" s="228"/>
      <c r="Y77" s="229">
        <f t="shared" ref="Y77:Y84" si="15">V77*W77</f>
        <v>0</v>
      </c>
      <c r="Z77" s="229"/>
      <c r="AA77" s="229">
        <f t="shared" ref="AA77:AA84" si="16">Y77+Z77</f>
        <v>0</v>
      </c>
      <c r="AB77" s="47"/>
      <c r="AC77" s="47"/>
      <c r="AD77" s="47"/>
      <c r="AE77" s="97" t="s">
        <v>132</v>
      </c>
      <c r="AF77" s="108" t="s">
        <v>127</v>
      </c>
    </row>
    <row r="78" spans="3:32" s="28" customFormat="1" ht="16.2" thickBot="1">
      <c r="C78" s="44" t="s">
        <v>133</v>
      </c>
      <c r="D78" s="38" t="s">
        <v>24</v>
      </c>
      <c r="E78" s="100"/>
      <c r="F78" s="40">
        <v>14</v>
      </c>
      <c r="G78" s="40">
        <v>34</v>
      </c>
      <c r="H78" s="40"/>
      <c r="I78" s="91">
        <f>SUM(F78:H78)</f>
        <v>48</v>
      </c>
      <c r="J78" s="25" t="b">
        <f t="shared" si="12"/>
        <v>1</v>
      </c>
      <c r="K78" s="33" t="e">
        <f>I78-#REF!</f>
        <v>#REF!</v>
      </c>
      <c r="L78" s="222"/>
      <c r="M78" s="72" t="s">
        <v>133</v>
      </c>
      <c r="N78" s="224" t="s">
        <v>24</v>
      </c>
      <c r="O78" s="222"/>
      <c r="P78" s="72" t="s">
        <v>133</v>
      </c>
      <c r="Q78" s="224" t="s">
        <v>24</v>
      </c>
      <c r="R78" s="263"/>
      <c r="S78" s="226">
        <v>14</v>
      </c>
      <c r="T78" s="226">
        <v>34</v>
      </c>
      <c r="U78" s="226"/>
      <c r="V78" s="261"/>
      <c r="W78" s="230"/>
      <c r="X78" s="228"/>
      <c r="Y78" s="229">
        <f t="shared" si="15"/>
        <v>0</v>
      </c>
      <c r="Z78" s="229"/>
      <c r="AA78" s="229">
        <f t="shared" si="16"/>
        <v>0</v>
      </c>
      <c r="AB78" s="42"/>
      <c r="AC78" s="42"/>
      <c r="AD78" s="42"/>
      <c r="AE78" s="97" t="s">
        <v>132</v>
      </c>
      <c r="AF78" s="43"/>
    </row>
    <row r="79" spans="3:32" s="28" customFormat="1" ht="16.2" thickBot="1">
      <c r="C79" s="110" t="s">
        <v>134</v>
      </c>
      <c r="D79" s="93" t="s">
        <v>24</v>
      </c>
      <c r="E79" s="94"/>
      <c r="F79" s="90"/>
      <c r="G79" s="90">
        <v>22</v>
      </c>
      <c r="H79" s="40"/>
      <c r="I79" s="96">
        <f>SUM(F79:H79)</f>
        <v>22</v>
      </c>
      <c r="J79" s="25" t="b">
        <f t="shared" si="12"/>
        <v>1</v>
      </c>
      <c r="K79" s="33" t="e">
        <f>I79-#REF!</f>
        <v>#REF!</v>
      </c>
      <c r="L79" s="222"/>
      <c r="M79" s="251" t="s">
        <v>134</v>
      </c>
      <c r="N79" s="224" t="s">
        <v>24</v>
      </c>
      <c r="O79" s="222"/>
      <c r="P79" s="251"/>
      <c r="Q79" s="224"/>
      <c r="R79" s="263"/>
      <c r="S79" s="260"/>
      <c r="T79" s="260">
        <v>22</v>
      </c>
      <c r="U79" s="226"/>
      <c r="V79" s="261"/>
      <c r="W79" s="230"/>
      <c r="X79" s="228"/>
      <c r="Y79" s="229">
        <f t="shared" si="15"/>
        <v>0</v>
      </c>
      <c r="Z79" s="229"/>
      <c r="AA79" s="229">
        <f t="shared" si="16"/>
        <v>0</v>
      </c>
      <c r="AB79" s="42"/>
      <c r="AC79" s="42"/>
      <c r="AD79" s="42"/>
      <c r="AE79" s="97"/>
      <c r="AF79" s="43"/>
    </row>
    <row r="80" spans="3:32" s="28" customFormat="1" ht="12" customHeight="1" thickBot="1">
      <c r="C80" s="111" t="s">
        <v>135</v>
      </c>
      <c r="D80" s="38"/>
      <c r="E80" s="52"/>
      <c r="F80" s="40"/>
      <c r="G80" s="40"/>
      <c r="H80" s="40"/>
      <c r="I80" s="91"/>
      <c r="J80" s="25" t="b">
        <f t="shared" si="12"/>
        <v>1</v>
      </c>
      <c r="K80" s="33" t="e">
        <f>I80-#REF!</f>
        <v>#REF!</v>
      </c>
      <c r="L80" s="222"/>
      <c r="M80" s="271" t="s">
        <v>135</v>
      </c>
      <c r="N80" s="224"/>
      <c r="O80" s="222"/>
      <c r="P80" s="271" t="s">
        <v>135</v>
      </c>
      <c r="Q80" s="224"/>
      <c r="R80" s="236"/>
      <c r="S80" s="226"/>
      <c r="T80" s="226"/>
      <c r="U80" s="226"/>
      <c r="V80" s="261"/>
      <c r="W80" s="230"/>
      <c r="X80" s="228"/>
      <c r="Y80" s="229">
        <f t="shared" si="15"/>
        <v>0</v>
      </c>
      <c r="Z80" s="229"/>
      <c r="AA80" s="229">
        <f t="shared" si="16"/>
        <v>0</v>
      </c>
      <c r="AB80" s="42"/>
      <c r="AC80" s="42"/>
      <c r="AD80" s="42"/>
      <c r="AE80" s="50"/>
      <c r="AF80" s="43"/>
    </row>
    <row r="81" spans="3:32" s="28" customFormat="1" ht="16.2" thickBot="1">
      <c r="C81" s="112" t="s">
        <v>136</v>
      </c>
      <c r="D81" s="38"/>
      <c r="E81" s="52"/>
      <c r="F81" s="40"/>
      <c r="H81" s="40"/>
      <c r="I81" s="91"/>
      <c r="J81" s="25" t="b">
        <f t="shared" si="12"/>
        <v>1</v>
      </c>
      <c r="K81" s="33" t="e">
        <f>I81-#REF!</f>
        <v>#REF!</v>
      </c>
      <c r="L81" s="222"/>
      <c r="M81" s="272" t="s">
        <v>136</v>
      </c>
      <c r="N81" s="224"/>
      <c r="O81" s="222"/>
      <c r="P81" s="273" t="s">
        <v>136</v>
      </c>
      <c r="Q81" s="224"/>
      <c r="R81" s="236"/>
      <c r="S81" s="226"/>
      <c r="T81" s="226"/>
      <c r="U81" s="226"/>
      <c r="V81" s="261"/>
      <c r="W81" s="230"/>
      <c r="X81" s="228"/>
      <c r="Y81" s="229">
        <f t="shared" si="15"/>
        <v>0</v>
      </c>
      <c r="Z81" s="229"/>
      <c r="AA81" s="229">
        <f t="shared" si="16"/>
        <v>0</v>
      </c>
      <c r="AB81" s="42"/>
      <c r="AC81" s="42"/>
      <c r="AD81" s="42"/>
      <c r="AE81" s="50"/>
      <c r="AF81" s="43"/>
    </row>
    <row r="82" spans="3:32" s="28" customFormat="1" ht="16.2" thickBot="1">
      <c r="C82" s="44" t="s">
        <v>137</v>
      </c>
      <c r="D82" s="114" t="s">
        <v>63</v>
      </c>
      <c r="E82" s="115"/>
      <c r="F82" s="116">
        <f>(6.28+4.45)*14</f>
        <v>150.22</v>
      </c>
      <c r="G82" s="117">
        <f>(10.8+5.54)*17</f>
        <v>277.77999999999997</v>
      </c>
      <c r="H82" s="118"/>
      <c r="I82" s="96">
        <f>SUM(F82:H82)</f>
        <v>428</v>
      </c>
      <c r="J82" s="25" t="b">
        <f t="shared" si="12"/>
        <v>1</v>
      </c>
      <c r="K82" s="33" t="e">
        <f>I82-#REF!</f>
        <v>#REF!</v>
      </c>
      <c r="L82" s="274"/>
      <c r="M82" s="72" t="s">
        <v>137</v>
      </c>
      <c r="N82" s="275" t="s">
        <v>63</v>
      </c>
      <c r="O82" s="274"/>
      <c r="P82" s="72" t="s">
        <v>137</v>
      </c>
      <c r="Q82" s="275" t="s">
        <v>63</v>
      </c>
      <c r="R82" s="276"/>
      <c r="S82" s="277">
        <f>(6.28+4.45)*14</f>
        <v>150.22</v>
      </c>
      <c r="T82" s="129">
        <f>(10.8+5.54)*17</f>
        <v>277.77999999999997</v>
      </c>
      <c r="U82" s="278"/>
      <c r="V82" s="261"/>
      <c r="W82" s="230"/>
      <c r="X82" s="228"/>
      <c r="Y82" s="229">
        <f t="shared" si="15"/>
        <v>0</v>
      </c>
      <c r="Z82" s="229"/>
      <c r="AA82" s="229">
        <f t="shared" si="16"/>
        <v>0</v>
      </c>
      <c r="AB82" s="47">
        <f>20.7/1000*V82</f>
        <v>0</v>
      </c>
      <c r="AC82" s="47"/>
      <c r="AD82" s="47"/>
      <c r="AE82" s="97" t="s">
        <v>138</v>
      </c>
      <c r="AF82" s="43"/>
    </row>
    <row r="83" spans="3:32" s="28" customFormat="1" ht="16.2" thickBot="1">
      <c r="C83" s="44" t="s">
        <v>139</v>
      </c>
      <c r="D83" s="114" t="s">
        <v>63</v>
      </c>
      <c r="E83" s="119"/>
      <c r="F83" s="120">
        <f>(2.1*2+1)*0.2*2*14</f>
        <v>29.12</v>
      </c>
      <c r="G83" s="120">
        <f>(2.1*2+1)*0.2*4*17</f>
        <v>70.72</v>
      </c>
      <c r="H83" s="118"/>
      <c r="I83" s="121">
        <f>SUM(F83:H83)</f>
        <v>99.84</v>
      </c>
      <c r="J83" s="25" t="b">
        <f t="shared" si="12"/>
        <v>1</v>
      </c>
      <c r="K83" s="33" t="e">
        <f>I83-#REF!</f>
        <v>#REF!</v>
      </c>
      <c r="L83" s="274"/>
      <c r="M83" s="72" t="s">
        <v>139</v>
      </c>
      <c r="N83" s="275" t="s">
        <v>63</v>
      </c>
      <c r="O83" s="274"/>
      <c r="P83" s="72" t="s">
        <v>139</v>
      </c>
      <c r="Q83" s="275" t="s">
        <v>63</v>
      </c>
      <c r="R83" s="279"/>
      <c r="S83" s="280">
        <f>(2.1*2+1)*0.2*2*14</f>
        <v>29.12</v>
      </c>
      <c r="T83" s="280">
        <f>(2.1*2+1)*0.2*4*17</f>
        <v>70.72</v>
      </c>
      <c r="U83" s="278"/>
      <c r="V83" s="261"/>
      <c r="W83" s="230"/>
      <c r="X83" s="228"/>
      <c r="Y83" s="229">
        <f t="shared" si="15"/>
        <v>0</v>
      </c>
      <c r="Z83" s="229"/>
      <c r="AA83" s="229">
        <f t="shared" si="16"/>
        <v>0</v>
      </c>
      <c r="AB83" s="47">
        <f>20.7/1000*V83</f>
        <v>0</v>
      </c>
      <c r="AC83" s="47"/>
      <c r="AD83" s="47"/>
      <c r="AE83" s="97" t="s">
        <v>138</v>
      </c>
      <c r="AF83" s="43"/>
    </row>
    <row r="84" spans="3:32" s="28" customFormat="1" ht="21" customHeight="1" thickBot="1">
      <c r="C84" s="122" t="s">
        <v>140</v>
      </c>
      <c r="D84" s="93" t="s">
        <v>63</v>
      </c>
      <c r="E84" s="123"/>
      <c r="F84" s="124">
        <f>0.675*14</f>
        <v>9.4500000000000011</v>
      </c>
      <c r="G84" s="118">
        <f>0.675*17</f>
        <v>11.475000000000001</v>
      </c>
      <c r="H84" s="118"/>
      <c r="I84" s="125">
        <f>SUM(F84:H84)</f>
        <v>20.925000000000004</v>
      </c>
      <c r="J84" s="25" t="b">
        <f t="shared" si="12"/>
        <v>1</v>
      </c>
      <c r="K84" s="33" t="e">
        <f>I84-#REF!</f>
        <v>#REF!</v>
      </c>
      <c r="L84" s="222" t="s">
        <v>141</v>
      </c>
      <c r="M84" s="281" t="s">
        <v>140</v>
      </c>
      <c r="N84" s="224" t="s">
        <v>63</v>
      </c>
      <c r="O84" s="274"/>
      <c r="P84" s="72" t="s">
        <v>142</v>
      </c>
      <c r="Q84" s="224" t="s">
        <v>63</v>
      </c>
      <c r="R84" s="279"/>
      <c r="S84" s="129">
        <f>0.675*14</f>
        <v>9.4500000000000011</v>
      </c>
      <c r="T84" s="278">
        <f>0.675*17</f>
        <v>11.475000000000001</v>
      </c>
      <c r="U84" s="278"/>
      <c r="V84" s="261"/>
      <c r="W84" s="230"/>
      <c r="X84" s="228"/>
      <c r="Y84" s="229">
        <f t="shared" si="15"/>
        <v>0</v>
      </c>
      <c r="Z84" s="229"/>
      <c r="AA84" s="229">
        <f t="shared" si="16"/>
        <v>0</v>
      </c>
      <c r="AB84" s="42"/>
      <c r="AC84" s="42"/>
      <c r="AD84" s="42"/>
      <c r="AE84" s="97" t="s">
        <v>143</v>
      </c>
      <c r="AF84" s="43"/>
    </row>
    <row r="85" spans="3:32" s="28" customFormat="1" ht="16.2" thickBot="1">
      <c r="C85" s="112" t="s">
        <v>144</v>
      </c>
      <c r="D85" s="113"/>
      <c r="E85" s="126"/>
      <c r="F85" s="127"/>
      <c r="G85" s="127"/>
      <c r="H85" s="127"/>
      <c r="I85" s="91"/>
      <c r="J85" s="25" t="b">
        <f t="shared" si="12"/>
        <v>1</v>
      </c>
      <c r="K85" s="33" t="e">
        <f>I85-#REF!</f>
        <v>#REF!</v>
      </c>
      <c r="L85" s="274"/>
      <c r="M85" s="282" t="s">
        <v>144</v>
      </c>
      <c r="N85" s="272"/>
      <c r="O85" s="274"/>
      <c r="P85" s="282" t="s">
        <v>144</v>
      </c>
      <c r="Q85" s="272"/>
      <c r="R85" s="279"/>
      <c r="S85" s="283"/>
      <c r="T85" s="283"/>
      <c r="U85" s="283"/>
      <c r="V85" s="261"/>
      <c r="W85" s="230"/>
      <c r="X85" s="228"/>
      <c r="Y85" s="229"/>
      <c r="Z85" s="229"/>
      <c r="AA85" s="229"/>
      <c r="AB85" s="42"/>
      <c r="AC85" s="42"/>
      <c r="AD85" s="42"/>
      <c r="AE85" s="50"/>
      <c r="AF85" s="43"/>
    </row>
    <row r="86" spans="3:32" s="28" customFormat="1" ht="16.2" thickBot="1">
      <c r="C86" s="44" t="s">
        <v>137</v>
      </c>
      <c r="D86" s="38" t="s">
        <v>63</v>
      </c>
      <c r="E86" s="128"/>
      <c r="F86" s="129">
        <f>36.371*14</f>
        <v>509.19400000000002</v>
      </c>
      <c r="G86" s="130">
        <f>61.93*17</f>
        <v>1052.81</v>
      </c>
      <c r="H86" s="115"/>
      <c r="I86" s="99">
        <f>SUM(F86:H86)</f>
        <v>1562.0039999999999</v>
      </c>
      <c r="J86" s="25" t="b">
        <f t="shared" si="12"/>
        <v>1</v>
      </c>
      <c r="K86" s="33" t="e">
        <f>I86-#REF!</f>
        <v>#REF!</v>
      </c>
      <c r="L86" s="274"/>
      <c r="M86" s="72" t="s">
        <v>137</v>
      </c>
      <c r="N86" s="224" t="s">
        <v>63</v>
      </c>
      <c r="O86" s="274"/>
      <c r="P86" s="72" t="s">
        <v>137</v>
      </c>
      <c r="Q86" s="224" t="s">
        <v>63</v>
      </c>
      <c r="R86" s="78"/>
      <c r="S86" s="129">
        <f>36.371*14</f>
        <v>509.19400000000002</v>
      </c>
      <c r="T86" s="130">
        <f>61.93*17</f>
        <v>1052.81</v>
      </c>
      <c r="U86" s="276"/>
      <c r="V86" s="261"/>
      <c r="W86" s="230"/>
      <c r="X86" s="228"/>
      <c r="Y86" s="229">
        <f>V86*W86</f>
        <v>0</v>
      </c>
      <c r="Z86" s="229"/>
      <c r="AA86" s="229">
        <f>Y86+Z86</f>
        <v>0</v>
      </c>
      <c r="AB86" s="47">
        <f>20.7/1000*V86</f>
        <v>0</v>
      </c>
      <c r="AC86" s="42"/>
      <c r="AD86" s="42"/>
      <c r="AE86" s="97" t="s">
        <v>145</v>
      </c>
      <c r="AF86" s="43"/>
    </row>
    <row r="87" spans="3:32" s="28" customFormat="1" ht="16.2" thickBot="1">
      <c r="C87" s="44" t="s">
        <v>139</v>
      </c>
      <c r="D87" s="38" t="s">
        <v>63</v>
      </c>
      <c r="E87" s="119"/>
      <c r="F87" s="129">
        <f>0.48</f>
        <v>0.48</v>
      </c>
      <c r="G87" s="129">
        <v>1.4</v>
      </c>
      <c r="H87" s="118"/>
      <c r="I87" s="99">
        <f>SUM(F87:H87)</f>
        <v>1.88</v>
      </c>
      <c r="J87" s="25" t="b">
        <f t="shared" si="12"/>
        <v>1</v>
      </c>
      <c r="K87" s="33" t="e">
        <f>I87-#REF!</f>
        <v>#REF!</v>
      </c>
      <c r="L87" s="274"/>
      <c r="M87" s="72" t="s">
        <v>139</v>
      </c>
      <c r="N87" s="224" t="s">
        <v>63</v>
      </c>
      <c r="O87" s="274"/>
      <c r="P87" s="72" t="s">
        <v>139</v>
      </c>
      <c r="Q87" s="224" t="s">
        <v>63</v>
      </c>
      <c r="R87" s="279"/>
      <c r="S87" s="129">
        <f>0.48</f>
        <v>0.48</v>
      </c>
      <c r="T87" s="129">
        <v>1.4</v>
      </c>
      <c r="U87" s="278"/>
      <c r="V87" s="261"/>
      <c r="W87" s="230"/>
      <c r="X87" s="228"/>
      <c r="Y87" s="229">
        <f>V87*W87</f>
        <v>0</v>
      </c>
      <c r="Z87" s="229"/>
      <c r="AA87" s="229">
        <f>Y87+Z87</f>
        <v>0</v>
      </c>
      <c r="AB87" s="47">
        <f>20.7/1000*V87</f>
        <v>0</v>
      </c>
      <c r="AC87" s="42"/>
      <c r="AD87" s="42"/>
      <c r="AE87" s="97" t="s">
        <v>145</v>
      </c>
      <c r="AF87" s="43"/>
    </row>
    <row r="88" spans="3:32" s="28" customFormat="1" ht="21" customHeight="1" thickBot="1">
      <c r="C88" s="44" t="s">
        <v>142</v>
      </c>
      <c r="D88" s="38" t="s">
        <v>63</v>
      </c>
      <c r="E88" s="128"/>
      <c r="F88" s="129">
        <f>0.27*3*14</f>
        <v>11.34</v>
      </c>
      <c r="G88" s="129">
        <f>0.27*5*17</f>
        <v>22.950000000000003</v>
      </c>
      <c r="H88" s="117"/>
      <c r="I88" s="99">
        <f>SUM(F88:H88)</f>
        <v>34.290000000000006</v>
      </c>
      <c r="J88" s="25" t="b">
        <f t="shared" si="12"/>
        <v>1</v>
      </c>
      <c r="K88" s="33" t="e">
        <f>I88-#REF!</f>
        <v>#REF!</v>
      </c>
      <c r="L88" s="222" t="s">
        <v>141</v>
      </c>
      <c r="M88" s="72" t="s">
        <v>142</v>
      </c>
      <c r="N88" s="224" t="s">
        <v>63</v>
      </c>
      <c r="O88" s="274"/>
      <c r="P88" s="72" t="s">
        <v>142</v>
      </c>
      <c r="Q88" s="224" t="s">
        <v>63</v>
      </c>
      <c r="R88" s="279"/>
      <c r="S88" s="129">
        <f>0.27*3*14</f>
        <v>11.34</v>
      </c>
      <c r="T88" s="129">
        <f>0.27*5*17</f>
        <v>22.950000000000003</v>
      </c>
      <c r="U88" s="278"/>
      <c r="V88" s="261"/>
      <c r="W88" s="230"/>
      <c r="X88" s="228"/>
      <c r="Y88" s="229">
        <f>V88*W88</f>
        <v>0</v>
      </c>
      <c r="Z88" s="229"/>
      <c r="AA88" s="229">
        <f>Y88+Z88</f>
        <v>0</v>
      </c>
      <c r="AB88" s="42"/>
      <c r="AC88" s="42"/>
      <c r="AD88" s="42"/>
      <c r="AE88" s="97" t="s">
        <v>145</v>
      </c>
      <c r="AF88" s="43"/>
    </row>
    <row r="89" spans="3:32" s="28" customFormat="1" ht="16.2" thickBot="1">
      <c r="C89" s="29" t="s">
        <v>146</v>
      </c>
      <c r="D89" s="30"/>
      <c r="E89" s="31"/>
      <c r="F89" s="31"/>
      <c r="G89" s="32"/>
      <c r="H89" s="32"/>
      <c r="I89" s="32"/>
      <c r="J89" s="25" t="b">
        <f t="shared" si="12"/>
        <v>1</v>
      </c>
      <c r="K89" s="33" t="e">
        <f>I89-#REF!</f>
        <v>#REF!</v>
      </c>
      <c r="L89" s="222"/>
      <c r="M89" s="223" t="s">
        <v>146</v>
      </c>
      <c r="N89" s="224"/>
      <c r="O89" s="229"/>
      <c r="P89" s="229"/>
      <c r="Q89" s="229"/>
      <c r="R89" s="229"/>
      <c r="S89" s="229"/>
      <c r="T89" s="229"/>
      <c r="U89" s="229"/>
      <c r="V89" s="229"/>
      <c r="W89" s="230"/>
      <c r="X89" s="229"/>
      <c r="Y89" s="229"/>
      <c r="Z89" s="229"/>
      <c r="AA89" s="229"/>
      <c r="AB89" s="34"/>
      <c r="AC89" s="34"/>
      <c r="AD89" s="34"/>
      <c r="AE89" s="34"/>
    </row>
    <row r="90" spans="3:32" s="28" customFormat="1" ht="21" customHeight="1" thickBot="1">
      <c r="C90" s="131" t="s">
        <v>147</v>
      </c>
      <c r="D90" s="76"/>
      <c r="E90" s="132"/>
      <c r="F90" s="132"/>
      <c r="G90" s="132"/>
      <c r="H90" s="133"/>
      <c r="I90" s="91"/>
      <c r="J90" s="25" t="b">
        <f t="shared" si="12"/>
        <v>1</v>
      </c>
      <c r="K90" s="33" t="e">
        <f>I90-#REF!</f>
        <v>#REF!</v>
      </c>
      <c r="L90" s="284"/>
      <c r="M90" s="285" t="s">
        <v>147</v>
      </c>
      <c r="N90" s="73"/>
      <c r="O90" s="286"/>
      <c r="P90" s="286"/>
      <c r="Q90" s="286"/>
      <c r="R90" s="286"/>
      <c r="S90" s="286"/>
      <c r="T90" s="286"/>
      <c r="U90" s="286"/>
      <c r="V90" s="286"/>
      <c r="W90" s="287"/>
      <c r="X90" s="286"/>
      <c r="Y90" s="286"/>
      <c r="Z90" s="286"/>
      <c r="AA90" s="286"/>
    </row>
    <row r="91" spans="3:32" s="28" customFormat="1" ht="21" customHeight="1" thickBot="1">
      <c r="C91" s="131" t="s">
        <v>148</v>
      </c>
      <c r="D91" s="135" t="s">
        <v>63</v>
      </c>
      <c r="E91" s="136"/>
      <c r="F91" s="137">
        <f>4.88*14</f>
        <v>68.319999999999993</v>
      </c>
      <c r="G91" s="137">
        <f>9.3*16</f>
        <v>148.80000000000001</v>
      </c>
      <c r="H91" s="133"/>
      <c r="I91" s="125">
        <f>SUM(F91:G91)</f>
        <v>217.12</v>
      </c>
      <c r="J91" s="25" t="b">
        <f t="shared" si="12"/>
        <v>1</v>
      </c>
      <c r="K91" s="33" t="e">
        <f>I91-#REF!</f>
        <v>#REF!</v>
      </c>
      <c r="L91" s="284"/>
      <c r="M91" s="288" t="s">
        <v>148</v>
      </c>
      <c r="N91" s="230" t="s">
        <v>63</v>
      </c>
      <c r="O91" s="286"/>
      <c r="P91" s="286"/>
      <c r="Q91" s="286"/>
      <c r="R91" s="289"/>
      <c r="S91" s="152">
        <f>4.88*14</f>
        <v>68.319999999999993</v>
      </c>
      <c r="T91" s="152">
        <f>9.3*16</f>
        <v>148.80000000000001</v>
      </c>
      <c r="U91" s="154"/>
      <c r="V91" s="261"/>
      <c r="W91" s="230"/>
      <c r="X91" s="286"/>
      <c r="Y91" s="229">
        <f t="shared" ref="Y91:Y111" si="17">V91*W91</f>
        <v>0</v>
      </c>
      <c r="Z91" s="229"/>
      <c r="AA91" s="229">
        <f t="shared" ref="AA91:AA111" si="18">Y91+Z91</f>
        <v>0</v>
      </c>
      <c r="AE91" s="28" t="s">
        <v>149</v>
      </c>
    </row>
    <row r="92" spans="3:32" s="28" customFormat="1" ht="16.8" hidden="1" outlineLevel="1" thickBot="1">
      <c r="C92" s="122" t="s">
        <v>150</v>
      </c>
      <c r="D92" s="139" t="s">
        <v>151</v>
      </c>
      <c r="E92" s="140">
        <v>0.15</v>
      </c>
      <c r="F92" s="124"/>
      <c r="G92" s="141"/>
      <c r="H92" s="115"/>
      <c r="I92" s="125"/>
      <c r="J92" s="25" t="b">
        <f t="shared" si="12"/>
        <v>1</v>
      </c>
      <c r="K92" s="33" t="e">
        <f>I92-#REF!</f>
        <v>#REF!</v>
      </c>
      <c r="L92" s="274"/>
      <c r="M92" s="72" t="s">
        <v>150</v>
      </c>
      <c r="N92" s="224" t="s">
        <v>151</v>
      </c>
      <c r="O92" s="286"/>
      <c r="P92" s="286"/>
      <c r="Q92" s="286"/>
      <c r="R92" s="277">
        <v>0.15</v>
      </c>
      <c r="S92" s="278"/>
      <c r="T92" s="226"/>
      <c r="U92" s="276"/>
      <c r="V92" s="261"/>
      <c r="W92" s="290"/>
      <c r="X92" s="286"/>
      <c r="Y92" s="229">
        <f t="shared" si="17"/>
        <v>0</v>
      </c>
      <c r="Z92" s="229"/>
      <c r="AA92" s="229">
        <f t="shared" si="18"/>
        <v>0</v>
      </c>
    </row>
    <row r="93" spans="3:32" s="28" customFormat="1" ht="16.8" hidden="1" outlineLevel="1" thickBot="1">
      <c r="C93" s="122" t="s">
        <v>152</v>
      </c>
      <c r="D93" s="139" t="s">
        <v>22</v>
      </c>
      <c r="E93" s="140">
        <v>1.35</v>
      </c>
      <c r="F93" s="124"/>
      <c r="G93" s="141"/>
      <c r="H93" s="115"/>
      <c r="I93" s="125"/>
      <c r="J93" s="25" t="b">
        <f t="shared" si="12"/>
        <v>1</v>
      </c>
      <c r="K93" s="33" t="e">
        <f>I93-#REF!</f>
        <v>#REF!</v>
      </c>
      <c r="L93" s="274"/>
      <c r="M93" s="72" t="s">
        <v>152</v>
      </c>
      <c r="N93" s="224" t="s">
        <v>22</v>
      </c>
      <c r="O93" s="286"/>
      <c r="P93" s="286"/>
      <c r="Q93" s="286"/>
      <c r="R93" s="277">
        <v>1.35</v>
      </c>
      <c r="S93" s="278"/>
      <c r="T93" s="226"/>
      <c r="U93" s="276"/>
      <c r="V93" s="261"/>
      <c r="W93" s="290"/>
      <c r="X93" s="286"/>
      <c r="Y93" s="229">
        <f t="shared" si="17"/>
        <v>0</v>
      </c>
      <c r="Z93" s="229"/>
      <c r="AA93" s="229">
        <f t="shared" si="18"/>
        <v>0</v>
      </c>
    </row>
    <row r="94" spans="3:32" s="28" customFormat="1" ht="16.8" hidden="1" outlineLevel="1" thickBot="1">
      <c r="C94" s="122" t="s">
        <v>153</v>
      </c>
      <c r="D94" s="139" t="s">
        <v>22</v>
      </c>
      <c r="E94" s="140">
        <v>1.35</v>
      </c>
      <c r="F94" s="124"/>
      <c r="G94" s="141"/>
      <c r="H94" s="115"/>
      <c r="I94" s="125"/>
      <c r="J94" s="25" t="b">
        <f t="shared" si="12"/>
        <v>1</v>
      </c>
      <c r="K94" s="33" t="e">
        <f>I94-#REF!</f>
        <v>#REF!</v>
      </c>
      <c r="L94" s="274"/>
      <c r="M94" s="72" t="s">
        <v>153</v>
      </c>
      <c r="N94" s="224" t="s">
        <v>22</v>
      </c>
      <c r="O94" s="286"/>
      <c r="P94" s="286"/>
      <c r="Q94" s="286"/>
      <c r="R94" s="277">
        <v>1.35</v>
      </c>
      <c r="S94" s="278"/>
      <c r="T94" s="226"/>
      <c r="U94" s="276"/>
      <c r="V94" s="261"/>
      <c r="W94" s="290"/>
      <c r="X94" s="286"/>
      <c r="Y94" s="229">
        <f t="shared" si="17"/>
        <v>0</v>
      </c>
      <c r="Z94" s="229"/>
      <c r="AA94" s="229">
        <f t="shared" si="18"/>
        <v>0</v>
      </c>
    </row>
    <row r="95" spans="3:32" s="28" customFormat="1" ht="21" customHeight="1" collapsed="1" thickBot="1">
      <c r="C95" s="142" t="s">
        <v>154</v>
      </c>
      <c r="D95" s="135" t="s">
        <v>18</v>
      </c>
      <c r="E95" s="138"/>
      <c r="F95" s="137">
        <f>3.3*14</f>
        <v>46.199999999999996</v>
      </c>
      <c r="G95" s="137">
        <f>9.324*16</f>
        <v>149.184</v>
      </c>
      <c r="H95" s="133"/>
      <c r="I95" s="125">
        <f>SUM(F95:G95)</f>
        <v>195.38399999999999</v>
      </c>
      <c r="J95" s="25" t="b">
        <f t="shared" si="12"/>
        <v>1</v>
      </c>
      <c r="K95" s="33" t="e">
        <f>I95-#REF!</f>
        <v>#REF!</v>
      </c>
      <c r="L95" s="284"/>
      <c r="M95" s="291" t="s">
        <v>154</v>
      </c>
      <c r="N95" s="230" t="s">
        <v>18</v>
      </c>
      <c r="O95" s="286"/>
      <c r="P95" s="286"/>
      <c r="Q95" s="286"/>
      <c r="R95" s="289"/>
      <c r="S95" s="292">
        <f>3.3*14</f>
        <v>46.199999999999996</v>
      </c>
      <c r="T95" s="292">
        <f>9.324*16</f>
        <v>149.184</v>
      </c>
      <c r="U95" s="154"/>
      <c r="V95" s="261"/>
      <c r="W95" s="230"/>
      <c r="X95" s="286"/>
      <c r="Y95" s="229">
        <f t="shared" si="17"/>
        <v>0</v>
      </c>
      <c r="Z95" s="229"/>
      <c r="AA95" s="229">
        <f t="shared" si="18"/>
        <v>0</v>
      </c>
      <c r="AE95" s="28" t="s">
        <v>149</v>
      </c>
    </row>
    <row r="96" spans="3:32" s="28" customFormat="1" ht="16.8" hidden="1" outlineLevel="1" thickBot="1">
      <c r="C96" s="122" t="s">
        <v>150</v>
      </c>
      <c r="D96" s="139" t="s">
        <v>151</v>
      </c>
      <c r="E96" s="140">
        <v>1.4999999999999999E-2</v>
      </c>
      <c r="F96" s="124"/>
      <c r="G96" s="141"/>
      <c r="H96" s="115"/>
      <c r="I96" s="125"/>
      <c r="J96" s="25" t="b">
        <f t="shared" si="12"/>
        <v>1</v>
      </c>
      <c r="K96" s="33" t="e">
        <f>I96-#REF!</f>
        <v>#REF!</v>
      </c>
      <c r="L96" s="274"/>
      <c r="M96" s="72" t="s">
        <v>150</v>
      </c>
      <c r="N96" s="224" t="s">
        <v>151</v>
      </c>
      <c r="O96" s="286"/>
      <c r="P96" s="286"/>
      <c r="Q96" s="286"/>
      <c r="R96" s="277">
        <v>1.4999999999999999E-2</v>
      </c>
      <c r="S96" s="278"/>
      <c r="T96" s="226"/>
      <c r="U96" s="276"/>
      <c r="V96" s="261"/>
      <c r="W96" s="290"/>
      <c r="X96" s="286"/>
      <c r="Y96" s="229">
        <f t="shared" si="17"/>
        <v>0</v>
      </c>
      <c r="Z96" s="229"/>
      <c r="AA96" s="229">
        <f t="shared" si="18"/>
        <v>0</v>
      </c>
    </row>
    <row r="97" spans="3:31" s="28" customFormat="1" ht="16.8" hidden="1" outlineLevel="1" thickBot="1">
      <c r="C97" s="122" t="s">
        <v>152</v>
      </c>
      <c r="D97" s="139" t="s">
        <v>22</v>
      </c>
      <c r="E97" s="140">
        <v>0.13500000000000001</v>
      </c>
      <c r="F97" s="124"/>
      <c r="G97" s="141"/>
      <c r="H97" s="115"/>
      <c r="I97" s="125"/>
      <c r="J97" s="25" t="b">
        <f t="shared" si="12"/>
        <v>1</v>
      </c>
      <c r="K97" s="33" t="e">
        <f>I97-#REF!</f>
        <v>#REF!</v>
      </c>
      <c r="L97" s="274"/>
      <c r="M97" s="72" t="s">
        <v>152</v>
      </c>
      <c r="N97" s="224" t="s">
        <v>22</v>
      </c>
      <c r="O97" s="286"/>
      <c r="P97" s="286"/>
      <c r="Q97" s="286"/>
      <c r="R97" s="277">
        <v>0.13500000000000001</v>
      </c>
      <c r="S97" s="278"/>
      <c r="T97" s="226"/>
      <c r="U97" s="276"/>
      <c r="V97" s="261"/>
      <c r="W97" s="290"/>
      <c r="X97" s="286"/>
      <c r="Y97" s="229">
        <f t="shared" si="17"/>
        <v>0</v>
      </c>
      <c r="Z97" s="229"/>
      <c r="AA97" s="229">
        <f t="shared" si="18"/>
        <v>0</v>
      </c>
    </row>
    <row r="98" spans="3:31" s="28" customFormat="1" ht="16.8" hidden="1" outlineLevel="1" thickBot="1">
      <c r="C98" s="122" t="s">
        <v>153</v>
      </c>
      <c r="D98" s="139" t="s">
        <v>22</v>
      </c>
      <c r="E98" s="140">
        <v>0.13500000000000001</v>
      </c>
      <c r="F98" s="124"/>
      <c r="G98" s="141"/>
      <c r="H98" s="115"/>
      <c r="I98" s="125"/>
      <c r="J98" s="25" t="b">
        <f t="shared" si="12"/>
        <v>1</v>
      </c>
      <c r="K98" s="33" t="e">
        <f>I98-#REF!</f>
        <v>#REF!</v>
      </c>
      <c r="L98" s="274"/>
      <c r="M98" s="72" t="s">
        <v>153</v>
      </c>
      <c r="N98" s="224" t="s">
        <v>22</v>
      </c>
      <c r="O98" s="286"/>
      <c r="P98" s="286"/>
      <c r="Q98" s="286"/>
      <c r="R98" s="277">
        <v>0.13500000000000001</v>
      </c>
      <c r="S98" s="278"/>
      <c r="T98" s="226"/>
      <c r="U98" s="276"/>
      <c r="V98" s="261"/>
      <c r="W98" s="290"/>
      <c r="X98" s="286"/>
      <c r="Y98" s="229">
        <f t="shared" si="17"/>
        <v>0</v>
      </c>
      <c r="Z98" s="229"/>
      <c r="AA98" s="229">
        <f t="shared" si="18"/>
        <v>0</v>
      </c>
    </row>
    <row r="99" spans="3:31" s="28" customFormat="1" ht="16.8" hidden="1" outlineLevel="1" thickBot="1">
      <c r="C99" s="122" t="s">
        <v>155</v>
      </c>
      <c r="D99" s="139" t="s">
        <v>18</v>
      </c>
      <c r="E99" s="140">
        <v>1.05</v>
      </c>
      <c r="F99" s="124"/>
      <c r="G99" s="141"/>
      <c r="H99" s="115"/>
      <c r="I99" s="125"/>
      <c r="J99" s="25" t="b">
        <f t="shared" si="12"/>
        <v>1</v>
      </c>
      <c r="K99" s="33" t="e">
        <f>I99-#REF!</f>
        <v>#REF!</v>
      </c>
      <c r="L99" s="274"/>
      <c r="M99" s="72" t="s">
        <v>155</v>
      </c>
      <c r="N99" s="224" t="s">
        <v>18</v>
      </c>
      <c r="O99" s="286"/>
      <c r="P99" s="286"/>
      <c r="Q99" s="286"/>
      <c r="R99" s="277">
        <v>1.05</v>
      </c>
      <c r="S99" s="278"/>
      <c r="T99" s="226"/>
      <c r="U99" s="276"/>
      <c r="V99" s="261"/>
      <c r="W99" s="290"/>
      <c r="X99" s="286"/>
      <c r="Y99" s="229">
        <f t="shared" si="17"/>
        <v>0</v>
      </c>
      <c r="Z99" s="229"/>
      <c r="AA99" s="229">
        <f t="shared" si="18"/>
        <v>0</v>
      </c>
    </row>
    <row r="100" spans="3:31" s="28" customFormat="1" ht="21" customHeight="1" collapsed="1" thickBot="1">
      <c r="C100" s="142" t="s">
        <v>156</v>
      </c>
      <c r="D100" s="135" t="s">
        <v>63</v>
      </c>
      <c r="E100" s="136"/>
      <c r="F100" s="137">
        <f>F91</f>
        <v>68.319999999999993</v>
      </c>
      <c r="G100" s="137">
        <f>G91</f>
        <v>148.80000000000001</v>
      </c>
      <c r="H100" s="133"/>
      <c r="I100" s="125">
        <f>SUM(F100:G100)</f>
        <v>217.12</v>
      </c>
      <c r="J100" s="25" t="b">
        <f t="shared" si="12"/>
        <v>1</v>
      </c>
      <c r="K100" s="33" t="e">
        <f>I100-#REF!</f>
        <v>#REF!</v>
      </c>
      <c r="L100" s="284"/>
      <c r="M100" s="291" t="s">
        <v>157</v>
      </c>
      <c r="N100" s="230" t="s">
        <v>63</v>
      </c>
      <c r="O100" s="286"/>
      <c r="P100" s="286"/>
      <c r="Q100" s="286"/>
      <c r="R100" s="289"/>
      <c r="S100" s="152">
        <f>S91</f>
        <v>68.319999999999993</v>
      </c>
      <c r="T100" s="152">
        <f>T91</f>
        <v>148.80000000000001</v>
      </c>
      <c r="U100" s="154"/>
      <c r="V100" s="261"/>
      <c r="W100" s="230"/>
      <c r="X100" s="286"/>
      <c r="Y100" s="229">
        <f t="shared" si="17"/>
        <v>0</v>
      </c>
      <c r="Z100" s="229"/>
      <c r="AA100" s="229">
        <f t="shared" si="18"/>
        <v>0</v>
      </c>
      <c r="AE100" s="28" t="s">
        <v>149</v>
      </c>
    </row>
    <row r="101" spans="3:31" s="28" customFormat="1" ht="16.8" hidden="1" outlineLevel="1" thickBot="1">
      <c r="C101" s="122" t="s">
        <v>150</v>
      </c>
      <c r="D101" s="139" t="s">
        <v>151</v>
      </c>
      <c r="E101" s="140">
        <v>0.15</v>
      </c>
      <c r="F101" s="124"/>
      <c r="G101" s="141"/>
      <c r="H101" s="115"/>
      <c r="I101" s="125"/>
      <c r="J101" s="25" t="b">
        <f t="shared" si="12"/>
        <v>1</v>
      </c>
      <c r="K101" s="33" t="e">
        <f>I101-#REF!</f>
        <v>#REF!</v>
      </c>
      <c r="L101" s="274"/>
      <c r="M101" s="72" t="s">
        <v>150</v>
      </c>
      <c r="N101" s="224" t="s">
        <v>151</v>
      </c>
      <c r="O101" s="286"/>
      <c r="P101" s="286"/>
      <c r="Q101" s="286"/>
      <c r="R101" s="277">
        <v>0.15</v>
      </c>
      <c r="S101" s="278"/>
      <c r="T101" s="226"/>
      <c r="U101" s="276"/>
      <c r="V101" s="261"/>
      <c r="W101" s="290"/>
      <c r="X101" s="286"/>
      <c r="Y101" s="229">
        <f t="shared" si="17"/>
        <v>0</v>
      </c>
      <c r="Z101" s="229"/>
      <c r="AA101" s="229">
        <f t="shared" si="18"/>
        <v>0</v>
      </c>
    </row>
    <row r="102" spans="3:31" s="28" customFormat="1" ht="16.8" hidden="1" outlineLevel="1" thickBot="1">
      <c r="C102" s="122" t="s">
        <v>158</v>
      </c>
      <c r="D102" s="139" t="s">
        <v>151</v>
      </c>
      <c r="E102" s="140">
        <v>0.3</v>
      </c>
      <c r="F102" s="124"/>
      <c r="G102" s="141"/>
      <c r="H102" s="115"/>
      <c r="I102" s="125"/>
      <c r="J102" s="25" t="b">
        <f t="shared" si="12"/>
        <v>1</v>
      </c>
      <c r="K102" s="33" t="e">
        <f>I102-#REF!</f>
        <v>#REF!</v>
      </c>
      <c r="L102" s="274"/>
      <c r="M102" s="72" t="s">
        <v>158</v>
      </c>
      <c r="N102" s="224" t="s">
        <v>151</v>
      </c>
      <c r="O102" s="286"/>
      <c r="P102" s="286"/>
      <c r="Q102" s="286"/>
      <c r="R102" s="277">
        <v>0.3</v>
      </c>
      <c r="S102" s="278"/>
      <c r="T102" s="226"/>
      <c r="U102" s="276"/>
      <c r="V102" s="261"/>
      <c r="W102" s="290"/>
      <c r="X102" s="286"/>
      <c r="Y102" s="229">
        <f t="shared" si="17"/>
        <v>0</v>
      </c>
      <c r="Z102" s="229"/>
      <c r="AA102" s="229">
        <f t="shared" si="18"/>
        <v>0</v>
      </c>
    </row>
    <row r="103" spans="3:31" s="28" customFormat="1" ht="16.8" collapsed="1" thickBot="1">
      <c r="C103" s="131" t="s">
        <v>159</v>
      </c>
      <c r="D103" s="143" t="s">
        <v>160</v>
      </c>
      <c r="E103" s="144"/>
      <c r="F103" s="145">
        <v>0</v>
      </c>
      <c r="G103" s="137">
        <f>9.3</f>
        <v>9.3000000000000007</v>
      </c>
      <c r="H103" s="146"/>
      <c r="I103" s="125">
        <f>SUM(F103:G103)</f>
        <v>9.3000000000000007</v>
      </c>
      <c r="J103" s="25" t="b">
        <f t="shared" si="12"/>
        <v>1</v>
      </c>
      <c r="K103" s="33" t="e">
        <f>I103-#REF!</f>
        <v>#REF!</v>
      </c>
      <c r="L103" s="284"/>
      <c r="M103" s="288" t="s">
        <v>159</v>
      </c>
      <c r="N103" s="293" t="s">
        <v>161</v>
      </c>
      <c r="O103" s="286"/>
      <c r="P103" s="286"/>
      <c r="Q103" s="286"/>
      <c r="R103" s="294"/>
      <c r="S103" s="154">
        <v>0</v>
      </c>
      <c r="T103" s="152">
        <f>9.3</f>
        <v>9.3000000000000007</v>
      </c>
      <c r="U103" s="295"/>
      <c r="V103" s="261"/>
      <c r="W103" s="230"/>
      <c r="X103" s="286"/>
      <c r="Y103" s="229">
        <f t="shared" si="17"/>
        <v>0</v>
      </c>
      <c r="Z103" s="229"/>
      <c r="AA103" s="229">
        <f t="shared" si="18"/>
        <v>0</v>
      </c>
      <c r="AE103" s="28" t="s">
        <v>149</v>
      </c>
    </row>
    <row r="104" spans="3:31" s="28" customFormat="1" ht="16.8" hidden="1" outlineLevel="1" thickBot="1">
      <c r="C104" s="122" t="s">
        <v>162</v>
      </c>
      <c r="D104" s="147" t="s">
        <v>59</v>
      </c>
      <c r="E104" s="144"/>
      <c r="F104" s="145"/>
      <c r="G104" s="148"/>
      <c r="H104" s="146"/>
      <c r="I104" s="125"/>
      <c r="J104" s="25" t="b">
        <f t="shared" si="12"/>
        <v>1</v>
      </c>
      <c r="K104" s="33" t="e">
        <f>I104-#REF!</f>
        <v>#REF!</v>
      </c>
      <c r="L104" s="284"/>
      <c r="M104" s="72" t="s">
        <v>162</v>
      </c>
      <c r="N104" s="296" t="s">
        <v>59</v>
      </c>
      <c r="O104" s="286"/>
      <c r="P104" s="286"/>
      <c r="Q104" s="286"/>
      <c r="R104" s="294"/>
      <c r="S104" s="154"/>
      <c r="T104" s="155"/>
      <c r="U104" s="295"/>
      <c r="V104" s="261"/>
      <c r="W104" s="290"/>
      <c r="X104" s="286"/>
      <c r="Y104" s="229">
        <f t="shared" si="17"/>
        <v>0</v>
      </c>
      <c r="Z104" s="229"/>
      <c r="AA104" s="229">
        <f t="shared" si="18"/>
        <v>0</v>
      </c>
    </row>
    <row r="105" spans="3:31" s="28" customFormat="1" ht="16.8" hidden="1" outlineLevel="1" thickBot="1">
      <c r="C105" s="122" t="s">
        <v>163</v>
      </c>
      <c r="D105" s="147" t="s">
        <v>59</v>
      </c>
      <c r="E105" s="144">
        <v>1.1000000000000001</v>
      </c>
      <c r="F105" s="145"/>
      <c r="G105" s="148"/>
      <c r="H105" s="146"/>
      <c r="I105" s="125"/>
      <c r="J105" s="25" t="b">
        <f t="shared" si="12"/>
        <v>1</v>
      </c>
      <c r="K105" s="33" t="e">
        <f>I105-#REF!</f>
        <v>#REF!</v>
      </c>
      <c r="L105" s="284"/>
      <c r="M105" s="72" t="s">
        <v>163</v>
      </c>
      <c r="N105" s="296" t="s">
        <v>59</v>
      </c>
      <c r="O105" s="286"/>
      <c r="P105" s="286"/>
      <c r="Q105" s="286"/>
      <c r="R105" s="294">
        <v>1.1000000000000001</v>
      </c>
      <c r="S105" s="154"/>
      <c r="T105" s="155"/>
      <c r="U105" s="295"/>
      <c r="V105" s="261"/>
      <c r="W105" s="290"/>
      <c r="X105" s="286"/>
      <c r="Y105" s="229">
        <f t="shared" si="17"/>
        <v>0</v>
      </c>
      <c r="Z105" s="229"/>
      <c r="AA105" s="229">
        <f t="shared" si="18"/>
        <v>0</v>
      </c>
    </row>
    <row r="106" spans="3:31" s="28" customFormat="1" ht="16.8" collapsed="1" thickBot="1">
      <c r="C106" s="131" t="s">
        <v>136</v>
      </c>
      <c r="D106" s="76"/>
      <c r="E106" s="150"/>
      <c r="F106" s="145"/>
      <c r="G106" s="148"/>
      <c r="H106" s="146"/>
      <c r="I106" s="91"/>
      <c r="J106" s="25" t="b">
        <f t="shared" si="12"/>
        <v>1</v>
      </c>
      <c r="K106" s="33" t="e">
        <f>I106-#REF!</f>
        <v>#REF!</v>
      </c>
      <c r="L106" s="284"/>
      <c r="M106" s="285" t="s">
        <v>136</v>
      </c>
      <c r="N106" s="73"/>
      <c r="O106" s="286"/>
      <c r="P106" s="286"/>
      <c r="Q106" s="286"/>
      <c r="R106" s="297"/>
      <c r="S106" s="154"/>
      <c r="T106" s="155"/>
      <c r="U106" s="295"/>
      <c r="V106" s="261"/>
      <c r="W106" s="290"/>
      <c r="X106" s="286"/>
      <c r="Y106" s="229">
        <f t="shared" si="17"/>
        <v>0</v>
      </c>
      <c r="Z106" s="229"/>
      <c r="AA106" s="229">
        <f t="shared" si="18"/>
        <v>0</v>
      </c>
    </row>
    <row r="107" spans="3:31" s="28" customFormat="1" ht="33" thickBot="1">
      <c r="C107" s="151" t="s">
        <v>164</v>
      </c>
      <c r="D107" s="46" t="s">
        <v>63</v>
      </c>
      <c r="E107" s="46"/>
      <c r="F107" s="152">
        <f>(13.35+4.45)*14-F118*0.3</f>
        <v>226.39400000000001</v>
      </c>
      <c r="G107" s="152">
        <f>(34.8)*16+(30)*1-G118*0.3</f>
        <v>529.42499999999995</v>
      </c>
      <c r="H107" s="146"/>
      <c r="I107" s="125">
        <f>SUM(F107:G107)</f>
        <v>755.81899999999996</v>
      </c>
      <c r="J107" s="25" t="b">
        <f t="shared" si="12"/>
        <v>1</v>
      </c>
      <c r="K107" s="33" t="e">
        <f>I107-#REF!</f>
        <v>#REF!</v>
      </c>
      <c r="L107" s="284"/>
      <c r="M107" s="298" t="s">
        <v>164</v>
      </c>
      <c r="N107" s="230" t="s">
        <v>63</v>
      </c>
      <c r="O107" s="286"/>
      <c r="P107" s="286"/>
      <c r="Q107" s="286"/>
      <c r="R107" s="230"/>
      <c r="S107" s="152">
        <f>(13.35+4.45)*14-S118*0.3</f>
        <v>226.39400000000001</v>
      </c>
      <c r="T107" s="152">
        <f>(34.8)*16+(30)*1-T118*0.3</f>
        <v>529.42499999999995</v>
      </c>
      <c r="U107" s="295"/>
      <c r="V107" s="261"/>
      <c r="W107" s="230"/>
      <c r="X107" s="286"/>
      <c r="Y107" s="229">
        <f t="shared" si="17"/>
        <v>0</v>
      </c>
      <c r="Z107" s="229"/>
      <c r="AA107" s="229">
        <f t="shared" si="18"/>
        <v>0</v>
      </c>
      <c r="AE107" s="28" t="s">
        <v>149</v>
      </c>
    </row>
    <row r="108" spans="3:31" s="28" customFormat="1" ht="16.8" hidden="1" outlineLevel="1" thickBot="1">
      <c r="C108" s="44" t="s">
        <v>165</v>
      </c>
      <c r="D108" s="149" t="s">
        <v>166</v>
      </c>
      <c r="E108" s="153">
        <v>0.1</v>
      </c>
      <c r="F108" s="154"/>
      <c r="G108" s="155"/>
      <c r="H108" s="146"/>
      <c r="I108" s="91"/>
      <c r="J108" s="25" t="b">
        <f t="shared" si="12"/>
        <v>1</v>
      </c>
      <c r="K108" s="33" t="e">
        <f>I108-#REF!</f>
        <v>#REF!</v>
      </c>
      <c r="L108" s="284"/>
      <c r="M108" s="72" t="s">
        <v>165</v>
      </c>
      <c r="N108" s="296" t="s">
        <v>166</v>
      </c>
      <c r="O108" s="286"/>
      <c r="P108" s="286"/>
      <c r="Q108" s="286"/>
      <c r="R108" s="294">
        <v>0.1</v>
      </c>
      <c r="S108" s="154"/>
      <c r="T108" s="155"/>
      <c r="U108" s="295"/>
      <c r="V108" s="261"/>
      <c r="W108" s="290"/>
      <c r="X108" s="286"/>
      <c r="Y108" s="229">
        <f t="shared" si="17"/>
        <v>0</v>
      </c>
      <c r="Z108" s="229"/>
      <c r="AA108" s="229">
        <f t="shared" si="18"/>
        <v>0</v>
      </c>
    </row>
    <row r="109" spans="3:31" s="28" customFormat="1" ht="16.8" hidden="1" outlineLevel="1" thickBot="1">
      <c r="C109" s="44" t="s">
        <v>167</v>
      </c>
      <c r="D109" s="149" t="s">
        <v>166</v>
      </c>
      <c r="E109" s="153">
        <v>0.4</v>
      </c>
      <c r="F109" s="154"/>
      <c r="G109" s="155"/>
      <c r="H109" s="146"/>
      <c r="I109" s="91"/>
      <c r="J109" s="25" t="b">
        <f t="shared" si="12"/>
        <v>1</v>
      </c>
      <c r="K109" s="33" t="e">
        <f>I109-#REF!</f>
        <v>#REF!</v>
      </c>
      <c r="L109" s="284"/>
      <c r="M109" s="72" t="s">
        <v>167</v>
      </c>
      <c r="N109" s="296" t="s">
        <v>166</v>
      </c>
      <c r="O109" s="286"/>
      <c r="P109" s="286"/>
      <c r="Q109" s="286"/>
      <c r="R109" s="294">
        <v>0.4</v>
      </c>
      <c r="S109" s="154"/>
      <c r="T109" s="155"/>
      <c r="U109" s="295"/>
      <c r="V109" s="261"/>
      <c r="W109" s="290"/>
      <c r="X109" s="286"/>
      <c r="Y109" s="229">
        <f t="shared" si="17"/>
        <v>0</v>
      </c>
      <c r="Z109" s="229"/>
      <c r="AA109" s="229">
        <f t="shared" si="18"/>
        <v>0</v>
      </c>
    </row>
    <row r="110" spans="3:31" s="28" customFormat="1" ht="16.8" hidden="1" outlineLevel="1" thickBot="1">
      <c r="C110" s="44" t="s">
        <v>168</v>
      </c>
      <c r="D110" s="149" t="s">
        <v>169</v>
      </c>
      <c r="E110" s="153">
        <v>1.2</v>
      </c>
      <c r="F110" s="154"/>
      <c r="G110" s="155"/>
      <c r="H110" s="146"/>
      <c r="I110" s="91"/>
      <c r="J110" s="25" t="b">
        <f t="shared" si="12"/>
        <v>1</v>
      </c>
      <c r="K110" s="33" t="e">
        <f>I110-#REF!</f>
        <v>#REF!</v>
      </c>
      <c r="L110" s="284"/>
      <c r="M110" s="72" t="s">
        <v>168</v>
      </c>
      <c r="N110" s="296" t="s">
        <v>169</v>
      </c>
      <c r="O110" s="286"/>
      <c r="P110" s="286"/>
      <c r="Q110" s="286"/>
      <c r="R110" s="294">
        <v>1.2</v>
      </c>
      <c r="S110" s="154"/>
      <c r="T110" s="155"/>
      <c r="U110" s="295"/>
      <c r="V110" s="261"/>
      <c r="W110" s="290"/>
      <c r="X110" s="286"/>
      <c r="Y110" s="229">
        <f t="shared" si="17"/>
        <v>0</v>
      </c>
      <c r="Z110" s="229"/>
      <c r="AA110" s="229">
        <f t="shared" si="18"/>
        <v>0</v>
      </c>
    </row>
    <row r="111" spans="3:31" s="28" customFormat="1" ht="16.8" hidden="1" outlineLevel="1" thickBot="1">
      <c r="C111" s="44" t="s">
        <v>170</v>
      </c>
      <c r="D111" s="149" t="s">
        <v>166</v>
      </c>
      <c r="E111" s="153">
        <v>0.01</v>
      </c>
      <c r="F111" s="154"/>
      <c r="G111" s="155"/>
      <c r="H111" s="146"/>
      <c r="I111" s="91"/>
      <c r="J111" s="25" t="b">
        <f t="shared" si="12"/>
        <v>1</v>
      </c>
      <c r="K111" s="33" t="e">
        <f>I111-#REF!</f>
        <v>#REF!</v>
      </c>
      <c r="L111" s="284"/>
      <c r="M111" s="72" t="s">
        <v>170</v>
      </c>
      <c r="N111" s="296" t="s">
        <v>166</v>
      </c>
      <c r="O111" s="286"/>
      <c r="P111" s="286"/>
      <c r="Q111" s="286"/>
      <c r="R111" s="294">
        <v>0.01</v>
      </c>
      <c r="S111" s="154"/>
      <c r="T111" s="155"/>
      <c r="U111" s="295"/>
      <c r="V111" s="261"/>
      <c r="W111" s="290"/>
      <c r="X111" s="286"/>
      <c r="Y111" s="229">
        <f t="shared" si="17"/>
        <v>0</v>
      </c>
      <c r="Z111" s="229"/>
      <c r="AA111" s="229">
        <f t="shared" si="18"/>
        <v>0</v>
      </c>
    </row>
    <row r="112" spans="3:31" s="28" customFormat="1" ht="21" customHeight="1" collapsed="1" thickBot="1">
      <c r="C112" s="134" t="s">
        <v>171</v>
      </c>
      <c r="D112" s="76"/>
      <c r="E112" s="150"/>
      <c r="F112" s="154"/>
      <c r="G112" s="154"/>
      <c r="H112" s="133"/>
      <c r="I112" s="91"/>
      <c r="J112" s="25" t="b">
        <f t="shared" si="12"/>
        <v>1</v>
      </c>
      <c r="K112" s="33" t="e">
        <f>I112-#REF!</f>
        <v>#REF!</v>
      </c>
      <c r="L112" s="284"/>
      <c r="M112" s="285" t="s">
        <v>171</v>
      </c>
      <c r="N112" s="73"/>
      <c r="O112" s="286"/>
      <c r="P112" s="286"/>
      <c r="Q112" s="286"/>
      <c r="R112" s="299"/>
      <c r="S112" s="154"/>
      <c r="T112" s="154"/>
      <c r="U112" s="154"/>
      <c r="V112" s="261"/>
      <c r="W112" s="290"/>
      <c r="X112" s="286"/>
      <c r="Y112" s="229"/>
      <c r="Z112" s="229"/>
      <c r="AA112" s="229"/>
    </row>
    <row r="113" spans="3:54" s="28" customFormat="1" ht="21" customHeight="1" thickBot="1">
      <c r="C113" s="156" t="s">
        <v>172</v>
      </c>
      <c r="D113" s="46" t="s">
        <v>63</v>
      </c>
      <c r="E113" s="46"/>
      <c r="F113" s="152">
        <f>4.74*14</f>
        <v>66.36</v>
      </c>
      <c r="G113" s="152">
        <f>8.93*17</f>
        <v>151.81</v>
      </c>
      <c r="H113" s="133"/>
      <c r="I113" s="125">
        <f>SUM(F113:G113)</f>
        <v>218.17000000000002</v>
      </c>
      <c r="J113" s="25" t="b">
        <f t="shared" si="12"/>
        <v>1</v>
      </c>
      <c r="K113" s="33" t="e">
        <f>I113-#REF!</f>
        <v>#REF!</v>
      </c>
      <c r="L113" s="284"/>
      <c r="M113" s="291" t="s">
        <v>172</v>
      </c>
      <c r="N113" s="230" t="s">
        <v>63</v>
      </c>
      <c r="O113" s="286"/>
      <c r="P113" s="286"/>
      <c r="Q113" s="286"/>
      <c r="R113" s="230"/>
      <c r="S113" s="152">
        <f>4.74*14</f>
        <v>66.36</v>
      </c>
      <c r="T113" s="152">
        <f>8.93*17</f>
        <v>151.81</v>
      </c>
      <c r="U113" s="154"/>
      <c r="V113" s="261"/>
      <c r="W113" s="230"/>
      <c r="X113" s="286"/>
      <c r="Y113" s="229">
        <f t="shared" ref="Y113:Y118" si="19">V113*W113</f>
        <v>0</v>
      </c>
      <c r="Z113" s="229"/>
      <c r="AA113" s="229">
        <f t="shared" ref="AA113:AA118" si="20">Y113+Z113</f>
        <v>0</v>
      </c>
      <c r="AE113" s="28" t="s">
        <v>149</v>
      </c>
    </row>
    <row r="114" spans="3:54" s="28" customFormat="1" ht="16.8" hidden="1" outlineLevel="1" thickBot="1">
      <c r="C114" s="44" t="s">
        <v>150</v>
      </c>
      <c r="D114" s="38" t="s">
        <v>151</v>
      </c>
      <c r="E114" s="157">
        <v>0.15</v>
      </c>
      <c r="F114" s="154"/>
      <c r="G114" s="155"/>
      <c r="H114" s="146"/>
      <c r="I114" s="91"/>
      <c r="J114" s="25" t="b">
        <f t="shared" si="12"/>
        <v>1</v>
      </c>
      <c r="K114" s="33" t="e">
        <f>I114-#REF!</f>
        <v>#REF!</v>
      </c>
      <c r="L114" s="284"/>
      <c r="M114" s="72" t="s">
        <v>150</v>
      </c>
      <c r="N114" s="224" t="s">
        <v>151</v>
      </c>
      <c r="O114" s="286"/>
      <c r="P114" s="286"/>
      <c r="Q114" s="286"/>
      <c r="R114" s="277">
        <v>0.15</v>
      </c>
      <c r="S114" s="154"/>
      <c r="T114" s="155"/>
      <c r="U114" s="295"/>
      <c r="V114" s="261"/>
      <c r="W114" s="290"/>
      <c r="X114" s="286"/>
      <c r="Y114" s="229">
        <f t="shared" si="19"/>
        <v>0</v>
      </c>
      <c r="Z114" s="229"/>
      <c r="AA114" s="229">
        <f t="shared" si="20"/>
        <v>0</v>
      </c>
    </row>
    <row r="115" spans="3:54" s="28" customFormat="1" ht="16.8" hidden="1" outlineLevel="1" thickBot="1">
      <c r="C115" s="44" t="s">
        <v>173</v>
      </c>
      <c r="D115" s="38" t="s">
        <v>22</v>
      </c>
      <c r="E115" s="157">
        <v>5</v>
      </c>
      <c r="F115" s="154"/>
      <c r="G115" s="155"/>
      <c r="H115" s="146"/>
      <c r="I115" s="91"/>
      <c r="J115" s="25" t="b">
        <f t="shared" si="12"/>
        <v>1</v>
      </c>
      <c r="K115" s="33" t="e">
        <f>I115-#REF!</f>
        <v>#REF!</v>
      </c>
      <c r="L115" s="284"/>
      <c r="M115" s="72" t="s">
        <v>173</v>
      </c>
      <c r="N115" s="224" t="s">
        <v>22</v>
      </c>
      <c r="O115" s="286"/>
      <c r="P115" s="286"/>
      <c r="Q115" s="286"/>
      <c r="R115" s="277">
        <v>5</v>
      </c>
      <c r="S115" s="154"/>
      <c r="T115" s="155"/>
      <c r="U115" s="295"/>
      <c r="V115" s="261"/>
      <c r="W115" s="290"/>
      <c r="X115" s="286"/>
      <c r="Y115" s="229">
        <f t="shared" si="19"/>
        <v>0</v>
      </c>
      <c r="Z115" s="229"/>
      <c r="AA115" s="229">
        <f t="shared" si="20"/>
        <v>0</v>
      </c>
    </row>
    <row r="116" spans="3:54" s="28" customFormat="1" ht="16.8" hidden="1" outlineLevel="1" thickBot="1">
      <c r="C116" s="44" t="s">
        <v>174</v>
      </c>
      <c r="D116" s="38" t="s">
        <v>63</v>
      </c>
      <c r="E116" s="157">
        <v>1.07</v>
      </c>
      <c r="F116" s="154"/>
      <c r="G116" s="155"/>
      <c r="H116" s="146"/>
      <c r="I116" s="91"/>
      <c r="J116" s="25" t="b">
        <f t="shared" si="12"/>
        <v>1</v>
      </c>
      <c r="K116" s="33" t="e">
        <f>I116-#REF!</f>
        <v>#REF!</v>
      </c>
      <c r="L116" s="284"/>
      <c r="M116" s="72" t="s">
        <v>174</v>
      </c>
      <c r="N116" s="224" t="s">
        <v>63</v>
      </c>
      <c r="O116" s="286"/>
      <c r="P116" s="286"/>
      <c r="Q116" s="286"/>
      <c r="R116" s="277">
        <v>1.07</v>
      </c>
      <c r="S116" s="154"/>
      <c r="T116" s="155"/>
      <c r="U116" s="295"/>
      <c r="V116" s="261"/>
      <c r="W116" s="290"/>
      <c r="X116" s="286"/>
      <c r="Y116" s="229">
        <f t="shared" si="19"/>
        <v>0</v>
      </c>
      <c r="Z116" s="229"/>
      <c r="AA116" s="229">
        <f t="shared" si="20"/>
        <v>0</v>
      </c>
    </row>
    <row r="117" spans="3:54" s="28" customFormat="1" ht="16.8" hidden="1" outlineLevel="1" thickBot="1">
      <c r="C117" s="44" t="s">
        <v>175</v>
      </c>
      <c r="D117" s="38" t="s">
        <v>22</v>
      </c>
      <c r="E117" s="157">
        <v>0.4</v>
      </c>
      <c r="F117" s="154"/>
      <c r="G117" s="155"/>
      <c r="H117" s="146"/>
      <c r="I117" s="91"/>
      <c r="J117" s="25" t="b">
        <f t="shared" si="12"/>
        <v>1</v>
      </c>
      <c r="K117" s="33" t="e">
        <f>I117-#REF!</f>
        <v>#REF!</v>
      </c>
      <c r="L117" s="284"/>
      <c r="M117" s="72" t="s">
        <v>175</v>
      </c>
      <c r="N117" s="224" t="s">
        <v>22</v>
      </c>
      <c r="O117" s="286"/>
      <c r="P117" s="286"/>
      <c r="Q117" s="286"/>
      <c r="R117" s="277">
        <v>0.4</v>
      </c>
      <c r="S117" s="154"/>
      <c r="T117" s="155"/>
      <c r="U117" s="295"/>
      <c r="V117" s="261"/>
      <c r="W117" s="290"/>
      <c r="X117" s="286"/>
      <c r="Y117" s="229">
        <f t="shared" si="19"/>
        <v>0</v>
      </c>
      <c r="Z117" s="229"/>
      <c r="AA117" s="229">
        <f t="shared" si="20"/>
        <v>0</v>
      </c>
    </row>
    <row r="118" spans="3:54" s="28" customFormat="1" ht="30.75" customHeight="1" collapsed="1" thickBot="1">
      <c r="C118" s="156" t="s">
        <v>176</v>
      </c>
      <c r="D118" s="76" t="s">
        <v>18</v>
      </c>
      <c r="E118" s="150"/>
      <c r="F118" s="152">
        <f>5.43*14</f>
        <v>76.02</v>
      </c>
      <c r="G118" s="152">
        <f>11.25*17</f>
        <v>191.25</v>
      </c>
      <c r="H118" s="133"/>
      <c r="I118" s="125">
        <f>SUM(F118:G118)</f>
        <v>267.27</v>
      </c>
      <c r="J118" s="25" t="b">
        <f t="shared" si="12"/>
        <v>1</v>
      </c>
      <c r="K118" s="33" t="e">
        <f>I118-#REF!</f>
        <v>#REF!</v>
      </c>
      <c r="L118" s="284"/>
      <c r="M118" s="291" t="s">
        <v>176</v>
      </c>
      <c r="N118" s="73" t="s">
        <v>18</v>
      </c>
      <c r="O118" s="286"/>
      <c r="P118" s="286"/>
      <c r="Q118" s="286"/>
      <c r="R118" s="299"/>
      <c r="S118" s="152">
        <f>5.43*14</f>
        <v>76.02</v>
      </c>
      <c r="T118" s="152">
        <f>11.25*17</f>
        <v>191.25</v>
      </c>
      <c r="U118" s="154"/>
      <c r="V118" s="261"/>
      <c r="W118" s="230"/>
      <c r="X118" s="286"/>
      <c r="Y118" s="229">
        <f t="shared" si="19"/>
        <v>0</v>
      </c>
      <c r="Z118" s="229"/>
      <c r="AA118" s="229">
        <f t="shared" si="20"/>
        <v>0</v>
      </c>
      <c r="AE118" s="28" t="s">
        <v>149</v>
      </c>
    </row>
    <row r="119" spans="3:54" s="28" customFormat="1" ht="16.8" hidden="1" outlineLevel="1" thickBot="1">
      <c r="C119" s="44" t="s">
        <v>150</v>
      </c>
      <c r="D119" s="38" t="s">
        <v>151</v>
      </c>
      <c r="E119" s="157">
        <v>0.15</v>
      </c>
      <c r="F119" s="154"/>
      <c r="G119" s="155"/>
      <c r="H119" s="146"/>
      <c r="I119" s="91"/>
      <c r="J119" s="25" t="b">
        <f t="shared" si="12"/>
        <v>1</v>
      </c>
      <c r="K119" s="33" t="e">
        <f>I119-#REF!</f>
        <v>#REF!</v>
      </c>
      <c r="L119" s="284"/>
      <c r="M119" s="72" t="s">
        <v>150</v>
      </c>
      <c r="N119" s="224" t="s">
        <v>151</v>
      </c>
      <c r="O119" s="286"/>
      <c r="P119" s="286"/>
      <c r="Q119" s="286"/>
      <c r="R119" s="286"/>
      <c r="S119" s="286"/>
      <c r="T119" s="286"/>
      <c r="U119" s="286"/>
      <c r="V119" s="286"/>
      <c r="W119" s="290"/>
      <c r="X119" s="286"/>
      <c r="Y119" s="286"/>
      <c r="Z119" s="286"/>
      <c r="AA119" s="286"/>
    </row>
    <row r="120" spans="3:54" s="28" customFormat="1" ht="16.8" hidden="1" outlineLevel="1" thickBot="1">
      <c r="C120" s="44" t="s">
        <v>173</v>
      </c>
      <c r="D120" s="38" t="s">
        <v>22</v>
      </c>
      <c r="E120" s="157">
        <v>5</v>
      </c>
      <c r="F120" s="154"/>
      <c r="G120" s="155"/>
      <c r="H120" s="146"/>
      <c r="I120" s="91"/>
      <c r="J120" s="25" t="b">
        <f t="shared" si="12"/>
        <v>1</v>
      </c>
      <c r="K120" s="33" t="e">
        <f>I120-#REF!</f>
        <v>#REF!</v>
      </c>
      <c r="L120" s="284"/>
      <c r="M120" s="72" t="s">
        <v>173</v>
      </c>
      <c r="N120" s="224" t="s">
        <v>22</v>
      </c>
      <c r="O120" s="286"/>
      <c r="P120" s="286"/>
      <c r="Q120" s="286"/>
      <c r="R120" s="286"/>
      <c r="S120" s="286"/>
      <c r="T120" s="286"/>
      <c r="U120" s="286"/>
      <c r="V120" s="286"/>
      <c r="W120" s="290"/>
      <c r="X120" s="286"/>
      <c r="Y120" s="286"/>
      <c r="Z120" s="286"/>
      <c r="AA120" s="286"/>
    </row>
    <row r="121" spans="3:54" s="28" customFormat="1" ht="16.8" hidden="1" outlineLevel="1" thickBot="1">
      <c r="C121" s="44" t="s">
        <v>174</v>
      </c>
      <c r="D121" s="38" t="s">
        <v>63</v>
      </c>
      <c r="E121" s="157">
        <v>1.07</v>
      </c>
      <c r="F121" s="154"/>
      <c r="G121" s="155"/>
      <c r="H121" s="146"/>
      <c r="I121" s="91"/>
      <c r="J121" s="25" t="b">
        <f t="shared" si="12"/>
        <v>1</v>
      </c>
      <c r="K121" s="33" t="e">
        <f>I121-#REF!</f>
        <v>#REF!</v>
      </c>
      <c r="L121" s="284"/>
      <c r="M121" s="72" t="s">
        <v>174</v>
      </c>
      <c r="N121" s="224" t="s">
        <v>63</v>
      </c>
      <c r="O121" s="286"/>
      <c r="P121" s="286"/>
      <c r="Q121" s="286"/>
      <c r="R121" s="286"/>
      <c r="S121" s="286"/>
      <c r="T121" s="286"/>
      <c r="U121" s="286"/>
      <c r="V121" s="286"/>
      <c r="W121" s="290"/>
      <c r="X121" s="286"/>
      <c r="Y121" s="286"/>
      <c r="Z121" s="286"/>
      <c r="AA121" s="286"/>
    </row>
    <row r="122" spans="3:54" s="28" customFormat="1" ht="16.8" hidden="1" outlineLevel="1" thickBot="1">
      <c r="C122" s="44" t="s">
        <v>175</v>
      </c>
      <c r="D122" s="38" t="s">
        <v>22</v>
      </c>
      <c r="E122" s="157">
        <v>0.4</v>
      </c>
      <c r="F122" s="154"/>
      <c r="G122" s="155"/>
      <c r="H122" s="146"/>
      <c r="I122" s="91"/>
      <c r="J122" s="25" t="b">
        <f t="shared" si="12"/>
        <v>1</v>
      </c>
      <c r="K122" s="33" t="e">
        <f>I122-#REF!</f>
        <v>#REF!</v>
      </c>
      <c r="L122" s="284"/>
      <c r="M122" s="72" t="s">
        <v>175</v>
      </c>
      <c r="N122" s="224" t="s">
        <v>22</v>
      </c>
      <c r="O122" s="286"/>
      <c r="P122" s="286"/>
      <c r="Q122" s="286"/>
      <c r="R122" s="286"/>
      <c r="S122" s="286"/>
      <c r="T122" s="286"/>
      <c r="U122" s="286"/>
      <c r="V122" s="286"/>
      <c r="W122" s="290"/>
      <c r="X122" s="286"/>
      <c r="Y122" s="286"/>
      <c r="Z122" s="286"/>
      <c r="AA122" s="286"/>
    </row>
    <row r="123" spans="3:54" s="28" customFormat="1" ht="16.8" collapsed="1" thickBot="1">
      <c r="C123" s="158" t="s">
        <v>177</v>
      </c>
      <c r="D123" s="69"/>
      <c r="E123" s="70"/>
      <c r="F123" s="70"/>
      <c r="G123" s="70"/>
      <c r="H123" s="70"/>
      <c r="I123" s="91">
        <f>SUM(F123:H123)</f>
        <v>0</v>
      </c>
      <c r="J123" s="25" t="b">
        <f t="shared" si="12"/>
        <v>1</v>
      </c>
      <c r="K123" s="33" t="e">
        <f>I123-#REF!</f>
        <v>#REF!</v>
      </c>
      <c r="L123" s="300"/>
      <c r="M123" s="301" t="s">
        <v>177</v>
      </c>
      <c r="N123" s="248"/>
      <c r="O123" s="300"/>
      <c r="P123" s="301" t="s">
        <v>177</v>
      </c>
      <c r="Q123" s="248"/>
      <c r="R123" s="249"/>
      <c r="S123" s="249"/>
      <c r="T123" s="249"/>
      <c r="U123" s="249"/>
      <c r="V123" s="261"/>
      <c r="W123" s="237"/>
      <c r="X123" s="228"/>
      <c r="Y123" s="302"/>
      <c r="Z123" s="229"/>
      <c r="AA123" s="229"/>
      <c r="AB123" s="42"/>
      <c r="AC123" s="42"/>
      <c r="AD123" s="42"/>
      <c r="AE123" s="50"/>
      <c r="AF123" s="43"/>
      <c r="AW123" s="159"/>
      <c r="AX123" s="159"/>
      <c r="AY123" s="159"/>
      <c r="AZ123" s="159"/>
      <c r="BA123" s="159"/>
      <c r="BB123" s="159"/>
    </row>
    <row r="124" spans="3:54" s="28" customFormat="1" ht="16.8" thickBot="1">
      <c r="C124" s="44" t="s">
        <v>178</v>
      </c>
      <c r="D124" s="38" t="s">
        <v>43</v>
      </c>
      <c r="E124" s="62"/>
      <c r="F124" s="160">
        <v>16</v>
      </c>
      <c r="G124" s="160">
        <v>30</v>
      </c>
      <c r="H124" s="160">
        <v>9</v>
      </c>
      <c r="I124" s="91">
        <f>SUM(F124:H124)</f>
        <v>55</v>
      </c>
      <c r="J124" s="25" t="b">
        <f t="shared" si="12"/>
        <v>1</v>
      </c>
      <c r="K124" s="33" t="e">
        <f>I124-#REF!</f>
        <v>#REF!</v>
      </c>
      <c r="L124" s="222"/>
      <c r="M124" s="72" t="s">
        <v>178</v>
      </c>
      <c r="N124" s="224" t="s">
        <v>43</v>
      </c>
      <c r="O124" s="222"/>
      <c r="P124" s="72" t="s">
        <v>178</v>
      </c>
      <c r="Q124" s="224" t="s">
        <v>43</v>
      </c>
      <c r="R124" s="240"/>
      <c r="S124" s="303">
        <v>16</v>
      </c>
      <c r="T124" s="303">
        <v>30</v>
      </c>
      <c r="U124" s="303">
        <v>9</v>
      </c>
      <c r="V124" s="261"/>
      <c r="W124" s="237"/>
      <c r="X124" s="228"/>
      <c r="Y124" s="302">
        <f>V124*W124</f>
        <v>0</v>
      </c>
      <c r="Z124" s="229"/>
      <c r="AA124" s="229">
        <f>SUM(Y124:Z124)</f>
        <v>0</v>
      </c>
      <c r="AB124" s="42"/>
      <c r="AC124" s="42"/>
      <c r="AD124" s="42"/>
      <c r="AE124" s="50"/>
      <c r="AF124" s="43"/>
      <c r="AR124" s="159"/>
      <c r="AS124" s="159"/>
      <c r="AT124" s="159"/>
      <c r="AU124" s="159"/>
      <c r="AV124" s="159"/>
      <c r="AW124" s="161"/>
      <c r="AX124" s="161"/>
      <c r="AY124" s="161"/>
      <c r="AZ124" s="161"/>
      <c r="BA124" s="161"/>
      <c r="BB124" s="161"/>
    </row>
    <row r="125" spans="3:54" s="28" customFormat="1" ht="21" customHeight="1" thickBot="1">
      <c r="C125" s="162" t="s">
        <v>179</v>
      </c>
      <c r="D125" s="162"/>
      <c r="E125" s="163"/>
      <c r="F125" s="163"/>
      <c r="G125" s="163"/>
      <c r="H125" s="163"/>
      <c r="I125" s="163"/>
      <c r="J125" s="25" t="b">
        <f t="shared" si="12"/>
        <v>1</v>
      </c>
      <c r="K125" s="33" t="e">
        <f>I125-#REF!</f>
        <v>#REF!</v>
      </c>
      <c r="L125" s="304"/>
      <c r="M125" s="305" t="s">
        <v>179</v>
      </c>
      <c r="N125" s="305"/>
      <c r="O125" s="304"/>
      <c r="P125" s="305" t="s">
        <v>179</v>
      </c>
      <c r="Q125" s="305"/>
      <c r="R125" s="306"/>
      <c r="S125" s="306"/>
      <c r="T125" s="306"/>
      <c r="U125" s="306"/>
      <c r="V125" s="306"/>
      <c r="W125" s="307"/>
      <c r="X125" s="308"/>
      <c r="Y125" s="309"/>
      <c r="Z125" s="309"/>
      <c r="AA125" s="309"/>
      <c r="AB125" s="164"/>
      <c r="AC125" s="164"/>
      <c r="AD125" s="164"/>
      <c r="AE125" s="164"/>
      <c r="AF125" s="165"/>
      <c r="AR125" s="161"/>
      <c r="AS125" s="161"/>
      <c r="AT125" s="161"/>
      <c r="AU125" s="161"/>
      <c r="AV125" s="161"/>
      <c r="AW125" s="159"/>
      <c r="AX125" s="159"/>
      <c r="AY125" s="159"/>
      <c r="AZ125" s="159"/>
      <c r="BA125" s="159"/>
      <c r="BB125" s="159"/>
    </row>
    <row r="126" spans="3:54" s="28" customFormat="1" ht="17.399999999999999" thickBot="1">
      <c r="C126" s="166" t="s">
        <v>180</v>
      </c>
      <c r="D126" s="167" t="s">
        <v>39</v>
      </c>
      <c r="E126" s="168">
        <v>1</v>
      </c>
      <c r="F126" s="168"/>
      <c r="G126" s="168"/>
      <c r="H126" s="168"/>
      <c r="I126" s="168"/>
      <c r="J126" s="25" t="b">
        <f t="shared" si="12"/>
        <v>1</v>
      </c>
      <c r="K126" s="169" t="e">
        <f>I126-#REF!</f>
        <v>#REF!</v>
      </c>
      <c r="L126" s="310" t="s">
        <v>71</v>
      </c>
      <c r="M126" s="311" t="s">
        <v>180</v>
      </c>
      <c r="N126" s="312" t="s">
        <v>39</v>
      </c>
      <c r="O126" s="313" t="s">
        <v>71</v>
      </c>
      <c r="P126" s="314" t="s">
        <v>180</v>
      </c>
      <c r="Q126" s="315" t="s">
        <v>39</v>
      </c>
      <c r="R126" s="316">
        <v>1</v>
      </c>
      <c r="S126" s="316"/>
      <c r="T126" s="316"/>
      <c r="U126" s="316"/>
      <c r="V126" s="317"/>
      <c r="W126" s="318"/>
      <c r="X126" s="319"/>
      <c r="Y126" s="320">
        <f>W126*V126</f>
        <v>0</v>
      </c>
      <c r="Z126" s="321"/>
      <c r="AA126" s="321">
        <f>SUM(Y126:Z126)</f>
        <v>0</v>
      </c>
      <c r="AB126" s="170"/>
      <c r="AC126" s="170"/>
      <c r="AD126" s="170"/>
      <c r="AE126" s="170"/>
      <c r="AF126" s="171"/>
      <c r="AP126" s="159"/>
      <c r="AQ126" s="159"/>
      <c r="AR126" s="159"/>
      <c r="AS126" s="159"/>
      <c r="AT126" s="159"/>
      <c r="AU126" s="159"/>
      <c r="AV126" s="159"/>
      <c r="AW126" s="172"/>
      <c r="AX126" s="172"/>
      <c r="AY126" s="172"/>
      <c r="AZ126" s="172"/>
      <c r="BA126" s="172"/>
      <c r="BB126" s="172"/>
    </row>
    <row r="127" spans="3:54" s="28" customFormat="1" ht="17.399999999999999" thickBot="1">
      <c r="C127" s="173"/>
      <c r="D127" s="174"/>
      <c r="E127" s="175"/>
      <c r="F127" s="175"/>
      <c r="G127" s="175"/>
      <c r="H127" s="175"/>
      <c r="I127" s="175"/>
      <c r="J127" s="25"/>
      <c r="K127" s="169"/>
      <c r="L127" s="310"/>
      <c r="M127" s="322" t="s">
        <v>181</v>
      </c>
      <c r="N127" s="323" t="s">
        <v>43</v>
      </c>
      <c r="O127" s="313"/>
      <c r="P127" s="314"/>
      <c r="Q127" s="315"/>
      <c r="R127" s="316"/>
      <c r="S127" s="316"/>
      <c r="T127" s="316"/>
      <c r="U127" s="316"/>
      <c r="V127" s="324"/>
      <c r="W127" s="325"/>
      <c r="X127" s="326"/>
      <c r="Y127" s="324">
        <f>W127*V127</f>
        <v>0</v>
      </c>
      <c r="Z127" s="324"/>
      <c r="AA127" s="324">
        <f>SUM(Y127:Z127)</f>
        <v>0</v>
      </c>
      <c r="AB127" s="176"/>
      <c r="AC127" s="176"/>
      <c r="AD127" s="176"/>
      <c r="AE127" s="176" t="s">
        <v>182</v>
      </c>
      <c r="AF127" s="171"/>
      <c r="AP127" s="159"/>
      <c r="AQ127" s="159"/>
      <c r="AR127" s="159"/>
      <c r="AS127" s="159"/>
      <c r="AT127" s="159"/>
      <c r="AU127" s="159"/>
      <c r="AV127" s="159"/>
      <c r="AW127" s="172"/>
      <c r="AX127" s="172"/>
      <c r="AY127" s="172"/>
      <c r="AZ127" s="172"/>
      <c r="BA127" s="172"/>
      <c r="BB127" s="172"/>
    </row>
    <row r="128" spans="3:54" s="28" customFormat="1" ht="17.399999999999999" thickBot="1">
      <c r="C128" s="173"/>
      <c r="D128" s="174"/>
      <c r="E128" s="175"/>
      <c r="F128" s="175"/>
      <c r="G128" s="175"/>
      <c r="H128" s="175"/>
      <c r="I128" s="175"/>
      <c r="J128" s="25"/>
      <c r="K128" s="169"/>
      <c r="L128" s="310"/>
      <c r="M128" s="311" t="s">
        <v>183</v>
      </c>
      <c r="N128" s="312" t="s">
        <v>184</v>
      </c>
      <c r="O128" s="313"/>
      <c r="P128" s="314"/>
      <c r="Q128" s="315"/>
      <c r="R128" s="316"/>
      <c r="S128" s="316"/>
      <c r="T128" s="316"/>
      <c r="U128" s="316"/>
      <c r="V128" s="317"/>
      <c r="W128" s="318"/>
      <c r="X128" s="319"/>
      <c r="Y128" s="320">
        <f>W128*V128</f>
        <v>0</v>
      </c>
      <c r="Z128" s="321"/>
      <c r="AA128" s="321">
        <f>SUM(Y128:Z128)</f>
        <v>0</v>
      </c>
      <c r="AB128" s="170"/>
      <c r="AC128" s="170"/>
      <c r="AD128" s="170"/>
      <c r="AE128" s="170"/>
      <c r="AF128" s="171"/>
      <c r="AP128" s="159"/>
      <c r="AQ128" s="159"/>
      <c r="AR128" s="159"/>
      <c r="AS128" s="159"/>
      <c r="AT128" s="159"/>
      <c r="AU128" s="159"/>
      <c r="AV128" s="159"/>
      <c r="AW128" s="172"/>
      <c r="AX128" s="172"/>
      <c r="AY128" s="172"/>
      <c r="AZ128" s="172"/>
      <c r="BA128" s="172"/>
      <c r="BB128" s="172"/>
    </row>
    <row r="129" spans="1:87" s="28" customFormat="1" ht="17.399999999999999" thickBot="1">
      <c r="B129" s="159"/>
      <c r="J129" s="25" t="e">
        <f>C129=#REF!</f>
        <v>#REF!</v>
      </c>
      <c r="K129" s="177"/>
      <c r="L129" s="327"/>
      <c r="M129" s="328"/>
      <c r="N129" s="329"/>
      <c r="O129" s="329"/>
      <c r="P129" s="328"/>
      <c r="Q129" s="329"/>
      <c r="R129" s="330"/>
      <c r="S129" s="330"/>
      <c r="T129" s="331"/>
      <c r="U129" s="331"/>
      <c r="V129" s="331"/>
      <c r="W129" s="329"/>
      <c r="X129" s="329"/>
      <c r="Y129" s="329"/>
      <c r="Z129" s="329"/>
      <c r="AA129" s="329"/>
      <c r="AB129" s="170"/>
      <c r="AC129" s="170"/>
      <c r="AD129" s="170"/>
      <c r="AE129" s="170" t="s">
        <v>185</v>
      </c>
      <c r="AF129" s="171"/>
      <c r="AH129" s="159"/>
      <c r="AI129" s="159"/>
      <c r="AJ129" s="159"/>
      <c r="AK129" s="159"/>
      <c r="AL129" s="159"/>
      <c r="AM129" s="159"/>
      <c r="AN129" s="159"/>
      <c r="AO129" s="159"/>
      <c r="AP129" s="161"/>
      <c r="AQ129" s="161"/>
      <c r="AR129" s="172"/>
      <c r="AS129" s="172"/>
      <c r="AT129" s="172"/>
      <c r="AU129" s="172"/>
      <c r="AV129" s="172"/>
      <c r="AW129" s="1"/>
      <c r="AX129" s="1"/>
      <c r="AY129" s="1"/>
      <c r="AZ129" s="1"/>
      <c r="BA129" s="1"/>
      <c r="BB129" s="1"/>
    </row>
    <row r="130" spans="1:87" s="159" customFormat="1" ht="16.5" customHeight="1">
      <c r="B130" s="161"/>
      <c r="C130" s="28"/>
      <c r="D130" s="28"/>
      <c r="E130" s="28"/>
      <c r="F130" s="28"/>
      <c r="G130" s="28"/>
      <c r="H130" s="28"/>
      <c r="I130" s="28"/>
      <c r="J130" s="28"/>
      <c r="K130" s="28"/>
      <c r="L130" s="332"/>
      <c r="M130" s="328"/>
      <c r="N130" s="329"/>
      <c r="O130" s="329"/>
      <c r="P130" s="328"/>
      <c r="Q130" s="329"/>
      <c r="R130" s="330"/>
      <c r="S130" s="330"/>
      <c r="T130" s="331"/>
      <c r="U130" s="331"/>
      <c r="V130" s="331"/>
      <c r="W130" s="329"/>
      <c r="X130" s="333"/>
      <c r="Y130" s="329"/>
      <c r="Z130" s="329"/>
      <c r="AA130" s="329"/>
      <c r="AB130" s="178"/>
      <c r="AC130" s="178"/>
      <c r="AD130" s="178"/>
      <c r="AE130" s="178"/>
      <c r="AF130" s="179"/>
      <c r="AH130" s="161"/>
      <c r="AI130" s="161"/>
      <c r="AJ130" s="161"/>
      <c r="AK130" s="161"/>
      <c r="AL130" s="161"/>
      <c r="AM130" s="161"/>
      <c r="AN130" s="161"/>
      <c r="AO130" s="16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</row>
    <row r="131" spans="1:87" s="161" customFormat="1" ht="15.75" customHeight="1">
      <c r="B131" s="159"/>
      <c r="C131" s="159"/>
      <c r="D131" s="159"/>
      <c r="E131" s="159"/>
      <c r="F131" s="159"/>
      <c r="G131" s="159"/>
      <c r="H131" s="159"/>
      <c r="I131" s="159"/>
      <c r="J131" s="28"/>
      <c r="K131" s="28"/>
      <c r="L131" s="334"/>
      <c r="M131" s="328"/>
      <c r="N131" s="329"/>
      <c r="O131" s="329"/>
      <c r="P131" s="328"/>
      <c r="Q131" s="329"/>
      <c r="R131" s="330"/>
      <c r="S131" s="330"/>
      <c r="T131" s="331"/>
      <c r="U131" s="331"/>
      <c r="V131" s="331"/>
      <c r="W131" s="329"/>
      <c r="X131" s="333"/>
      <c r="Y131" s="329"/>
      <c r="Z131" s="329"/>
      <c r="AA131" s="329"/>
      <c r="AB131" s="180"/>
      <c r="AC131" s="180"/>
      <c r="AD131" s="180"/>
      <c r="AE131" s="180"/>
      <c r="AF131" s="181"/>
      <c r="AH131" s="159"/>
      <c r="AI131" s="159"/>
      <c r="AJ131" s="159"/>
      <c r="AK131" s="159"/>
      <c r="AL131" s="159"/>
      <c r="AM131" s="159"/>
      <c r="AN131" s="159"/>
      <c r="AO131" s="159"/>
      <c r="AP131" s="172"/>
      <c r="AQ131" s="172"/>
      <c r="AR131" s="1"/>
      <c r="AS131" s="1"/>
      <c r="AT131" s="1"/>
      <c r="AU131" s="1"/>
      <c r="AV131" s="1"/>
      <c r="AW131" s="3"/>
      <c r="AX131" s="3"/>
      <c r="AY131" s="3"/>
      <c r="AZ131" s="3"/>
      <c r="BA131" s="3"/>
      <c r="BB131" s="3"/>
      <c r="BC131" s="159"/>
      <c r="BD131" s="159"/>
      <c r="BE131" s="159"/>
      <c r="BF131" s="159"/>
      <c r="BG131" s="159"/>
      <c r="BH131" s="159"/>
      <c r="BI131" s="159"/>
      <c r="BJ131" s="159"/>
      <c r="BK131" s="159"/>
      <c r="BL131" s="159"/>
      <c r="BM131" s="159"/>
      <c r="BN131" s="159"/>
      <c r="BO131" s="159"/>
      <c r="BP131" s="159"/>
      <c r="BQ131" s="159"/>
      <c r="BR131" s="159"/>
      <c r="BS131" s="159"/>
      <c r="BT131" s="159"/>
      <c r="BU131" s="159"/>
      <c r="BV131" s="159"/>
      <c r="BW131" s="159"/>
      <c r="BX131" s="159"/>
      <c r="BY131" s="159"/>
      <c r="BZ131" s="159"/>
      <c r="CA131" s="159"/>
      <c r="CB131" s="159"/>
      <c r="CC131" s="159"/>
      <c r="CD131" s="159"/>
      <c r="CE131" s="159"/>
      <c r="CF131" s="159"/>
      <c r="CG131" s="159"/>
      <c r="CH131" s="159"/>
      <c r="CI131" s="159"/>
    </row>
    <row r="132" spans="1:87" s="159" customFormat="1" ht="15.75" customHeight="1" thickBot="1">
      <c r="B132" s="172"/>
      <c r="C132" s="161"/>
      <c r="D132" s="161"/>
      <c r="E132" s="161"/>
      <c r="F132" s="161"/>
      <c r="G132" s="161"/>
      <c r="H132" s="161"/>
      <c r="I132" s="161"/>
      <c r="L132" s="335"/>
      <c r="M132" s="328"/>
      <c r="N132" s="329"/>
      <c r="O132" s="329"/>
      <c r="P132" s="328"/>
      <c r="Q132" s="329"/>
      <c r="R132" s="330"/>
      <c r="S132" s="330"/>
      <c r="T132" s="331"/>
      <c r="U132" s="331"/>
      <c r="V132" s="331"/>
      <c r="W132" s="329"/>
      <c r="X132" s="333"/>
      <c r="Y132" s="329"/>
      <c r="Z132" s="329"/>
      <c r="AA132" s="329"/>
      <c r="AB132" s="182"/>
      <c r="AC132" s="182"/>
      <c r="AD132" s="182"/>
      <c r="AE132" s="182"/>
      <c r="AF132" s="183"/>
      <c r="AH132" s="172"/>
      <c r="AI132" s="172"/>
      <c r="AJ132" s="172"/>
      <c r="AK132" s="172"/>
      <c r="AL132" s="172"/>
      <c r="AM132" s="172"/>
      <c r="AN132" s="172"/>
      <c r="AO132" s="172"/>
      <c r="AP132" s="1"/>
      <c r="AQ132" s="1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161"/>
      <c r="BD132" s="161"/>
      <c r="BE132" s="161"/>
      <c r="BF132" s="161"/>
      <c r="BG132" s="161"/>
      <c r="BH132" s="161"/>
      <c r="BI132" s="161"/>
      <c r="BJ132" s="161"/>
      <c r="BK132" s="161"/>
      <c r="BL132" s="161"/>
      <c r="BM132" s="161"/>
      <c r="BN132" s="161"/>
      <c r="BO132" s="161"/>
      <c r="BP132" s="161"/>
      <c r="BQ132" s="161"/>
      <c r="BR132" s="161"/>
      <c r="BS132" s="161"/>
      <c r="BT132" s="161"/>
      <c r="BU132" s="161"/>
      <c r="BV132" s="161"/>
      <c r="BW132" s="161"/>
      <c r="BX132" s="161"/>
      <c r="BY132" s="161"/>
      <c r="BZ132" s="161"/>
      <c r="CA132" s="161"/>
      <c r="CB132" s="161"/>
      <c r="CC132" s="161"/>
      <c r="CD132" s="161"/>
      <c r="CE132" s="161"/>
      <c r="CF132" s="161"/>
      <c r="CG132" s="161"/>
      <c r="CH132" s="161"/>
      <c r="CI132" s="161"/>
    </row>
    <row r="133" spans="1:87" s="172" customFormat="1" ht="17.25" customHeight="1" thickBot="1">
      <c r="B133" s="1"/>
      <c r="C133" s="159"/>
      <c r="D133" s="159"/>
      <c r="E133" s="159"/>
      <c r="F133" s="159"/>
      <c r="G133" s="159"/>
      <c r="H133" s="159"/>
      <c r="I133" s="159"/>
      <c r="J133" s="161"/>
      <c r="K133" s="161"/>
      <c r="L133" s="329"/>
      <c r="M133" s="328"/>
      <c r="N133" s="329"/>
      <c r="O133" s="329"/>
      <c r="P133" s="328"/>
      <c r="Q133" s="329"/>
      <c r="R133" s="330"/>
      <c r="S133" s="330"/>
      <c r="T133" s="331"/>
      <c r="U133" s="331"/>
      <c r="V133" s="331"/>
      <c r="W133" s="329"/>
      <c r="X133" s="333"/>
      <c r="Y133" s="329"/>
      <c r="Z133" s="329"/>
      <c r="AA133" s="329"/>
      <c r="AB133" s="184"/>
      <c r="AC133" s="184"/>
      <c r="AD133" s="184"/>
      <c r="AE133" s="184"/>
      <c r="AF133" s="185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59"/>
      <c r="BN133" s="159"/>
      <c r="BO133" s="159"/>
      <c r="BP133" s="159"/>
      <c r="BQ133" s="159"/>
      <c r="BR133" s="159"/>
      <c r="BS133" s="159"/>
      <c r="BT133" s="159"/>
      <c r="BU133" s="159"/>
      <c r="BV133" s="159"/>
      <c r="BW133" s="159"/>
      <c r="BX133" s="159"/>
      <c r="BY133" s="159"/>
      <c r="BZ133" s="159"/>
      <c r="CA133" s="159"/>
      <c r="CB133" s="159"/>
      <c r="CC133" s="159"/>
      <c r="CD133" s="159"/>
      <c r="CE133" s="159"/>
      <c r="CF133" s="159"/>
      <c r="CG133" s="159"/>
      <c r="CH133" s="159"/>
      <c r="CI133" s="159"/>
    </row>
    <row r="134" spans="1:87" s="1" customFormat="1" ht="16.8">
      <c r="C134" s="172"/>
      <c r="D134" s="172"/>
      <c r="E134" s="172"/>
      <c r="F134" s="172"/>
      <c r="G134" s="172"/>
      <c r="H134" s="172"/>
      <c r="I134" s="172"/>
      <c r="J134" s="159"/>
      <c r="K134" s="159"/>
      <c r="L134" s="3"/>
      <c r="M134" s="186"/>
      <c r="N134" s="3"/>
      <c r="O134" s="3"/>
      <c r="P134" s="186"/>
      <c r="Q134" s="3"/>
      <c r="R134" s="188"/>
      <c r="S134" s="188"/>
      <c r="T134" s="189"/>
      <c r="U134" s="189"/>
      <c r="V134" s="189"/>
      <c r="W134" s="3"/>
      <c r="X134" s="190"/>
      <c r="Y134" s="3"/>
      <c r="Z134" s="3"/>
      <c r="AA134" s="3"/>
      <c r="AB134" s="3"/>
      <c r="AC134" s="3"/>
      <c r="AD134" s="3"/>
      <c r="AE134" s="3"/>
      <c r="AF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  <c r="CH134" s="172"/>
      <c r="CI134" s="172"/>
    </row>
    <row r="135" spans="1:87" s="1" customFormat="1" ht="36.75" customHeight="1">
      <c r="J135" s="172"/>
      <c r="K135" s="172"/>
      <c r="L135" s="3"/>
      <c r="M135" s="186"/>
      <c r="N135" s="3"/>
      <c r="O135" s="3"/>
      <c r="P135" s="186"/>
      <c r="Q135" s="3"/>
      <c r="R135" s="188"/>
      <c r="S135" s="188"/>
      <c r="T135" s="189"/>
      <c r="U135" s="189"/>
      <c r="V135" s="189"/>
      <c r="W135" s="3"/>
      <c r="X135" s="190"/>
      <c r="Y135" s="3"/>
      <c r="Z135" s="3"/>
      <c r="AA135" s="3"/>
      <c r="AB135" s="3"/>
      <c r="AC135" s="3"/>
      <c r="AD135" s="3"/>
      <c r="AE135" s="3"/>
      <c r="AF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</row>
    <row r="136" spans="1:87" s="3" customForma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M136" s="186"/>
      <c r="P136" s="186"/>
      <c r="R136" s="188"/>
      <c r="S136" s="188"/>
      <c r="T136" s="189"/>
      <c r="U136" s="189"/>
      <c r="V136" s="189"/>
      <c r="X136" s="190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</row>
    <row r="137" spans="1:87" s="3" customForma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M137" s="186"/>
      <c r="P137" s="186"/>
      <c r="R137" s="188"/>
      <c r="S137" s="188"/>
      <c r="T137" s="189"/>
      <c r="U137" s="189"/>
      <c r="V137" s="189"/>
      <c r="X137" s="190"/>
    </row>
    <row r="138" spans="1:87" s="3" customForma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M138" s="186"/>
      <c r="P138" s="186"/>
      <c r="R138" s="188"/>
      <c r="S138" s="188"/>
      <c r="T138" s="189"/>
      <c r="U138" s="189"/>
      <c r="V138" s="189"/>
      <c r="X138" s="190"/>
      <c r="AB138" s="187"/>
      <c r="AC138" s="187"/>
      <c r="AD138" s="187"/>
    </row>
  </sheetData>
  <autoFilter ref="C8:AG133"/>
  <mergeCells count="27">
    <mergeCell ref="Q5:Q7"/>
    <mergeCell ref="L1:AA1"/>
    <mergeCell ref="L3:AA3"/>
    <mergeCell ref="C5:C7"/>
    <mergeCell ref="D5:D7"/>
    <mergeCell ref="E5:E7"/>
    <mergeCell ref="F5:F7"/>
    <mergeCell ref="G5:G7"/>
    <mergeCell ref="H5:H7"/>
    <mergeCell ref="I5:I7"/>
    <mergeCell ref="L5:L7"/>
    <mergeCell ref="M5:M7"/>
    <mergeCell ref="N5:N7"/>
    <mergeCell ref="O5:O7"/>
    <mergeCell ref="P5:P7"/>
    <mergeCell ref="AE23:AE28"/>
    <mergeCell ref="R5:R7"/>
    <mergeCell ref="S5:S7"/>
    <mergeCell ref="T5:T7"/>
    <mergeCell ref="U5:U7"/>
    <mergeCell ref="V5:V7"/>
    <mergeCell ref="W5:AA5"/>
    <mergeCell ref="AE5:AE7"/>
    <mergeCell ref="AF5:AF7"/>
    <mergeCell ref="W6:X6"/>
    <mergeCell ref="Y6:Z6"/>
    <mergeCell ref="AA6:AA7"/>
  </mergeCells>
  <pageMargins left="0" right="0" top="0" bottom="0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Розцінки </vt:lpstr>
      <vt:lpstr>'Розцінки '!Заголовки_для_печати</vt:lpstr>
      <vt:lpstr>'Розцінки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Киричок Надія</dc:creator>
  <cp:lastModifiedBy>Probook</cp:lastModifiedBy>
  <dcterms:created xsi:type="dcterms:W3CDTF">2026-06-05T11:29:44Z</dcterms:created>
  <dcterms:modified xsi:type="dcterms:W3CDTF">2026-06-10T05:07:42Z</dcterms:modified>
</cp:coreProperties>
</file>