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9.04Будкрафт\Мазепи\ДУ(ФЕМи)\"/>
    </mc:Choice>
  </mc:AlternateContent>
  <bookViews>
    <workbookView xWindow="0" yWindow="0" windowWidth="23040" windowHeight="9072"/>
  </bookViews>
  <sheets>
    <sheet name="ТЗ" sheetId="22" r:id="rId1"/>
    <sheet name="43.29" sheetId="16" state="hidden" r:id="rId2"/>
    <sheet name="43.31" sheetId="17" state="hidden" r:id="rId3"/>
    <sheet name="43.33" sheetId="18" state="hidden" r:id="rId4"/>
    <sheet name="43.34" sheetId="19" state="hidden" r:id="rId5"/>
    <sheet name="43.99" sheetId="20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 localSheetId="1">#REF!</definedName>
    <definedName name="___xlnm.Print_Area" localSheetId="2">#REF!</definedName>
    <definedName name="___xlnm.Print_Area" localSheetId="3">#REF!</definedName>
    <definedName name="___xlnm.Print_Area" localSheetId="4">#REF!</definedName>
    <definedName name="___xlnm.Print_Area" localSheetId="5">#REF!</definedName>
    <definedName name="___xlnm.Print_Area" localSheetId="0">#REF!</definedName>
    <definedName name="___xlnm.Print_Area">#REF!</definedName>
    <definedName name="___xlnm_Print_Area" localSheetId="1">#REF!</definedName>
    <definedName name="___xlnm_Print_Area" localSheetId="2">#REF!</definedName>
    <definedName name="___xlnm_Print_Area" localSheetId="3">#REF!</definedName>
    <definedName name="___xlnm_Print_Area" localSheetId="4">#REF!</definedName>
    <definedName name="___xlnm_Print_Area" localSheetId="5">#REF!</definedName>
    <definedName name="___xlnm_Print_Area" localSheetId="0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 localSheetId="1">#REF!</definedName>
    <definedName name="__xlnm.Print_Area" localSheetId="2">#REF!</definedName>
    <definedName name="__xlnm.Print_Area" localSheetId="3">#REF!</definedName>
    <definedName name="__xlnm.Print_Area" localSheetId="4">#REF!</definedName>
    <definedName name="__xlnm.Print_Area" localSheetId="5">#REF!</definedName>
    <definedName name="__xlnm.Print_Area" localSheetId="0">#REF!</definedName>
    <definedName name="__xlnm.Print_Area">#REF!</definedName>
    <definedName name="_1_Excel_BuiltIn_Print_Area_4_1" localSheetId="1">[1]ПРОЦЕНТОВАНИЕ!#REF!</definedName>
    <definedName name="_1_Excel_BuiltIn_Print_Area_4_1" localSheetId="2">[1]ПРОЦЕНТОВАНИЕ!#REF!</definedName>
    <definedName name="_1_Excel_BuiltIn_Print_Area_4_1" localSheetId="3">[1]ПРОЦЕНТОВАНИЕ!#REF!</definedName>
    <definedName name="_1_Excel_BuiltIn_Print_Area_4_1" localSheetId="4">[1]ПРОЦЕНТОВАНИЕ!#REF!</definedName>
    <definedName name="_1_Excel_BuiltIn_Print_Area_4_1" localSheetId="5">[1]ПРОЦЕНТОВАНИЕ!#REF!</definedName>
    <definedName name="_1_Excel_BuiltIn_Print_Area_4_1" localSheetId="0">[1]ПРОЦЕНТОВАНИЕ!#REF!</definedName>
    <definedName name="_1_Excel_BuiltIn_Print_Area_4_1">[1]ПРОЦЕНТОВАНИЕ!#REF!</definedName>
    <definedName name="_4Excel_BuiltIn_Print_Area_4_1">NA()</definedName>
    <definedName name="_xlnm._FilterDatabase" localSheetId="1" hidden="1">'43.29'!$A$12:$K$398</definedName>
    <definedName name="_xlnm._FilterDatabase" localSheetId="2" hidden="1">'43.31'!$A$12:$K$398</definedName>
    <definedName name="_xlnm._FilterDatabase" localSheetId="3" hidden="1">'43.33'!$A$12:$K$398</definedName>
    <definedName name="_xlnm._FilterDatabase" localSheetId="4" hidden="1">'43.34'!$A$12:$K$398</definedName>
    <definedName name="_xlnm._FilterDatabase" localSheetId="5" hidden="1">'43.99'!$A$12:$K$398</definedName>
    <definedName name="_xlnm._FilterDatabase" localSheetId="0" hidden="1">ТЗ!$A$5:$F$24</definedName>
    <definedName name="Climaflex" localSheetId="1">[2]Опалення!#REF!</definedName>
    <definedName name="Climaflex" localSheetId="2">[2]Опалення!#REF!</definedName>
    <definedName name="Climaflex" localSheetId="3">[2]Опалення!#REF!</definedName>
    <definedName name="Climaflex" localSheetId="4">[2]Опалення!#REF!</definedName>
    <definedName name="Climaflex" localSheetId="5">[2]Опалення!#REF!</definedName>
    <definedName name="Climaflex" localSheetId="0">[2]Опалення!#REF!</definedName>
    <definedName name="Climaflex">[2]Опалення!#REF!</definedName>
    <definedName name="co" localSheetId="1">#REF!</definedName>
    <definedName name="co" localSheetId="2">#REF!</definedName>
    <definedName name="co" localSheetId="3">#REF!</definedName>
    <definedName name="co" localSheetId="4">#REF!</definedName>
    <definedName name="co" localSheetId="5">#REF!</definedName>
    <definedName name="co" localSheetId="0">#REF!</definedName>
    <definedName name="co">#REF!</definedName>
    <definedName name="dtghdhdfh">ROUND("#ref!"*"#ref!",2)</definedName>
    <definedName name="Excel_BuiltIn__FilterDatabase">[3]ПРОЦЕНТОВАНИЕ!#REF!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0">#REF!</definedName>
    <definedName name="Excel_BuiltIn_Print_Area_2">#REF!</definedName>
    <definedName name="Excel_BuiltIn_Print_Area_3" localSheetId="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0">#REF!</definedName>
    <definedName name="Excel_BuiltIn_Print_Area_3">#REF!</definedName>
    <definedName name="Excel_BuiltIn_Print_Area_4_1" localSheetId="1">[3]ПРОЦЕНТОВАНИЕ!#REF!</definedName>
    <definedName name="Excel_BuiltIn_Print_Area_4_1" localSheetId="2">[3]ПРОЦЕНТОВАНИЕ!#REF!</definedName>
    <definedName name="Excel_BuiltIn_Print_Area_4_1" localSheetId="3">[3]ПРОЦЕНТОВАНИЕ!#REF!</definedName>
    <definedName name="Excel_BuiltIn_Print_Area_4_1" localSheetId="4">[3]ПРОЦЕНТОВАНИЕ!#REF!</definedName>
    <definedName name="Excel_BuiltIn_Print_Area_4_1" localSheetId="5">[3]ПРОЦЕНТОВАНИЕ!#REF!</definedName>
    <definedName name="Excel_BuiltIn_Print_Area_4_1" localSheetId="0">[3]ПРОЦЕНТОВАНИЕ!#REF!</definedName>
    <definedName name="Excel_BuiltIn_Print_Area_4_1">[3]ПРОЦЕНТОВАНИЕ!#REF!</definedName>
    <definedName name="honeywell" localSheetId="1">[2]Опалення!#REF!</definedName>
    <definedName name="honeywell" localSheetId="2">[2]Опалення!#REF!</definedName>
    <definedName name="honeywell" localSheetId="3">[2]Опалення!#REF!</definedName>
    <definedName name="honeywell" localSheetId="4">[2]Опалення!#REF!</definedName>
    <definedName name="honeywell" localSheetId="5">[2]Опалення!#REF!</definedName>
    <definedName name="honeywell" localSheetId="0">[2]Опалення!#REF!</definedName>
    <definedName name="honeywell">[2]Опалення!#REF!</definedName>
    <definedName name="hth" localSheetId="1">#REF!</definedName>
    <definedName name="hth" localSheetId="2">#REF!</definedName>
    <definedName name="hth" localSheetId="3">#REF!</definedName>
    <definedName name="hth" localSheetId="4">#REF!</definedName>
    <definedName name="hth" localSheetId="5">#REF!</definedName>
    <definedName name="hth" localSheetId="0">#REF!</definedName>
    <definedName name="hth">#REF!</definedName>
    <definedName name="Lowara" localSheetId="1">'[2]ВК+ВКН'!#REF!</definedName>
    <definedName name="Lowara" localSheetId="2">'[2]ВК+ВКН'!#REF!</definedName>
    <definedName name="Lowara" localSheetId="3">'[2]ВК+ВКН'!#REF!</definedName>
    <definedName name="Lowara" localSheetId="4">'[2]ВК+ВКН'!#REF!</definedName>
    <definedName name="Lowara" localSheetId="5">'[2]ВК+ВКН'!#REF!</definedName>
    <definedName name="Lowara" localSheetId="0">'[2]ВК+ВКН'!#REF!</definedName>
    <definedName name="Lowara">'[2]ВК+ВКН'!#REF!</definedName>
    <definedName name="materials" localSheetId="1">#REF!</definedName>
    <definedName name="materials" localSheetId="2">#REF!</definedName>
    <definedName name="materials" localSheetId="3">#REF!</definedName>
    <definedName name="materials" localSheetId="4">#REF!</definedName>
    <definedName name="materials" localSheetId="5">#REF!</definedName>
    <definedName name="materials" localSheetId="0">#REF!</definedName>
    <definedName name="materials">#REF!</definedName>
    <definedName name="Ostendorf" localSheetId="1">'[2]ВК+ВКН'!#REF!</definedName>
    <definedName name="Ostendorf" localSheetId="2">'[2]ВК+ВКН'!#REF!</definedName>
    <definedName name="Ostendorf" localSheetId="3">'[2]ВК+ВКН'!#REF!</definedName>
    <definedName name="Ostendorf" localSheetId="4">'[2]ВК+ВКН'!#REF!</definedName>
    <definedName name="Ostendorf" localSheetId="5">'[2]ВК+ВКН'!#REF!</definedName>
    <definedName name="Ostendorf" localSheetId="0">'[2]ВК+ВКН'!#REF!</definedName>
    <definedName name="Ostendorf">'[2]ВК+ВКН'!#REF!</definedName>
    <definedName name="qwe" localSheetId="1">#REF!</definedName>
    <definedName name="qwe" localSheetId="2">#REF!</definedName>
    <definedName name="qwe" localSheetId="3">#REF!</definedName>
    <definedName name="qwe" localSheetId="4">#REF!</definedName>
    <definedName name="qwe" localSheetId="5">#REF!</definedName>
    <definedName name="qwe" localSheetId="0">#REF!</definedName>
    <definedName name="qwe">#REF!</definedName>
    <definedName name="Rehau" localSheetId="1">[2]Опалення!#REF!</definedName>
    <definedName name="Rehau" localSheetId="2">[2]Опалення!#REF!</definedName>
    <definedName name="Rehau" localSheetId="3">[2]Опалення!#REF!</definedName>
    <definedName name="Rehau" localSheetId="4">[2]Опалення!#REF!</definedName>
    <definedName name="Rehau" localSheetId="5">[2]Опалення!#REF!</definedName>
    <definedName name="Rehau" localSheetId="0">[2]Опалення!#REF!</definedName>
    <definedName name="Rehau">[2]Опалення!#REF!</definedName>
    <definedName name="rownum" localSheetId="1">#REF!</definedName>
    <definedName name="rownum" localSheetId="2">#REF!</definedName>
    <definedName name="rownum" localSheetId="3">#REF!</definedName>
    <definedName name="rownum" localSheetId="4">#REF!</definedName>
    <definedName name="rownum" localSheetId="5">#REF!</definedName>
    <definedName name="rownum" localSheetId="0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Valtec">[2]Опалення!#REF!</definedName>
    <definedName name="work" localSheetId="1">#REF!</definedName>
    <definedName name="work" localSheetId="2">#REF!</definedName>
    <definedName name="work" localSheetId="3">#REF!</definedName>
    <definedName name="work" localSheetId="4">#REF!</definedName>
    <definedName name="work" localSheetId="5">#REF!</definedName>
    <definedName name="work" localSheetId="0">#REF!</definedName>
    <definedName name="work">#REF!</definedName>
    <definedName name="АВР" localSheetId="1">[3]ПРОЦЕНТОВАНИЕ!#REF!</definedName>
    <definedName name="АВР" localSheetId="2">[3]ПРОЦЕНТОВАНИЕ!#REF!</definedName>
    <definedName name="АВР" localSheetId="3">[3]ПРОЦЕНТОВАНИЕ!#REF!</definedName>
    <definedName name="АВР" localSheetId="4">[3]ПРОЦЕНТОВАНИЕ!#REF!</definedName>
    <definedName name="АВР" localSheetId="5">[3]ПРОЦЕНТОВАНИЕ!#REF!</definedName>
    <definedName name="АВР" localSheetId="0">[3]ПРОЦЕНТОВАНИЕ!#REF!</definedName>
    <definedName name="АВР">[3]ПРОЦЕНТОВАНИЕ!#REF!</definedName>
    <definedName name="аенор" localSheetId="1">#REF!</definedName>
    <definedName name="аенор" localSheetId="2">#REF!</definedName>
    <definedName name="аенор" localSheetId="3">#REF!</definedName>
    <definedName name="аенор" localSheetId="4">#REF!</definedName>
    <definedName name="аенор" localSheetId="5">#REF!</definedName>
    <definedName name="аенор" localSheetId="0">#REF!</definedName>
    <definedName name="аенор">#REF!</definedName>
    <definedName name="али" localSheetId="1">#REF!</definedName>
    <definedName name="али" localSheetId="2">#REF!</definedName>
    <definedName name="али" localSheetId="3">#REF!</definedName>
    <definedName name="али" localSheetId="4">#REF!</definedName>
    <definedName name="али" localSheetId="5">#REF!</definedName>
    <definedName name="али" localSheetId="0">#REF!</definedName>
    <definedName name="али">#REF!</definedName>
    <definedName name="Арматура" localSheetId="1">[2]Опалення!#REF!</definedName>
    <definedName name="Арматура" localSheetId="2">[2]Опалення!#REF!</definedName>
    <definedName name="Арматура" localSheetId="3">[2]Опалення!#REF!</definedName>
    <definedName name="Арматура" localSheetId="4">[2]Опалення!#REF!</definedName>
    <definedName name="Арматура" localSheetId="5">[2]Опалення!#REF!</definedName>
    <definedName name="Арматура" localSheetId="0">[2]Опалення!#REF!</definedName>
    <definedName name="Арматура">[2]Опалення!#REF!</definedName>
    <definedName name="б">'[4]Порівн ПЗН_4 (2)'!$O$2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0">#REF!</definedName>
    <definedName name="ва">#REF!</definedName>
    <definedName name="ваваимява" localSheetId="1">#REF!</definedName>
    <definedName name="ваваимява" localSheetId="2">#REF!</definedName>
    <definedName name="ваваимява" localSheetId="3">#REF!</definedName>
    <definedName name="ваваимява" localSheetId="4">#REF!</definedName>
    <definedName name="ваваимява" localSheetId="5">#REF!</definedName>
    <definedName name="ваваимява" localSheetId="0">#REF!</definedName>
    <definedName name="ваваимява">#REF!</definedName>
    <definedName name="Валюта">#REF!</definedName>
    <definedName name="варніек" localSheetId="1">#REF!</definedName>
    <definedName name="варніек" localSheetId="2">#REF!</definedName>
    <definedName name="варніек" localSheetId="3">#REF!</definedName>
    <definedName name="варніек" localSheetId="4">#REF!</definedName>
    <definedName name="варніек" localSheetId="5">#REF!</definedName>
    <definedName name="варніек" localSheetId="0">#REF!</definedName>
    <definedName name="варніек">#REF!</definedName>
    <definedName name="ВВВВ">#REF!</definedName>
    <definedName name="ВР">[5]ВР_12.2018!$B$15:$B$52</definedName>
    <definedName name="Всего" localSheetId="1">#REF!</definedName>
    <definedName name="Всего" localSheetId="2">#REF!</definedName>
    <definedName name="Всего" localSheetId="3">#REF!</definedName>
    <definedName name="Всего" localSheetId="4">#REF!</definedName>
    <definedName name="Всего" localSheetId="5">#REF!</definedName>
    <definedName name="Всего" localSheetId="0">#REF!</definedName>
    <definedName name="Всего">#REF!</definedName>
    <definedName name="ДЦ">#REF!</definedName>
    <definedName name="ДЦ_10.10.2025">#REF!</definedName>
    <definedName name="ДЦ_10.10.25">#REF!</definedName>
    <definedName name="дц_10_10">#REF!</definedName>
    <definedName name="дц_10_10_25">#REF!</definedName>
    <definedName name="ДЦ_кориг_10.10.25">#REF!</definedName>
    <definedName name="Дым_еств" localSheetId="1">#REF!</definedName>
    <definedName name="Дым_еств" localSheetId="2">#REF!</definedName>
    <definedName name="Дым_еств" localSheetId="3">#REF!</definedName>
    <definedName name="Дым_еств" localSheetId="4">#REF!</definedName>
    <definedName name="Дым_еств" localSheetId="5">#REF!</definedName>
    <definedName name="Дым_еств" localSheetId="0">#REF!</definedName>
    <definedName name="Дым_еств">#REF!</definedName>
    <definedName name="еарар" localSheetId="1">#REF!</definedName>
    <definedName name="еарар" localSheetId="2">#REF!</definedName>
    <definedName name="еарар" localSheetId="3">#REF!</definedName>
    <definedName name="еарар" localSheetId="4">#REF!</definedName>
    <definedName name="еарар" localSheetId="5">#REF!</definedName>
    <definedName name="еарар" localSheetId="0">#REF!</definedName>
    <definedName name="еарар">#REF!</definedName>
    <definedName name="Еденица">#REF!</definedName>
    <definedName name="еденицы_измерения">#REF!</definedName>
    <definedName name="Електрообігрів">#REF!</definedName>
    <definedName name="ж">#REF!</definedName>
    <definedName name="з">'[4]Порівн ПЗН_4 (2)'!$R$2</definedName>
    <definedName name="итог" localSheetId="1">#REF!</definedName>
    <definedName name="итог" localSheetId="2">#REF!</definedName>
    <definedName name="итог" localSheetId="3">#REF!</definedName>
    <definedName name="итог" localSheetId="4">#REF!</definedName>
    <definedName name="итог" localSheetId="5">#REF!</definedName>
    <definedName name="итог" localSheetId="0">#REF!</definedName>
    <definedName name="итог">#REF!</definedName>
    <definedName name="йц" localSheetId="1">#REF!</definedName>
    <definedName name="йц" localSheetId="2">#REF!</definedName>
    <definedName name="йц" localSheetId="3">#REF!</definedName>
    <definedName name="йц" localSheetId="4">#REF!</definedName>
    <definedName name="йц" localSheetId="5">#REF!</definedName>
    <definedName name="йц" localSheetId="0">#REF!</definedName>
    <definedName name="йц">#REF!</definedName>
    <definedName name="К_знижки" localSheetId="1">[2]Опалення!#REF!</definedName>
    <definedName name="К_знижки" localSheetId="2">[2]Опалення!#REF!</definedName>
    <definedName name="К_знижки" localSheetId="3">[2]Опалення!#REF!</definedName>
    <definedName name="К_знижки" localSheetId="4">[2]Опалення!#REF!</definedName>
    <definedName name="К_знижки" localSheetId="5">[2]Опалення!#REF!</definedName>
    <definedName name="К_знижки" localSheetId="0">[2]Опалення!#REF!</definedName>
    <definedName name="К_знижки">[2]Опалення!#REF!</definedName>
    <definedName name="Кориг_10.10.25">#REF!</definedName>
    <definedName name="кровля" localSheetId="1">#REF!</definedName>
    <definedName name="кровля" localSheetId="2">#REF!</definedName>
    <definedName name="кровля" localSheetId="3">#REF!</definedName>
    <definedName name="кровля" localSheetId="4">#REF!</definedName>
    <definedName name="кровля" localSheetId="5">#REF!</definedName>
    <definedName name="кровля" localSheetId="0">#REF!</definedName>
    <definedName name="кровля">#REF!</definedName>
    <definedName name="Курс_долар" localSheetId="1">[2]Опалення!#REF!</definedName>
    <definedName name="Курс_долар" localSheetId="2">[2]Опалення!#REF!</definedName>
    <definedName name="Курс_долар" localSheetId="3">[2]Опалення!#REF!</definedName>
    <definedName name="Курс_долар" localSheetId="4">[2]Опалення!#REF!</definedName>
    <definedName name="Курс_долар" localSheetId="5">[2]Опалення!#REF!</definedName>
    <definedName name="Курс_долар" localSheetId="0">[2]Опалення!#REF!</definedName>
    <definedName name="Курс_долар">[2]Опалення!#REF!</definedName>
    <definedName name="Курс_євро" localSheetId="1">[2]Опалення!#REF!</definedName>
    <definedName name="Курс_євро" localSheetId="2">[2]Опалення!#REF!</definedName>
    <definedName name="Курс_євро" localSheetId="3">[2]Опалення!#REF!</definedName>
    <definedName name="Курс_євро" localSheetId="4">[2]Опалення!#REF!</definedName>
    <definedName name="Курс_євро" localSheetId="5">[2]Опалення!#REF!</definedName>
    <definedName name="Курс_євро" localSheetId="0">[2]Опалення!#REF!</definedName>
    <definedName name="Курс_євро">[2]Опалення!#REF!</definedName>
    <definedName name="Материал" hidden="1">'[6]Сводная по мат-лам'!$B$5:$B$74</definedName>
    <definedName name="матеріали">'[7]матер-ли'!$B$6:$B$244</definedName>
    <definedName name="матеркладка" hidden="1">'[8]ИВР акту 74'!$B$15:$B$52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0">#REF!</definedName>
    <definedName name="мм">#REF!</definedName>
    <definedName name="Монтаж_вентиляции">#REF!</definedName>
    <definedName name="Монтаж_отопления">#REF!</definedName>
    <definedName name="Назва_матеріалу">'[9]Відомість ресурсів'!$B$2:$B$46</definedName>
    <definedName name="Назваматер" hidden="1">'[10]Сводная по арматуре'!$B$5:$B$50</definedName>
    <definedName name="_xlnm.Print_Area" localSheetId="1">'43.29'!$A$1:$K$440</definedName>
    <definedName name="_xlnm.Print_Area" localSheetId="2">'43.31'!$A$1:$K$440</definedName>
    <definedName name="_xlnm.Print_Area" localSheetId="3">'43.33'!$A$1:$K$440</definedName>
    <definedName name="_xlnm.Print_Area" localSheetId="4">'43.34'!$A$1:$K$440</definedName>
    <definedName name="_xlnm.Print_Area" localSheetId="5">'43.99'!$A$1:$K$440</definedName>
    <definedName name="_xlnm.Print_Area" localSheetId="0">ТЗ!$A$1:$F$24</definedName>
    <definedName name="Опалювальн_прилади" localSheetId="1">[2]Опалення!#REF!</definedName>
    <definedName name="Опалювальн_прилади" localSheetId="2">[2]Опалення!#REF!</definedName>
    <definedName name="Опалювальн_прилади" localSheetId="3">[2]Опалення!#REF!</definedName>
    <definedName name="Опалювальн_прилади" localSheetId="4">[2]Опалення!#REF!</definedName>
    <definedName name="Опалювальн_прилади" localSheetId="5">[2]Опалення!#REF!</definedName>
    <definedName name="Опалювальн_прилади" localSheetId="0">[2]Опалення!#REF!</definedName>
    <definedName name="Опалювальн_прилади">[2]Опалення!#REF!</definedName>
    <definedName name="ПДВ">#REF!</definedName>
    <definedName name="приямки15.10.2025">#REF!</definedName>
    <definedName name="Пусконаладка" localSheetId="1">#REF!</definedName>
    <definedName name="Пусконаладка" localSheetId="2">#REF!</definedName>
    <definedName name="Пусконаладка" localSheetId="3">#REF!</definedName>
    <definedName name="Пусконаладка" localSheetId="4">#REF!</definedName>
    <definedName name="Пусконаладка" localSheetId="5">#REF!</definedName>
    <definedName name="Пусконаладка" localSheetId="0">#REF!</definedName>
    <definedName name="Пусконаладка">#REF!</definedName>
    <definedName name="р.3" localSheetId="1">#REF!</definedName>
    <definedName name="р.3" localSheetId="2">#REF!</definedName>
    <definedName name="р.3" localSheetId="3">#REF!</definedName>
    <definedName name="р.3" localSheetId="4">#REF!</definedName>
    <definedName name="р.3" localSheetId="5">#REF!</definedName>
    <definedName name="р.3" localSheetId="0">#REF!</definedName>
    <definedName name="р.3">#REF!</definedName>
    <definedName name="р.5" localSheetId="1">#REF!</definedName>
    <definedName name="р.5" localSheetId="2">#REF!</definedName>
    <definedName name="р.5" localSheetId="3">#REF!</definedName>
    <definedName name="р.5" localSheetId="4">#REF!</definedName>
    <definedName name="р.5" localSheetId="5">#REF!</definedName>
    <definedName name="р.5" localSheetId="0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ЦЕНА">#REF!</definedName>
    <definedName name="цены_вентиляция">#REF!</definedName>
    <definedName name="цены_отопления">#REF!</definedName>
    <definedName name="щ">#REF!</definedName>
    <definedName name="явапияваим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2" l="1"/>
  <c r="F9" i="22" l="1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8" i="22"/>
  <c r="E390" i="20" l="1"/>
  <c r="E389" i="20"/>
  <c r="E388" i="20"/>
  <c r="E387" i="20"/>
  <c r="F386" i="20"/>
  <c r="F383" i="20"/>
  <c r="J383" i="20" s="1"/>
  <c r="K383" i="20" s="1"/>
  <c r="F382" i="20"/>
  <c r="J382" i="20" s="1"/>
  <c r="K382" i="20" s="1"/>
  <c r="F381" i="20"/>
  <c r="J381" i="20" s="1"/>
  <c r="K381" i="20" s="1"/>
  <c r="F380" i="20"/>
  <c r="J380" i="20" s="1"/>
  <c r="K380" i="20" s="1"/>
  <c r="F378" i="20"/>
  <c r="J378" i="20" s="1"/>
  <c r="K378" i="20" s="1"/>
  <c r="J377" i="20"/>
  <c r="K377" i="20" s="1"/>
  <c r="F376" i="20"/>
  <c r="F374" i="20"/>
  <c r="J374" i="20" s="1"/>
  <c r="K374" i="20" s="1"/>
  <c r="F373" i="20"/>
  <c r="J373" i="20" s="1"/>
  <c r="K373" i="20" s="1"/>
  <c r="F372" i="20"/>
  <c r="J372" i="20" s="1"/>
  <c r="K372" i="20" s="1"/>
  <c r="F371" i="20"/>
  <c r="J371" i="20" s="1"/>
  <c r="K371" i="20" s="1"/>
  <c r="F369" i="20"/>
  <c r="J369" i="20" s="1"/>
  <c r="K369" i="20" s="1"/>
  <c r="J368" i="20"/>
  <c r="K368" i="20" s="1"/>
  <c r="F367" i="20"/>
  <c r="H367" i="20" s="1"/>
  <c r="K367" i="20" s="1"/>
  <c r="F365" i="20"/>
  <c r="J365" i="20" s="1"/>
  <c r="K365" i="20" s="1"/>
  <c r="F364" i="20"/>
  <c r="J364" i="20" s="1"/>
  <c r="K364" i="20" s="1"/>
  <c r="F363" i="20"/>
  <c r="J363" i="20" s="1"/>
  <c r="K363" i="20" s="1"/>
  <c r="J362" i="20"/>
  <c r="K362" i="20" s="1"/>
  <c r="F362" i="20"/>
  <c r="F360" i="20"/>
  <c r="J360" i="20" s="1"/>
  <c r="K360" i="20" s="1"/>
  <c r="J359" i="20"/>
  <c r="K359" i="20" s="1"/>
  <c r="H358" i="20"/>
  <c r="K358" i="20" s="1"/>
  <c r="F358" i="20"/>
  <c r="F361" i="20" s="1"/>
  <c r="J361" i="20" s="1"/>
  <c r="K361" i="20" s="1"/>
  <c r="F356" i="20"/>
  <c r="J356" i="20" s="1"/>
  <c r="K356" i="20" s="1"/>
  <c r="F355" i="20"/>
  <c r="J355" i="20" s="1"/>
  <c r="K355" i="20" s="1"/>
  <c r="F354" i="20"/>
  <c r="J354" i="20" s="1"/>
  <c r="K354" i="20" s="1"/>
  <c r="F353" i="20"/>
  <c r="J353" i="20" s="1"/>
  <c r="K353" i="20" s="1"/>
  <c r="F351" i="20"/>
  <c r="J351" i="20" s="1"/>
  <c r="K351" i="20" s="1"/>
  <c r="J350" i="20"/>
  <c r="K350" i="20" s="1"/>
  <c r="F349" i="20"/>
  <c r="H349" i="20" s="1"/>
  <c r="K349" i="20" s="1"/>
  <c r="E346" i="20"/>
  <c r="F345" i="20"/>
  <c r="F347" i="20" s="1"/>
  <c r="J347" i="20" s="1"/>
  <c r="K347" i="20" s="1"/>
  <c r="F342" i="20"/>
  <c r="F344" i="20" s="1"/>
  <c r="J344" i="20" s="1"/>
  <c r="K344" i="20" s="1"/>
  <c r="E339" i="20"/>
  <c r="E337" i="20"/>
  <c r="E336" i="20"/>
  <c r="E335" i="20"/>
  <c r="F334" i="20"/>
  <c r="F331" i="20"/>
  <c r="H331" i="20" s="1"/>
  <c r="K331" i="20" s="1"/>
  <c r="F330" i="20"/>
  <c r="J330" i="20" s="1"/>
  <c r="K330" i="20" s="1"/>
  <c r="F329" i="20"/>
  <c r="J329" i="20" s="1"/>
  <c r="K329" i="20" s="1"/>
  <c r="F328" i="20"/>
  <c r="J328" i="20" s="1"/>
  <c r="K328" i="20" s="1"/>
  <c r="F327" i="20"/>
  <c r="J327" i="20" s="1"/>
  <c r="K327" i="20" s="1"/>
  <c r="F326" i="20"/>
  <c r="J326" i="20" s="1"/>
  <c r="K326" i="20" s="1"/>
  <c r="H325" i="20"/>
  <c r="K325" i="20" s="1"/>
  <c r="E322" i="20"/>
  <c r="F322" i="20" s="1"/>
  <c r="J322" i="20" s="1"/>
  <c r="K322" i="20" s="1"/>
  <c r="F321" i="20"/>
  <c r="H321" i="20" s="1"/>
  <c r="K321" i="20" s="1"/>
  <c r="F318" i="20"/>
  <c r="H318" i="20" s="1"/>
  <c r="K318" i="20" s="1"/>
  <c r="F315" i="20"/>
  <c r="F317" i="20" s="1"/>
  <c r="J317" i="20" s="1"/>
  <c r="K317" i="20" s="1"/>
  <c r="E312" i="20"/>
  <c r="E310" i="20"/>
  <c r="E309" i="20"/>
  <c r="E308" i="20"/>
  <c r="F307" i="20"/>
  <c r="F306" i="20"/>
  <c r="J306" i="20" s="1"/>
  <c r="K306" i="20" s="1"/>
  <c r="F305" i="20"/>
  <c r="J305" i="20" s="1"/>
  <c r="K305" i="20" s="1"/>
  <c r="F304" i="20"/>
  <c r="J304" i="20" s="1"/>
  <c r="K304" i="20" s="1"/>
  <c r="F303" i="20"/>
  <c r="J303" i="20" s="1"/>
  <c r="K303" i="20" s="1"/>
  <c r="F302" i="20"/>
  <c r="J302" i="20" s="1"/>
  <c r="K302" i="20" s="1"/>
  <c r="H301" i="20"/>
  <c r="K301" i="20" s="1"/>
  <c r="E296" i="20"/>
  <c r="E294" i="20"/>
  <c r="E293" i="20"/>
  <c r="E292" i="20"/>
  <c r="F291" i="20"/>
  <c r="F292" i="20" s="1"/>
  <c r="J292" i="20" s="1"/>
  <c r="K292" i="20" s="1"/>
  <c r="F290" i="20"/>
  <c r="J290" i="20" s="1"/>
  <c r="K290" i="20" s="1"/>
  <c r="F289" i="20"/>
  <c r="J289" i="20" s="1"/>
  <c r="K289" i="20" s="1"/>
  <c r="F288" i="20"/>
  <c r="J288" i="20" s="1"/>
  <c r="K288" i="20" s="1"/>
  <c r="F287" i="20"/>
  <c r="J287" i="20" s="1"/>
  <c r="K287" i="20" s="1"/>
  <c r="F286" i="20"/>
  <c r="J286" i="20" s="1"/>
  <c r="K286" i="20" s="1"/>
  <c r="H285" i="20"/>
  <c r="K285" i="20" s="1"/>
  <c r="E281" i="20"/>
  <c r="F280" i="20"/>
  <c r="F282" i="20" s="1"/>
  <c r="J282" i="20" s="1"/>
  <c r="K282" i="20" s="1"/>
  <c r="E277" i="20"/>
  <c r="E275" i="20"/>
  <c r="E274" i="20"/>
  <c r="E273" i="20"/>
  <c r="F272" i="20"/>
  <c r="F276" i="20" s="1"/>
  <c r="J276" i="20" s="1"/>
  <c r="K276" i="20" s="1"/>
  <c r="F269" i="20"/>
  <c r="F271" i="20" s="1"/>
  <c r="J271" i="20" s="1"/>
  <c r="K271" i="20" s="1"/>
  <c r="F268" i="20"/>
  <c r="J268" i="20" s="1"/>
  <c r="K268" i="20" s="1"/>
  <c r="F267" i="20"/>
  <c r="J267" i="20" s="1"/>
  <c r="K267" i="20" s="1"/>
  <c r="F266" i="20"/>
  <c r="J266" i="20" s="1"/>
  <c r="K266" i="20" s="1"/>
  <c r="F265" i="20"/>
  <c r="J265" i="20" s="1"/>
  <c r="K265" i="20" s="1"/>
  <c r="F264" i="20"/>
  <c r="J264" i="20" s="1"/>
  <c r="K264" i="20" s="1"/>
  <c r="H263" i="20"/>
  <c r="K263" i="20" s="1"/>
  <c r="F258" i="20"/>
  <c r="F259" i="20" s="1"/>
  <c r="J259" i="20" s="1"/>
  <c r="K259" i="20" s="1"/>
  <c r="E255" i="20"/>
  <c r="E253" i="20"/>
  <c r="E252" i="20"/>
  <c r="E251" i="20"/>
  <c r="F250" i="20"/>
  <c r="F252" i="20" s="1"/>
  <c r="J252" i="20" s="1"/>
  <c r="K252" i="20" s="1"/>
  <c r="F249" i="20"/>
  <c r="J249" i="20" s="1"/>
  <c r="K249" i="20" s="1"/>
  <c r="F248" i="20"/>
  <c r="J248" i="20" s="1"/>
  <c r="K248" i="20" s="1"/>
  <c r="F247" i="20"/>
  <c r="J247" i="20" s="1"/>
  <c r="K247" i="20" s="1"/>
  <c r="F246" i="20"/>
  <c r="J246" i="20" s="1"/>
  <c r="K246" i="20" s="1"/>
  <c r="F245" i="20"/>
  <c r="J245" i="20" s="1"/>
  <c r="K245" i="20" s="1"/>
  <c r="H244" i="20"/>
  <c r="K244" i="20" s="1"/>
  <c r="F241" i="20"/>
  <c r="J241" i="20" s="1"/>
  <c r="K241" i="20" s="1"/>
  <c r="F240" i="20"/>
  <c r="J240" i="20" s="1"/>
  <c r="K240" i="20" s="1"/>
  <c r="F239" i="20"/>
  <c r="J239" i="20" s="1"/>
  <c r="K239" i="20" s="1"/>
  <c r="E239" i="20"/>
  <c r="F238" i="20"/>
  <c r="J238" i="20" s="1"/>
  <c r="K238" i="20" s="1"/>
  <c r="E237" i="20"/>
  <c r="F237" i="20" s="1"/>
  <c r="J237" i="20" s="1"/>
  <c r="K237" i="20" s="1"/>
  <c r="E236" i="20"/>
  <c r="F236" i="20" s="1"/>
  <c r="J236" i="20" s="1"/>
  <c r="K236" i="20" s="1"/>
  <c r="E235" i="20"/>
  <c r="F235" i="20" s="1"/>
  <c r="J235" i="20" s="1"/>
  <c r="K235" i="20" s="1"/>
  <c r="H234" i="20"/>
  <c r="K234" i="20" s="1"/>
  <c r="A234" i="20"/>
  <c r="A244" i="20" s="1"/>
  <c r="A250" i="20" s="1"/>
  <c r="A258" i="20" s="1"/>
  <c r="A263" i="20" s="1"/>
  <c r="A269" i="20" s="1"/>
  <c r="A272" i="20" s="1"/>
  <c r="A280" i="20" s="1"/>
  <c r="A285" i="20" s="1"/>
  <c r="A291" i="20" s="1"/>
  <c r="A301" i="20" s="1"/>
  <c r="A307" i="20" s="1"/>
  <c r="A315" i="20" s="1"/>
  <c r="A318" i="20" s="1"/>
  <c r="A321" i="20" s="1"/>
  <c r="A325" i="20" s="1"/>
  <c r="A331" i="20" s="1"/>
  <c r="A334" i="20" s="1"/>
  <c r="A342" i="20" s="1"/>
  <c r="A345" i="20" s="1"/>
  <c r="A349" i="20" s="1"/>
  <c r="A358" i="20" s="1"/>
  <c r="A367" i="20" s="1"/>
  <c r="A376" i="20" s="1"/>
  <c r="A386" i="20" s="1"/>
  <c r="J233" i="20"/>
  <c r="K233" i="20" s="1"/>
  <c r="J232" i="20"/>
  <c r="K232" i="20" s="1"/>
  <c r="J231" i="20"/>
  <c r="K231" i="20" s="1"/>
  <c r="J230" i="20"/>
  <c r="K230" i="20" s="1"/>
  <c r="J229" i="20"/>
  <c r="K229" i="20" s="1"/>
  <c r="J228" i="20"/>
  <c r="K228" i="20" s="1"/>
  <c r="H227" i="20"/>
  <c r="K227" i="20" s="1"/>
  <c r="J225" i="20"/>
  <c r="H225" i="20"/>
  <c r="F215" i="20"/>
  <c r="F219" i="20" s="1"/>
  <c r="J219" i="20" s="1"/>
  <c r="K219" i="20" s="1"/>
  <c r="F207" i="20"/>
  <c r="F211" i="20" s="1"/>
  <c r="J211" i="20" s="1"/>
  <c r="K211" i="20" s="1"/>
  <c r="F206" i="20"/>
  <c r="J206" i="20" s="1"/>
  <c r="K206" i="20" s="1"/>
  <c r="F205" i="20"/>
  <c r="J205" i="20" s="1"/>
  <c r="K205" i="20" s="1"/>
  <c r="F204" i="20"/>
  <c r="J204" i="20" s="1"/>
  <c r="K204" i="20" s="1"/>
  <c r="F203" i="20"/>
  <c r="J203" i="20" s="1"/>
  <c r="K203" i="20" s="1"/>
  <c r="F202" i="20"/>
  <c r="J202" i="20" s="1"/>
  <c r="K202" i="20" s="1"/>
  <c r="H201" i="20"/>
  <c r="K201" i="20" s="1"/>
  <c r="F196" i="20"/>
  <c r="F197" i="20" s="1"/>
  <c r="J197" i="20" s="1"/>
  <c r="K197" i="20" s="1"/>
  <c r="H194" i="20"/>
  <c r="K194" i="20" s="1"/>
  <c r="F194" i="20"/>
  <c r="F195" i="20" s="1"/>
  <c r="J195" i="20" s="1"/>
  <c r="K195" i="20" s="1"/>
  <c r="F185" i="20"/>
  <c r="J185" i="20" s="1"/>
  <c r="K185" i="20" s="1"/>
  <c r="F183" i="20"/>
  <c r="J181" i="20"/>
  <c r="H181" i="20"/>
  <c r="F172" i="20"/>
  <c r="A167" i="20"/>
  <c r="A172" i="20" s="1"/>
  <c r="A174" i="20" s="1"/>
  <c r="A177" i="20" s="1"/>
  <c r="A183" i="20" s="1"/>
  <c r="A189" i="20" s="1"/>
  <c r="A194" i="20" s="1"/>
  <c r="A196" i="20" s="1"/>
  <c r="A201" i="20" s="1"/>
  <c r="A207" i="20" s="1"/>
  <c r="A215" i="20" s="1"/>
  <c r="A221" i="20" s="1"/>
  <c r="F165" i="20"/>
  <c r="F167" i="20" s="1"/>
  <c r="H167" i="20" s="1"/>
  <c r="K167" i="20" s="1"/>
  <c r="E160" i="20"/>
  <c r="E159" i="20"/>
  <c r="E158" i="20"/>
  <c r="E157" i="20"/>
  <c r="F156" i="20"/>
  <c r="F159" i="20" s="1"/>
  <c r="J159" i="20" s="1"/>
  <c r="K159" i="20" s="1"/>
  <c r="E152" i="20"/>
  <c r="F151" i="20"/>
  <c r="F148" i="20"/>
  <c r="E145" i="20"/>
  <c r="E143" i="20"/>
  <c r="E142" i="20"/>
  <c r="E141" i="20"/>
  <c r="F140" i="20"/>
  <c r="F139" i="20"/>
  <c r="J139" i="20" s="1"/>
  <c r="K139" i="20" s="1"/>
  <c r="F138" i="20"/>
  <c r="J138" i="20" s="1"/>
  <c r="K138" i="20" s="1"/>
  <c r="F137" i="20"/>
  <c r="J137" i="20" s="1"/>
  <c r="K137" i="20" s="1"/>
  <c r="J136" i="20"/>
  <c r="K136" i="20" s="1"/>
  <c r="F136" i="20"/>
  <c r="F135" i="20"/>
  <c r="J135" i="20" s="1"/>
  <c r="K135" i="20" s="1"/>
  <c r="H134" i="20"/>
  <c r="K134" i="20" s="1"/>
  <c r="E131" i="20"/>
  <c r="F130" i="20"/>
  <c r="F127" i="20"/>
  <c r="H127" i="20" s="1"/>
  <c r="K127" i="20" s="1"/>
  <c r="E124" i="20"/>
  <c r="E122" i="20"/>
  <c r="E121" i="20"/>
  <c r="E120" i="20"/>
  <c r="F119" i="20"/>
  <c r="H116" i="20"/>
  <c r="K116" i="20" s="1"/>
  <c r="F116" i="20"/>
  <c r="F115" i="20"/>
  <c r="J115" i="20" s="1"/>
  <c r="K115" i="20" s="1"/>
  <c r="F114" i="20"/>
  <c r="J114" i="20" s="1"/>
  <c r="K114" i="20" s="1"/>
  <c r="J113" i="20"/>
  <c r="K113" i="20" s="1"/>
  <c r="F113" i="20"/>
  <c r="F112" i="20"/>
  <c r="J112" i="20" s="1"/>
  <c r="K112" i="20" s="1"/>
  <c r="F111" i="20"/>
  <c r="J111" i="20" s="1"/>
  <c r="K111" i="20" s="1"/>
  <c r="K110" i="20"/>
  <c r="H110" i="20"/>
  <c r="F107" i="20"/>
  <c r="J107" i="20" s="1"/>
  <c r="K107" i="20" s="1"/>
  <c r="F106" i="20"/>
  <c r="J106" i="20" s="1"/>
  <c r="K106" i="20" s="1"/>
  <c r="E105" i="20"/>
  <c r="F105" i="20" s="1"/>
  <c r="J105" i="20" s="1"/>
  <c r="K105" i="20" s="1"/>
  <c r="F104" i="20"/>
  <c r="J104" i="20" s="1"/>
  <c r="K104" i="20" s="1"/>
  <c r="E103" i="20"/>
  <c r="F103" i="20" s="1"/>
  <c r="J103" i="20" s="1"/>
  <c r="K103" i="20" s="1"/>
  <c r="E102" i="20"/>
  <c r="F102" i="20" s="1"/>
  <c r="J102" i="20" s="1"/>
  <c r="K102" i="20" s="1"/>
  <c r="E101" i="20"/>
  <c r="F101" i="20" s="1"/>
  <c r="J101" i="20" s="1"/>
  <c r="K101" i="20" s="1"/>
  <c r="H100" i="20"/>
  <c r="K100" i="20" s="1"/>
  <c r="J99" i="20"/>
  <c r="K99" i="20" s="1"/>
  <c r="J98" i="20"/>
  <c r="K98" i="20" s="1"/>
  <c r="J97" i="20"/>
  <c r="K97" i="20" s="1"/>
  <c r="J96" i="20"/>
  <c r="K96" i="20" s="1"/>
  <c r="J95" i="20"/>
  <c r="K95" i="20" s="1"/>
  <c r="J94" i="20"/>
  <c r="K94" i="20" s="1"/>
  <c r="F93" i="20"/>
  <c r="H93" i="20" s="1"/>
  <c r="K93" i="20" s="1"/>
  <c r="J91" i="20"/>
  <c r="H91" i="20"/>
  <c r="F80" i="20"/>
  <c r="F72" i="20"/>
  <c r="F77" i="20" s="1"/>
  <c r="J77" i="20" s="1"/>
  <c r="K77" i="20" s="1"/>
  <c r="F71" i="20"/>
  <c r="J71" i="20" s="1"/>
  <c r="K71" i="20" s="1"/>
  <c r="F70" i="20"/>
  <c r="J70" i="20" s="1"/>
  <c r="K70" i="20" s="1"/>
  <c r="F69" i="20"/>
  <c r="J69" i="20" s="1"/>
  <c r="K69" i="20" s="1"/>
  <c r="F68" i="20"/>
  <c r="J68" i="20" s="1"/>
  <c r="K68" i="20" s="1"/>
  <c r="F67" i="20"/>
  <c r="J67" i="20" s="1"/>
  <c r="K67" i="20" s="1"/>
  <c r="H66" i="20"/>
  <c r="K66" i="20" s="1"/>
  <c r="F59" i="20"/>
  <c r="F60" i="20" s="1"/>
  <c r="J60" i="20" s="1"/>
  <c r="K60" i="20" s="1"/>
  <c r="F48" i="20"/>
  <c r="F53" i="20" s="1"/>
  <c r="J53" i="20" s="1"/>
  <c r="K53" i="20" s="1"/>
  <c r="J46" i="20"/>
  <c r="H46" i="20"/>
  <c r="F33" i="20"/>
  <c r="F42" i="20" s="1"/>
  <c r="F28" i="20"/>
  <c r="F30" i="20" s="1"/>
  <c r="J30" i="20" s="1"/>
  <c r="K30" i="20" s="1"/>
  <c r="F25" i="20"/>
  <c r="H25" i="20" s="1"/>
  <c r="K25" i="20" s="1"/>
  <c r="F24" i="20"/>
  <c r="J24" i="20" s="1"/>
  <c r="K24" i="20" s="1"/>
  <c r="K23" i="20"/>
  <c r="H23" i="20"/>
  <c r="A18" i="20"/>
  <c r="A23" i="20" s="1"/>
  <c r="A25" i="20" s="1"/>
  <c r="A28" i="20" s="1"/>
  <c r="A33" i="20" s="1"/>
  <c r="A35" i="20" s="1"/>
  <c r="A37" i="20" s="1"/>
  <c r="A39" i="20" s="1"/>
  <c r="A42" i="20" s="1"/>
  <c r="A48" i="20" s="1"/>
  <c r="A54" i="20" s="1"/>
  <c r="A59" i="20" s="1"/>
  <c r="A61" i="20" s="1"/>
  <c r="A66" i="20" s="1"/>
  <c r="A72" i="20" s="1"/>
  <c r="A80" i="20" s="1"/>
  <c r="A86" i="20" s="1"/>
  <c r="A93" i="20" s="1"/>
  <c r="A100" i="20" s="1"/>
  <c r="A110" i="20" s="1"/>
  <c r="A116" i="20" s="1"/>
  <c r="A119" i="20" s="1"/>
  <c r="A127" i="20" s="1"/>
  <c r="A130" i="20" s="1"/>
  <c r="A134" i="20" s="1"/>
  <c r="A140" i="20" s="1"/>
  <c r="A148" i="20" s="1"/>
  <c r="A151" i="20" s="1"/>
  <c r="A156" i="20" s="1"/>
  <c r="F16" i="20"/>
  <c r="H16" i="20" s="1"/>
  <c r="E390" i="19"/>
  <c r="E389" i="19"/>
  <c r="F389" i="19" s="1"/>
  <c r="J389" i="19" s="1"/>
  <c r="K389" i="19" s="1"/>
  <c r="E388" i="19"/>
  <c r="E387" i="19"/>
  <c r="H386" i="19"/>
  <c r="K386" i="19" s="1"/>
  <c r="F386" i="19"/>
  <c r="F388" i="19" s="1"/>
  <c r="J388" i="19" s="1"/>
  <c r="K388" i="19" s="1"/>
  <c r="F383" i="19"/>
  <c r="J383" i="19" s="1"/>
  <c r="K383" i="19" s="1"/>
  <c r="F382" i="19"/>
  <c r="J382" i="19" s="1"/>
  <c r="K382" i="19" s="1"/>
  <c r="F381" i="19"/>
  <c r="J381" i="19" s="1"/>
  <c r="K381" i="19" s="1"/>
  <c r="F380" i="19"/>
  <c r="J380" i="19" s="1"/>
  <c r="K380" i="19" s="1"/>
  <c r="F378" i="19"/>
  <c r="J378" i="19" s="1"/>
  <c r="K378" i="19" s="1"/>
  <c r="J377" i="19"/>
  <c r="K377" i="19" s="1"/>
  <c r="F376" i="19"/>
  <c r="H376" i="19" s="1"/>
  <c r="K376" i="19" s="1"/>
  <c r="F374" i="19"/>
  <c r="J374" i="19" s="1"/>
  <c r="K374" i="19" s="1"/>
  <c r="F373" i="19"/>
  <c r="J373" i="19" s="1"/>
  <c r="K373" i="19" s="1"/>
  <c r="F372" i="19"/>
  <c r="J372" i="19" s="1"/>
  <c r="K372" i="19" s="1"/>
  <c r="F371" i="19"/>
  <c r="J371" i="19" s="1"/>
  <c r="K371" i="19" s="1"/>
  <c r="F369" i="19"/>
  <c r="J369" i="19" s="1"/>
  <c r="K369" i="19" s="1"/>
  <c r="J368" i="19"/>
  <c r="K368" i="19" s="1"/>
  <c r="F367" i="19"/>
  <c r="F365" i="19"/>
  <c r="J365" i="19" s="1"/>
  <c r="K365" i="19" s="1"/>
  <c r="F364" i="19"/>
  <c r="J364" i="19" s="1"/>
  <c r="K364" i="19" s="1"/>
  <c r="F363" i="19"/>
  <c r="J363" i="19" s="1"/>
  <c r="K363" i="19" s="1"/>
  <c r="F362" i="19"/>
  <c r="J362" i="19" s="1"/>
  <c r="K362" i="19" s="1"/>
  <c r="F360" i="19"/>
  <c r="J360" i="19" s="1"/>
  <c r="K360" i="19" s="1"/>
  <c r="J359" i="19"/>
  <c r="K359" i="19" s="1"/>
  <c r="F358" i="19"/>
  <c r="H358" i="19" s="1"/>
  <c r="K358" i="19" s="1"/>
  <c r="F356" i="19"/>
  <c r="J356" i="19" s="1"/>
  <c r="K356" i="19" s="1"/>
  <c r="J355" i="19"/>
  <c r="K355" i="19" s="1"/>
  <c r="F355" i="19"/>
  <c r="F354" i="19"/>
  <c r="J354" i="19" s="1"/>
  <c r="K354" i="19" s="1"/>
  <c r="F353" i="19"/>
  <c r="J353" i="19" s="1"/>
  <c r="K353" i="19" s="1"/>
  <c r="F351" i="19"/>
  <c r="J351" i="19" s="1"/>
  <c r="K351" i="19" s="1"/>
  <c r="J350" i="19"/>
  <c r="K350" i="19" s="1"/>
  <c r="F349" i="19"/>
  <c r="H349" i="19" s="1"/>
  <c r="K349" i="19" s="1"/>
  <c r="E346" i="19"/>
  <c r="F345" i="19"/>
  <c r="F342" i="19"/>
  <c r="H342" i="19" s="1"/>
  <c r="K342" i="19" s="1"/>
  <c r="E339" i="19"/>
  <c r="E337" i="19"/>
  <c r="E336" i="19"/>
  <c r="E335" i="19"/>
  <c r="F334" i="19"/>
  <c r="F340" i="19" s="1"/>
  <c r="J340" i="19" s="1"/>
  <c r="K340" i="19" s="1"/>
  <c r="F331" i="19"/>
  <c r="H331" i="19" s="1"/>
  <c r="K331" i="19" s="1"/>
  <c r="F330" i="19"/>
  <c r="J330" i="19" s="1"/>
  <c r="K330" i="19" s="1"/>
  <c r="F329" i="19"/>
  <c r="J329" i="19" s="1"/>
  <c r="K329" i="19" s="1"/>
  <c r="F328" i="19"/>
  <c r="J328" i="19" s="1"/>
  <c r="K328" i="19" s="1"/>
  <c r="F327" i="19"/>
  <c r="J327" i="19" s="1"/>
  <c r="K327" i="19" s="1"/>
  <c r="F326" i="19"/>
  <c r="J326" i="19" s="1"/>
  <c r="K326" i="19" s="1"/>
  <c r="H325" i="19"/>
  <c r="K325" i="19" s="1"/>
  <c r="E322" i="19"/>
  <c r="F321" i="19"/>
  <c r="H321" i="19" s="1"/>
  <c r="K321" i="19" s="1"/>
  <c r="F318" i="19"/>
  <c r="H318" i="19" s="1"/>
  <c r="K318" i="19" s="1"/>
  <c r="F315" i="19"/>
  <c r="F317" i="19" s="1"/>
  <c r="J317" i="19" s="1"/>
  <c r="K317" i="19" s="1"/>
  <c r="E312" i="19"/>
  <c r="E310" i="19"/>
  <c r="E309" i="19"/>
  <c r="E308" i="19"/>
  <c r="F307" i="19"/>
  <c r="F306" i="19"/>
  <c r="J306" i="19" s="1"/>
  <c r="K306" i="19" s="1"/>
  <c r="F305" i="19"/>
  <c r="J305" i="19" s="1"/>
  <c r="K305" i="19" s="1"/>
  <c r="F304" i="19"/>
  <c r="J304" i="19" s="1"/>
  <c r="K304" i="19" s="1"/>
  <c r="F303" i="19"/>
  <c r="J303" i="19" s="1"/>
  <c r="K303" i="19" s="1"/>
  <c r="F302" i="19"/>
  <c r="J302" i="19" s="1"/>
  <c r="K302" i="19" s="1"/>
  <c r="H301" i="19"/>
  <c r="K301" i="19" s="1"/>
  <c r="E296" i="19"/>
  <c r="E294" i="19"/>
  <c r="F293" i="19"/>
  <c r="J293" i="19" s="1"/>
  <c r="K293" i="19" s="1"/>
  <c r="E293" i="19"/>
  <c r="E292" i="19"/>
  <c r="F291" i="19"/>
  <c r="J290" i="19"/>
  <c r="K290" i="19" s="1"/>
  <c r="F290" i="19"/>
  <c r="F289" i="19"/>
  <c r="J289" i="19" s="1"/>
  <c r="K289" i="19" s="1"/>
  <c r="F288" i="19"/>
  <c r="J288" i="19" s="1"/>
  <c r="K288" i="19" s="1"/>
  <c r="F287" i="19"/>
  <c r="J287" i="19" s="1"/>
  <c r="K287" i="19" s="1"/>
  <c r="F286" i="19"/>
  <c r="J286" i="19" s="1"/>
  <c r="K286" i="19" s="1"/>
  <c r="H285" i="19"/>
  <c r="K285" i="19" s="1"/>
  <c r="E281" i="19"/>
  <c r="F280" i="19"/>
  <c r="F282" i="19" s="1"/>
  <c r="J282" i="19" s="1"/>
  <c r="K282" i="19" s="1"/>
  <c r="E277" i="19"/>
  <c r="E275" i="19"/>
  <c r="E274" i="19"/>
  <c r="E273" i="19"/>
  <c r="F272" i="19"/>
  <c r="F269" i="19"/>
  <c r="H269" i="19" s="1"/>
  <c r="K269" i="19" s="1"/>
  <c r="F268" i="19"/>
  <c r="J268" i="19" s="1"/>
  <c r="K268" i="19" s="1"/>
  <c r="F267" i="19"/>
  <c r="J267" i="19" s="1"/>
  <c r="K267" i="19" s="1"/>
  <c r="J266" i="19"/>
  <c r="K266" i="19" s="1"/>
  <c r="F266" i="19"/>
  <c r="F265" i="19"/>
  <c r="J265" i="19" s="1"/>
  <c r="K265" i="19" s="1"/>
  <c r="F264" i="19"/>
  <c r="J264" i="19" s="1"/>
  <c r="K264" i="19" s="1"/>
  <c r="H263" i="19"/>
  <c r="K263" i="19" s="1"/>
  <c r="F258" i="19"/>
  <c r="F260" i="19" s="1"/>
  <c r="J260" i="19" s="1"/>
  <c r="K260" i="19" s="1"/>
  <c r="E255" i="19"/>
  <c r="E253" i="19"/>
  <c r="E252" i="19"/>
  <c r="E251" i="19"/>
  <c r="F250" i="19"/>
  <c r="F254" i="19" s="1"/>
  <c r="J254" i="19" s="1"/>
  <c r="K254" i="19" s="1"/>
  <c r="F249" i="19"/>
  <c r="J249" i="19" s="1"/>
  <c r="K249" i="19" s="1"/>
  <c r="F248" i="19"/>
  <c r="J248" i="19" s="1"/>
  <c r="K248" i="19" s="1"/>
  <c r="F247" i="19"/>
  <c r="J247" i="19" s="1"/>
  <c r="K247" i="19" s="1"/>
  <c r="F246" i="19"/>
  <c r="J246" i="19" s="1"/>
  <c r="K246" i="19" s="1"/>
  <c r="F245" i="19"/>
  <c r="J245" i="19" s="1"/>
  <c r="K245" i="19" s="1"/>
  <c r="H244" i="19"/>
  <c r="K244" i="19" s="1"/>
  <c r="F241" i="19"/>
  <c r="J241" i="19" s="1"/>
  <c r="K241" i="19" s="1"/>
  <c r="F240" i="19"/>
  <c r="J240" i="19" s="1"/>
  <c r="K240" i="19" s="1"/>
  <c r="E239" i="19"/>
  <c r="F239" i="19" s="1"/>
  <c r="J239" i="19" s="1"/>
  <c r="K239" i="19" s="1"/>
  <c r="F238" i="19"/>
  <c r="J238" i="19" s="1"/>
  <c r="K238" i="19" s="1"/>
  <c r="F237" i="19"/>
  <c r="J237" i="19" s="1"/>
  <c r="K237" i="19" s="1"/>
  <c r="E237" i="19"/>
  <c r="E236" i="19"/>
  <c r="F236" i="19" s="1"/>
  <c r="J236" i="19" s="1"/>
  <c r="K236" i="19" s="1"/>
  <c r="E235" i="19"/>
  <c r="F235" i="19" s="1"/>
  <c r="J235" i="19" s="1"/>
  <c r="K235" i="19" s="1"/>
  <c r="K234" i="19"/>
  <c r="H234" i="19"/>
  <c r="A234" i="19"/>
  <c r="A244" i="19" s="1"/>
  <c r="A250" i="19" s="1"/>
  <c r="A258" i="19" s="1"/>
  <c r="A263" i="19" s="1"/>
  <c r="A269" i="19" s="1"/>
  <c r="A272" i="19" s="1"/>
  <c r="A280" i="19" s="1"/>
  <c r="A285" i="19" s="1"/>
  <c r="A291" i="19" s="1"/>
  <c r="A301" i="19" s="1"/>
  <c r="A307" i="19" s="1"/>
  <c r="A315" i="19" s="1"/>
  <c r="A318" i="19" s="1"/>
  <c r="A321" i="19" s="1"/>
  <c r="A325" i="19" s="1"/>
  <c r="A331" i="19" s="1"/>
  <c r="A334" i="19" s="1"/>
  <c r="A342" i="19" s="1"/>
  <c r="A345" i="19" s="1"/>
  <c r="A349" i="19" s="1"/>
  <c r="A358" i="19" s="1"/>
  <c r="A367" i="19" s="1"/>
  <c r="A376" i="19" s="1"/>
  <c r="A386" i="19" s="1"/>
  <c r="J233" i="19"/>
  <c r="K233" i="19" s="1"/>
  <c r="J232" i="19"/>
  <c r="K232" i="19" s="1"/>
  <c r="J231" i="19"/>
  <c r="K231" i="19" s="1"/>
  <c r="J230" i="19"/>
  <c r="K230" i="19" s="1"/>
  <c r="J229" i="19"/>
  <c r="K229" i="19" s="1"/>
  <c r="J228" i="19"/>
  <c r="K228" i="19" s="1"/>
  <c r="H227" i="19"/>
  <c r="K227" i="19" s="1"/>
  <c r="J225" i="19"/>
  <c r="H225" i="19"/>
  <c r="F215" i="19"/>
  <c r="F220" i="19" s="1"/>
  <c r="J220" i="19" s="1"/>
  <c r="K220" i="19" s="1"/>
  <c r="F207" i="19"/>
  <c r="K206" i="19"/>
  <c r="F206" i="19"/>
  <c r="J206" i="19" s="1"/>
  <c r="F205" i="19"/>
  <c r="J205" i="19" s="1"/>
  <c r="K205" i="19" s="1"/>
  <c r="F204" i="19"/>
  <c r="J204" i="19" s="1"/>
  <c r="K204" i="19" s="1"/>
  <c r="F203" i="19"/>
  <c r="J203" i="19" s="1"/>
  <c r="K203" i="19" s="1"/>
  <c r="F202" i="19"/>
  <c r="J202" i="19" s="1"/>
  <c r="K202" i="19" s="1"/>
  <c r="H201" i="19"/>
  <c r="K201" i="19" s="1"/>
  <c r="F194" i="19"/>
  <c r="H194" i="19" s="1"/>
  <c r="K194" i="19" s="1"/>
  <c r="F183" i="19"/>
  <c r="J181" i="19"/>
  <c r="H181" i="19"/>
  <c r="F172" i="19"/>
  <c r="F174" i="19" s="1"/>
  <c r="F175" i="19" s="1"/>
  <c r="J175" i="19" s="1"/>
  <c r="K175" i="19" s="1"/>
  <c r="A167" i="19"/>
  <c r="A172" i="19" s="1"/>
  <c r="A174" i="19" s="1"/>
  <c r="A177" i="19" s="1"/>
  <c r="A183" i="19" s="1"/>
  <c r="A189" i="19" s="1"/>
  <c r="A194" i="19" s="1"/>
  <c r="A196" i="19" s="1"/>
  <c r="A201" i="19" s="1"/>
  <c r="A207" i="19" s="1"/>
  <c r="A215" i="19" s="1"/>
  <c r="A221" i="19" s="1"/>
  <c r="J166" i="19"/>
  <c r="K166" i="19" s="1"/>
  <c r="F165" i="19"/>
  <c r="F166" i="19" s="1"/>
  <c r="F160" i="19"/>
  <c r="J160" i="19" s="1"/>
  <c r="K160" i="19" s="1"/>
  <c r="E160" i="19"/>
  <c r="E159" i="19"/>
  <c r="E158" i="19"/>
  <c r="E157" i="19"/>
  <c r="F156" i="19"/>
  <c r="E152" i="19"/>
  <c r="F151" i="19"/>
  <c r="F153" i="19" s="1"/>
  <c r="J153" i="19" s="1"/>
  <c r="K153" i="19" s="1"/>
  <c r="F148" i="19"/>
  <c r="H148" i="19" s="1"/>
  <c r="K148" i="19" s="1"/>
  <c r="E145" i="19"/>
  <c r="E143" i="19"/>
  <c r="E142" i="19"/>
  <c r="E141" i="19"/>
  <c r="F140" i="19"/>
  <c r="F146" i="19" s="1"/>
  <c r="J146" i="19" s="1"/>
  <c r="K146" i="19" s="1"/>
  <c r="F139" i="19"/>
  <c r="J139" i="19" s="1"/>
  <c r="K139" i="19" s="1"/>
  <c r="F138" i="19"/>
  <c r="J138" i="19" s="1"/>
  <c r="K138" i="19" s="1"/>
  <c r="F137" i="19"/>
  <c r="J137" i="19" s="1"/>
  <c r="K137" i="19" s="1"/>
  <c r="J136" i="19"/>
  <c r="K136" i="19" s="1"/>
  <c r="F136" i="19"/>
  <c r="F135" i="19"/>
  <c r="J135" i="19" s="1"/>
  <c r="K135" i="19" s="1"/>
  <c r="H134" i="19"/>
  <c r="K134" i="19" s="1"/>
  <c r="E131" i="19"/>
  <c r="F131" i="19" s="1"/>
  <c r="J131" i="19" s="1"/>
  <c r="K131" i="19" s="1"/>
  <c r="F130" i="19"/>
  <c r="H130" i="19" s="1"/>
  <c r="K130" i="19" s="1"/>
  <c r="F127" i="19"/>
  <c r="F128" i="19" s="1"/>
  <c r="J128" i="19" s="1"/>
  <c r="K128" i="19" s="1"/>
  <c r="E124" i="19"/>
  <c r="F124" i="19" s="1"/>
  <c r="J124" i="19" s="1"/>
  <c r="K124" i="19" s="1"/>
  <c r="E122" i="19"/>
  <c r="E121" i="19"/>
  <c r="E120" i="19"/>
  <c r="H119" i="19"/>
  <c r="K119" i="19" s="1"/>
  <c r="F119" i="19"/>
  <c r="F123" i="19" s="1"/>
  <c r="J123" i="19" s="1"/>
  <c r="K123" i="19" s="1"/>
  <c r="F116" i="19"/>
  <c r="F118" i="19" s="1"/>
  <c r="J118" i="19" s="1"/>
  <c r="K118" i="19" s="1"/>
  <c r="F115" i="19"/>
  <c r="J115" i="19" s="1"/>
  <c r="K115" i="19" s="1"/>
  <c r="F114" i="19"/>
  <c r="J114" i="19" s="1"/>
  <c r="K114" i="19" s="1"/>
  <c r="F113" i="19"/>
  <c r="J113" i="19" s="1"/>
  <c r="K113" i="19" s="1"/>
  <c r="F112" i="19"/>
  <c r="J112" i="19" s="1"/>
  <c r="K112" i="19" s="1"/>
  <c r="F111" i="19"/>
  <c r="J111" i="19" s="1"/>
  <c r="K111" i="19" s="1"/>
  <c r="H110" i="19"/>
  <c r="K110" i="19" s="1"/>
  <c r="F107" i="19"/>
  <c r="J107" i="19" s="1"/>
  <c r="K107" i="19" s="1"/>
  <c r="F106" i="19"/>
  <c r="J106" i="19" s="1"/>
  <c r="K106" i="19" s="1"/>
  <c r="E105" i="19"/>
  <c r="F105" i="19" s="1"/>
  <c r="J105" i="19" s="1"/>
  <c r="K105" i="19" s="1"/>
  <c r="F104" i="19"/>
  <c r="J104" i="19" s="1"/>
  <c r="K104" i="19" s="1"/>
  <c r="E103" i="19"/>
  <c r="F103" i="19" s="1"/>
  <c r="J103" i="19" s="1"/>
  <c r="K103" i="19" s="1"/>
  <c r="F102" i="19"/>
  <c r="J102" i="19" s="1"/>
  <c r="K102" i="19" s="1"/>
  <c r="E102" i="19"/>
  <c r="F101" i="19"/>
  <c r="J101" i="19" s="1"/>
  <c r="K101" i="19" s="1"/>
  <c r="E101" i="19"/>
  <c r="H100" i="19"/>
  <c r="K100" i="19" s="1"/>
  <c r="J99" i="19"/>
  <c r="K99" i="19" s="1"/>
  <c r="J98" i="19"/>
  <c r="K98" i="19" s="1"/>
  <c r="J97" i="19"/>
  <c r="K97" i="19" s="1"/>
  <c r="J96" i="19"/>
  <c r="K96" i="19" s="1"/>
  <c r="J95" i="19"/>
  <c r="K95" i="19" s="1"/>
  <c r="J94" i="19"/>
  <c r="K94" i="19" s="1"/>
  <c r="F93" i="19"/>
  <c r="H93" i="19" s="1"/>
  <c r="K93" i="19" s="1"/>
  <c r="J91" i="19"/>
  <c r="H91" i="19"/>
  <c r="F80" i="19"/>
  <c r="F72" i="19"/>
  <c r="F76" i="19" s="1"/>
  <c r="J76" i="19" s="1"/>
  <c r="K76" i="19" s="1"/>
  <c r="F71" i="19"/>
  <c r="J71" i="19" s="1"/>
  <c r="K71" i="19" s="1"/>
  <c r="F70" i="19"/>
  <c r="J70" i="19" s="1"/>
  <c r="K70" i="19" s="1"/>
  <c r="F69" i="19"/>
  <c r="J69" i="19" s="1"/>
  <c r="K69" i="19" s="1"/>
  <c r="F68" i="19"/>
  <c r="J68" i="19" s="1"/>
  <c r="K68" i="19" s="1"/>
  <c r="F67" i="19"/>
  <c r="J67" i="19" s="1"/>
  <c r="K67" i="19" s="1"/>
  <c r="H66" i="19"/>
  <c r="K66" i="19" s="1"/>
  <c r="F59" i="19"/>
  <c r="F61" i="19" s="1"/>
  <c r="F63" i="19" s="1"/>
  <c r="J63" i="19" s="1"/>
  <c r="K63" i="19" s="1"/>
  <c r="F48" i="19"/>
  <c r="F54" i="19" s="1"/>
  <c r="J46" i="19"/>
  <c r="H46" i="19"/>
  <c r="F35" i="19"/>
  <c r="F37" i="19" s="1"/>
  <c r="F33" i="19"/>
  <c r="F39" i="19" s="1"/>
  <c r="F28" i="19"/>
  <c r="F25" i="19"/>
  <c r="H25" i="19" s="1"/>
  <c r="K25" i="19" s="1"/>
  <c r="F24" i="19"/>
  <c r="J24" i="19" s="1"/>
  <c r="K24" i="19" s="1"/>
  <c r="H23" i="19"/>
  <c r="K23" i="19" s="1"/>
  <c r="A18" i="19"/>
  <c r="A23" i="19" s="1"/>
  <c r="A25" i="19" s="1"/>
  <c r="A28" i="19" s="1"/>
  <c r="A33" i="19" s="1"/>
  <c r="A35" i="19" s="1"/>
  <c r="A37" i="19" s="1"/>
  <c r="A39" i="19" s="1"/>
  <c r="A42" i="19" s="1"/>
  <c r="A48" i="19" s="1"/>
  <c r="A54" i="19" s="1"/>
  <c r="A59" i="19" s="1"/>
  <c r="A61" i="19" s="1"/>
  <c r="A66" i="19" s="1"/>
  <c r="A72" i="19" s="1"/>
  <c r="A80" i="19" s="1"/>
  <c r="A86" i="19" s="1"/>
  <c r="A93" i="19" s="1"/>
  <c r="A100" i="19" s="1"/>
  <c r="A110" i="19" s="1"/>
  <c r="A116" i="19" s="1"/>
  <c r="A119" i="19" s="1"/>
  <c r="A127" i="19" s="1"/>
  <c r="A130" i="19" s="1"/>
  <c r="A134" i="19" s="1"/>
  <c r="A140" i="19" s="1"/>
  <c r="A148" i="19" s="1"/>
  <c r="A151" i="19" s="1"/>
  <c r="A156" i="19" s="1"/>
  <c r="F16" i="19"/>
  <c r="F18" i="19" s="1"/>
  <c r="H18" i="19" s="1"/>
  <c r="E390" i="18"/>
  <c r="E389" i="18"/>
  <c r="E388" i="18"/>
  <c r="E387" i="18"/>
  <c r="F386" i="18"/>
  <c r="H386" i="18" s="1"/>
  <c r="K386" i="18" s="1"/>
  <c r="F383" i="18"/>
  <c r="J383" i="18" s="1"/>
  <c r="K383" i="18" s="1"/>
  <c r="F382" i="18"/>
  <c r="J382" i="18" s="1"/>
  <c r="K382" i="18" s="1"/>
  <c r="F381" i="18"/>
  <c r="J381" i="18" s="1"/>
  <c r="K381" i="18" s="1"/>
  <c r="F380" i="18"/>
  <c r="J380" i="18" s="1"/>
  <c r="K380" i="18" s="1"/>
  <c r="F378" i="18"/>
  <c r="J378" i="18" s="1"/>
  <c r="K378" i="18" s="1"/>
  <c r="J377" i="18"/>
  <c r="K377" i="18" s="1"/>
  <c r="F376" i="18"/>
  <c r="F379" i="18" s="1"/>
  <c r="J379" i="18" s="1"/>
  <c r="K379" i="18" s="1"/>
  <c r="F374" i="18"/>
  <c r="J374" i="18" s="1"/>
  <c r="K374" i="18" s="1"/>
  <c r="F373" i="18"/>
  <c r="J373" i="18" s="1"/>
  <c r="K373" i="18" s="1"/>
  <c r="F372" i="18"/>
  <c r="J372" i="18" s="1"/>
  <c r="K372" i="18" s="1"/>
  <c r="F371" i="18"/>
  <c r="J371" i="18" s="1"/>
  <c r="K371" i="18" s="1"/>
  <c r="F370" i="18"/>
  <c r="J370" i="18" s="1"/>
  <c r="K370" i="18" s="1"/>
  <c r="F369" i="18"/>
  <c r="J369" i="18" s="1"/>
  <c r="K369" i="18" s="1"/>
  <c r="J368" i="18"/>
  <c r="K368" i="18" s="1"/>
  <c r="F367" i="18"/>
  <c r="H367" i="18" s="1"/>
  <c r="K367" i="18" s="1"/>
  <c r="F365" i="18"/>
  <c r="J365" i="18" s="1"/>
  <c r="K365" i="18" s="1"/>
  <c r="F364" i="18"/>
  <c r="J364" i="18" s="1"/>
  <c r="K364" i="18" s="1"/>
  <c r="F363" i="18"/>
  <c r="J363" i="18" s="1"/>
  <c r="K363" i="18" s="1"/>
  <c r="F362" i="18"/>
  <c r="J362" i="18" s="1"/>
  <c r="K362" i="18" s="1"/>
  <c r="F360" i="18"/>
  <c r="J360" i="18" s="1"/>
  <c r="K360" i="18" s="1"/>
  <c r="J359" i="18"/>
  <c r="K359" i="18" s="1"/>
  <c r="F358" i="18"/>
  <c r="H358" i="18" s="1"/>
  <c r="K358" i="18" s="1"/>
  <c r="F356" i="18"/>
  <c r="J356" i="18" s="1"/>
  <c r="K356" i="18" s="1"/>
  <c r="F355" i="18"/>
  <c r="J355" i="18" s="1"/>
  <c r="K355" i="18" s="1"/>
  <c r="F354" i="18"/>
  <c r="J354" i="18" s="1"/>
  <c r="K354" i="18" s="1"/>
  <c r="F353" i="18"/>
  <c r="J353" i="18" s="1"/>
  <c r="K353" i="18" s="1"/>
  <c r="F351" i="18"/>
  <c r="J351" i="18" s="1"/>
  <c r="K351" i="18" s="1"/>
  <c r="J350" i="18"/>
  <c r="K350" i="18" s="1"/>
  <c r="H349" i="18"/>
  <c r="K349" i="18" s="1"/>
  <c r="F349" i="18"/>
  <c r="F352" i="18" s="1"/>
  <c r="J352" i="18" s="1"/>
  <c r="K352" i="18" s="1"/>
  <c r="E346" i="18"/>
  <c r="F345" i="18"/>
  <c r="F344" i="18"/>
  <c r="J344" i="18" s="1"/>
  <c r="K344" i="18" s="1"/>
  <c r="F342" i="18"/>
  <c r="F343" i="18" s="1"/>
  <c r="J343" i="18" s="1"/>
  <c r="K343" i="18" s="1"/>
  <c r="E339" i="18"/>
  <c r="E337" i="18"/>
  <c r="E336" i="18"/>
  <c r="E335" i="18"/>
  <c r="F334" i="18"/>
  <c r="F331" i="18"/>
  <c r="J330" i="18"/>
  <c r="K330" i="18" s="1"/>
  <c r="F330" i="18"/>
  <c r="F329" i="18"/>
  <c r="J329" i="18" s="1"/>
  <c r="K329" i="18" s="1"/>
  <c r="F328" i="18"/>
  <c r="J328" i="18" s="1"/>
  <c r="K328" i="18" s="1"/>
  <c r="F327" i="18"/>
  <c r="J327" i="18" s="1"/>
  <c r="K327" i="18" s="1"/>
  <c r="F326" i="18"/>
  <c r="J326" i="18" s="1"/>
  <c r="K326" i="18" s="1"/>
  <c r="H325" i="18"/>
  <c r="K325" i="18" s="1"/>
  <c r="E322" i="18"/>
  <c r="F321" i="18"/>
  <c r="H321" i="18" s="1"/>
  <c r="K321" i="18" s="1"/>
  <c r="F318" i="18"/>
  <c r="F320" i="18" s="1"/>
  <c r="J320" i="18" s="1"/>
  <c r="K320" i="18" s="1"/>
  <c r="F315" i="18"/>
  <c r="E312" i="18"/>
  <c r="E310" i="18"/>
  <c r="E309" i="18"/>
  <c r="E308" i="18"/>
  <c r="F307" i="18"/>
  <c r="F314" i="18" s="1"/>
  <c r="J314" i="18" s="1"/>
  <c r="K314" i="18" s="1"/>
  <c r="F306" i="18"/>
  <c r="J306" i="18" s="1"/>
  <c r="K306" i="18" s="1"/>
  <c r="F305" i="18"/>
  <c r="J305" i="18" s="1"/>
  <c r="K305" i="18" s="1"/>
  <c r="F304" i="18"/>
  <c r="J304" i="18" s="1"/>
  <c r="K304" i="18" s="1"/>
  <c r="F303" i="18"/>
  <c r="J303" i="18" s="1"/>
  <c r="K303" i="18" s="1"/>
  <c r="F302" i="18"/>
  <c r="J302" i="18" s="1"/>
  <c r="K302" i="18" s="1"/>
  <c r="H301" i="18"/>
  <c r="K301" i="18" s="1"/>
  <c r="E296" i="18"/>
  <c r="E294" i="18"/>
  <c r="E293" i="18"/>
  <c r="E292" i="18"/>
  <c r="F291" i="18"/>
  <c r="F297" i="18" s="1"/>
  <c r="J297" i="18" s="1"/>
  <c r="K297" i="18" s="1"/>
  <c r="F290" i="18"/>
  <c r="J290" i="18" s="1"/>
  <c r="K290" i="18" s="1"/>
  <c r="F289" i="18"/>
  <c r="J289" i="18" s="1"/>
  <c r="K289" i="18" s="1"/>
  <c r="F288" i="18"/>
  <c r="J288" i="18" s="1"/>
  <c r="K288" i="18" s="1"/>
  <c r="F287" i="18"/>
  <c r="J287" i="18" s="1"/>
  <c r="K287" i="18" s="1"/>
  <c r="F286" i="18"/>
  <c r="J286" i="18" s="1"/>
  <c r="K286" i="18" s="1"/>
  <c r="H285" i="18"/>
  <c r="K285" i="18" s="1"/>
  <c r="E281" i="18"/>
  <c r="F280" i="18"/>
  <c r="E277" i="18"/>
  <c r="E275" i="18"/>
  <c r="E274" i="18"/>
  <c r="E273" i="18"/>
  <c r="F272" i="18"/>
  <c r="F274" i="18" s="1"/>
  <c r="J274" i="18" s="1"/>
  <c r="K274" i="18" s="1"/>
  <c r="F269" i="18"/>
  <c r="F270" i="18" s="1"/>
  <c r="J270" i="18" s="1"/>
  <c r="K270" i="18" s="1"/>
  <c r="F268" i="18"/>
  <c r="J268" i="18" s="1"/>
  <c r="K268" i="18" s="1"/>
  <c r="F267" i="18"/>
  <c r="J267" i="18" s="1"/>
  <c r="K267" i="18" s="1"/>
  <c r="F266" i="18"/>
  <c r="J266" i="18" s="1"/>
  <c r="K266" i="18" s="1"/>
  <c r="F265" i="18"/>
  <c r="J265" i="18" s="1"/>
  <c r="K265" i="18" s="1"/>
  <c r="F264" i="18"/>
  <c r="J264" i="18" s="1"/>
  <c r="K264" i="18" s="1"/>
  <c r="H263" i="18"/>
  <c r="K263" i="18" s="1"/>
  <c r="F260" i="18"/>
  <c r="J260" i="18" s="1"/>
  <c r="K260" i="18" s="1"/>
  <c r="F258" i="18"/>
  <c r="E255" i="18"/>
  <c r="E253" i="18"/>
  <c r="E252" i="18"/>
  <c r="E251" i="18"/>
  <c r="F250" i="18"/>
  <c r="F256" i="18" s="1"/>
  <c r="J256" i="18" s="1"/>
  <c r="K256" i="18" s="1"/>
  <c r="F249" i="18"/>
  <c r="J249" i="18" s="1"/>
  <c r="K249" i="18" s="1"/>
  <c r="J248" i="18"/>
  <c r="K248" i="18" s="1"/>
  <c r="F248" i="18"/>
  <c r="F247" i="18"/>
  <c r="J247" i="18" s="1"/>
  <c r="K247" i="18" s="1"/>
  <c r="F246" i="18"/>
  <c r="J246" i="18" s="1"/>
  <c r="K246" i="18" s="1"/>
  <c r="F245" i="18"/>
  <c r="J245" i="18" s="1"/>
  <c r="K245" i="18" s="1"/>
  <c r="H244" i="18"/>
  <c r="K244" i="18" s="1"/>
  <c r="F241" i="18"/>
  <c r="J241" i="18" s="1"/>
  <c r="K241" i="18" s="1"/>
  <c r="F240" i="18"/>
  <c r="J240" i="18" s="1"/>
  <c r="K240" i="18" s="1"/>
  <c r="E239" i="18"/>
  <c r="F239" i="18" s="1"/>
  <c r="J239" i="18" s="1"/>
  <c r="K239" i="18" s="1"/>
  <c r="F238" i="18"/>
  <c r="J238" i="18" s="1"/>
  <c r="K238" i="18" s="1"/>
  <c r="E237" i="18"/>
  <c r="F237" i="18" s="1"/>
  <c r="J237" i="18" s="1"/>
  <c r="K237" i="18" s="1"/>
  <c r="E236" i="18"/>
  <c r="F236" i="18" s="1"/>
  <c r="J236" i="18" s="1"/>
  <c r="K236" i="18" s="1"/>
  <c r="E235" i="18"/>
  <c r="F235" i="18" s="1"/>
  <c r="J235" i="18" s="1"/>
  <c r="K235" i="18" s="1"/>
  <c r="H234" i="18"/>
  <c r="K234" i="18" s="1"/>
  <c r="A234" i="18"/>
  <c r="A244" i="18" s="1"/>
  <c r="A250" i="18" s="1"/>
  <c r="A258" i="18" s="1"/>
  <c r="A263" i="18" s="1"/>
  <c r="A269" i="18" s="1"/>
  <c r="A272" i="18" s="1"/>
  <c r="A280" i="18" s="1"/>
  <c r="A285" i="18" s="1"/>
  <c r="A291" i="18" s="1"/>
  <c r="A301" i="18" s="1"/>
  <c r="A307" i="18" s="1"/>
  <c r="A315" i="18" s="1"/>
  <c r="A318" i="18" s="1"/>
  <c r="A321" i="18" s="1"/>
  <c r="A325" i="18" s="1"/>
  <c r="A331" i="18" s="1"/>
  <c r="A334" i="18" s="1"/>
  <c r="A342" i="18" s="1"/>
  <c r="A345" i="18" s="1"/>
  <c r="A349" i="18" s="1"/>
  <c r="A358" i="18" s="1"/>
  <c r="A367" i="18" s="1"/>
  <c r="A376" i="18" s="1"/>
  <c r="A386" i="18" s="1"/>
  <c r="J233" i="18"/>
  <c r="K233" i="18" s="1"/>
  <c r="J232" i="18"/>
  <c r="K232" i="18" s="1"/>
  <c r="J231" i="18"/>
  <c r="K231" i="18" s="1"/>
  <c r="J230" i="18"/>
  <c r="K230" i="18" s="1"/>
  <c r="J229" i="18"/>
  <c r="K229" i="18" s="1"/>
  <c r="J228" i="18"/>
  <c r="K228" i="18" s="1"/>
  <c r="H227" i="18"/>
  <c r="K227" i="18" s="1"/>
  <c r="J225" i="18"/>
  <c r="H225" i="18"/>
  <c r="F217" i="18"/>
  <c r="J217" i="18" s="1"/>
  <c r="K217" i="18" s="1"/>
  <c r="F215" i="18"/>
  <c r="F207" i="18"/>
  <c r="F212" i="18" s="1"/>
  <c r="J212" i="18" s="1"/>
  <c r="K212" i="18" s="1"/>
  <c r="F206" i="18"/>
  <c r="J206" i="18" s="1"/>
  <c r="K206" i="18" s="1"/>
  <c r="F205" i="18"/>
  <c r="J205" i="18" s="1"/>
  <c r="K205" i="18" s="1"/>
  <c r="F204" i="18"/>
  <c r="J204" i="18" s="1"/>
  <c r="K204" i="18" s="1"/>
  <c r="F203" i="18"/>
  <c r="J203" i="18" s="1"/>
  <c r="K203" i="18" s="1"/>
  <c r="F202" i="18"/>
  <c r="J202" i="18" s="1"/>
  <c r="K202" i="18" s="1"/>
  <c r="H201" i="18"/>
  <c r="K201" i="18" s="1"/>
  <c r="F194" i="18"/>
  <c r="F183" i="18"/>
  <c r="H183" i="18" s="1"/>
  <c r="K183" i="18" s="1"/>
  <c r="J181" i="18"/>
  <c r="H181" i="18"/>
  <c r="F173" i="18"/>
  <c r="J173" i="18" s="1"/>
  <c r="K173" i="18" s="1"/>
  <c r="F172" i="18"/>
  <c r="F177" i="18" s="1"/>
  <c r="F178" i="18" s="1"/>
  <c r="J178" i="18" s="1"/>
  <c r="K178" i="18" s="1"/>
  <c r="A167" i="18"/>
  <c r="A172" i="18" s="1"/>
  <c r="A174" i="18" s="1"/>
  <c r="A177" i="18" s="1"/>
  <c r="A183" i="18" s="1"/>
  <c r="A189" i="18" s="1"/>
  <c r="A194" i="18" s="1"/>
  <c r="A196" i="18" s="1"/>
  <c r="A201" i="18" s="1"/>
  <c r="A207" i="18" s="1"/>
  <c r="A215" i="18" s="1"/>
  <c r="A221" i="18" s="1"/>
  <c r="F165" i="18"/>
  <c r="E160" i="18"/>
  <c r="E159" i="18"/>
  <c r="E158" i="18"/>
  <c r="E157" i="18"/>
  <c r="F156" i="18"/>
  <c r="H156" i="18" s="1"/>
  <c r="K156" i="18" s="1"/>
  <c r="E152" i="18"/>
  <c r="F151" i="18"/>
  <c r="F148" i="18"/>
  <c r="F150" i="18" s="1"/>
  <c r="J150" i="18" s="1"/>
  <c r="K150" i="18" s="1"/>
  <c r="F145" i="18"/>
  <c r="J145" i="18" s="1"/>
  <c r="K145" i="18" s="1"/>
  <c r="E145" i="18"/>
  <c r="E143" i="18"/>
  <c r="E142" i="18"/>
  <c r="E141" i="18"/>
  <c r="F140" i="18"/>
  <c r="J139" i="18"/>
  <c r="K139" i="18" s="1"/>
  <c r="F139" i="18"/>
  <c r="F138" i="18"/>
  <c r="J138" i="18" s="1"/>
  <c r="K138" i="18" s="1"/>
  <c r="F137" i="18"/>
  <c r="J137" i="18" s="1"/>
  <c r="K137" i="18" s="1"/>
  <c r="F136" i="18"/>
  <c r="J136" i="18" s="1"/>
  <c r="K136" i="18" s="1"/>
  <c r="F135" i="18"/>
  <c r="J135" i="18" s="1"/>
  <c r="K135" i="18" s="1"/>
  <c r="H134" i="18"/>
  <c r="K134" i="18" s="1"/>
  <c r="E131" i="18"/>
  <c r="F130" i="18"/>
  <c r="F127" i="18"/>
  <c r="F128" i="18" s="1"/>
  <c r="J128" i="18" s="1"/>
  <c r="K128" i="18" s="1"/>
  <c r="E124" i="18"/>
  <c r="E122" i="18"/>
  <c r="E121" i="18"/>
  <c r="E120" i="18"/>
  <c r="F119" i="18"/>
  <c r="F123" i="18" s="1"/>
  <c r="J123" i="18" s="1"/>
  <c r="K123" i="18" s="1"/>
  <c r="F116" i="18"/>
  <c r="H116" i="18" s="1"/>
  <c r="K116" i="18" s="1"/>
  <c r="F115" i="18"/>
  <c r="J115" i="18" s="1"/>
  <c r="K115" i="18" s="1"/>
  <c r="F114" i="18"/>
  <c r="J114" i="18" s="1"/>
  <c r="K114" i="18" s="1"/>
  <c r="F113" i="18"/>
  <c r="J113" i="18" s="1"/>
  <c r="K113" i="18" s="1"/>
  <c r="F112" i="18"/>
  <c r="J112" i="18" s="1"/>
  <c r="K112" i="18" s="1"/>
  <c r="F111" i="18"/>
  <c r="J111" i="18" s="1"/>
  <c r="K111" i="18" s="1"/>
  <c r="H110" i="18"/>
  <c r="K110" i="18" s="1"/>
  <c r="F107" i="18"/>
  <c r="J107" i="18" s="1"/>
  <c r="K107" i="18" s="1"/>
  <c r="F106" i="18"/>
  <c r="J106" i="18" s="1"/>
  <c r="K106" i="18" s="1"/>
  <c r="E105" i="18"/>
  <c r="F105" i="18" s="1"/>
  <c r="J105" i="18" s="1"/>
  <c r="K105" i="18" s="1"/>
  <c r="F104" i="18"/>
  <c r="J104" i="18" s="1"/>
  <c r="K104" i="18" s="1"/>
  <c r="E103" i="18"/>
  <c r="F103" i="18" s="1"/>
  <c r="J103" i="18" s="1"/>
  <c r="K103" i="18" s="1"/>
  <c r="E102" i="18"/>
  <c r="F102" i="18" s="1"/>
  <c r="J102" i="18" s="1"/>
  <c r="K102" i="18" s="1"/>
  <c r="E101" i="18"/>
  <c r="F101" i="18" s="1"/>
  <c r="J101" i="18" s="1"/>
  <c r="K101" i="18" s="1"/>
  <c r="H100" i="18"/>
  <c r="K100" i="18" s="1"/>
  <c r="J99" i="18"/>
  <c r="K99" i="18" s="1"/>
  <c r="J98" i="18"/>
  <c r="K98" i="18" s="1"/>
  <c r="J97" i="18"/>
  <c r="K97" i="18" s="1"/>
  <c r="J96" i="18"/>
  <c r="K96" i="18" s="1"/>
  <c r="J95" i="18"/>
  <c r="K95" i="18" s="1"/>
  <c r="J94" i="18"/>
  <c r="K94" i="18" s="1"/>
  <c r="F93" i="18"/>
  <c r="H93" i="18" s="1"/>
  <c r="K93" i="18" s="1"/>
  <c r="J91" i="18"/>
  <c r="H91" i="18"/>
  <c r="F85" i="18"/>
  <c r="J85" i="18" s="1"/>
  <c r="K85" i="18" s="1"/>
  <c r="F82" i="18"/>
  <c r="J82" i="18" s="1"/>
  <c r="K82" i="18" s="1"/>
  <c r="H80" i="18"/>
  <c r="K80" i="18" s="1"/>
  <c r="F80" i="18"/>
  <c r="F83" i="18" s="1"/>
  <c r="J83" i="18" s="1"/>
  <c r="K83" i="18" s="1"/>
  <c r="F72" i="18"/>
  <c r="F71" i="18"/>
  <c r="J71" i="18" s="1"/>
  <c r="K71" i="18" s="1"/>
  <c r="J70" i="18"/>
  <c r="K70" i="18" s="1"/>
  <c r="F70" i="18"/>
  <c r="F69" i="18"/>
  <c r="J69" i="18" s="1"/>
  <c r="K69" i="18" s="1"/>
  <c r="F68" i="18"/>
  <c r="J68" i="18" s="1"/>
  <c r="K68" i="18" s="1"/>
  <c r="F67" i="18"/>
  <c r="J67" i="18" s="1"/>
  <c r="K67" i="18" s="1"/>
  <c r="H66" i="18"/>
  <c r="K66" i="18" s="1"/>
  <c r="F59" i="18"/>
  <c r="F61" i="18" s="1"/>
  <c r="F63" i="18" s="1"/>
  <c r="J63" i="18" s="1"/>
  <c r="K63" i="18" s="1"/>
  <c r="F48" i="18"/>
  <c r="F50" i="18" s="1"/>
  <c r="J50" i="18" s="1"/>
  <c r="K50" i="18" s="1"/>
  <c r="J46" i="18"/>
  <c r="H46" i="18"/>
  <c r="F33" i="18"/>
  <c r="F39" i="18" s="1"/>
  <c r="F28" i="18"/>
  <c r="F30" i="18" s="1"/>
  <c r="J30" i="18" s="1"/>
  <c r="K30" i="18" s="1"/>
  <c r="F25" i="18"/>
  <c r="F27" i="18" s="1"/>
  <c r="J27" i="18" s="1"/>
  <c r="K27" i="18" s="1"/>
  <c r="F24" i="18"/>
  <c r="J24" i="18" s="1"/>
  <c r="K24" i="18" s="1"/>
  <c r="H23" i="18"/>
  <c r="K23" i="18" s="1"/>
  <c r="A18" i="18"/>
  <c r="A23" i="18" s="1"/>
  <c r="A25" i="18" s="1"/>
  <c r="A28" i="18" s="1"/>
  <c r="A33" i="18" s="1"/>
  <c r="A35" i="18" s="1"/>
  <c r="A37" i="18" s="1"/>
  <c r="A39" i="18" s="1"/>
  <c r="A42" i="18" s="1"/>
  <c r="A48" i="18" s="1"/>
  <c r="A54" i="18" s="1"/>
  <c r="A59" i="18" s="1"/>
  <c r="A61" i="18" s="1"/>
  <c r="A66" i="18" s="1"/>
  <c r="A72" i="18" s="1"/>
  <c r="A80" i="18" s="1"/>
  <c r="A86" i="18" s="1"/>
  <c r="A93" i="18" s="1"/>
  <c r="A100" i="18" s="1"/>
  <c r="A110" i="18" s="1"/>
  <c r="A116" i="18" s="1"/>
  <c r="A119" i="18" s="1"/>
  <c r="A127" i="18" s="1"/>
  <c r="A130" i="18" s="1"/>
  <c r="A134" i="18" s="1"/>
  <c r="A140" i="18" s="1"/>
  <c r="A148" i="18" s="1"/>
  <c r="A151" i="18" s="1"/>
  <c r="A156" i="18" s="1"/>
  <c r="F16" i="18"/>
  <c r="H16" i="18" s="1"/>
  <c r="K16" i="18" s="1"/>
  <c r="E390" i="17"/>
  <c r="E389" i="17"/>
  <c r="E388" i="17"/>
  <c r="E387" i="17"/>
  <c r="F386" i="17"/>
  <c r="F390" i="17" s="1"/>
  <c r="J390" i="17" s="1"/>
  <c r="K390" i="17" s="1"/>
  <c r="F383" i="17"/>
  <c r="J383" i="17" s="1"/>
  <c r="K383" i="17" s="1"/>
  <c r="F382" i="17"/>
  <c r="J382" i="17" s="1"/>
  <c r="K382" i="17" s="1"/>
  <c r="F381" i="17"/>
  <c r="J381" i="17" s="1"/>
  <c r="K381" i="17" s="1"/>
  <c r="F380" i="17"/>
  <c r="J380" i="17" s="1"/>
  <c r="K380" i="17" s="1"/>
  <c r="F378" i="17"/>
  <c r="J378" i="17" s="1"/>
  <c r="K378" i="17" s="1"/>
  <c r="J377" i="17"/>
  <c r="K377" i="17" s="1"/>
  <c r="F376" i="17"/>
  <c r="F374" i="17"/>
  <c r="J374" i="17" s="1"/>
  <c r="K374" i="17" s="1"/>
  <c r="F373" i="17"/>
  <c r="J373" i="17" s="1"/>
  <c r="K373" i="17" s="1"/>
  <c r="F372" i="17"/>
  <c r="J372" i="17" s="1"/>
  <c r="K372" i="17" s="1"/>
  <c r="F371" i="17"/>
  <c r="J371" i="17" s="1"/>
  <c r="K371" i="17" s="1"/>
  <c r="F369" i="17"/>
  <c r="J369" i="17" s="1"/>
  <c r="K369" i="17" s="1"/>
  <c r="J368" i="17"/>
  <c r="K368" i="17" s="1"/>
  <c r="F367" i="17"/>
  <c r="F370" i="17" s="1"/>
  <c r="J370" i="17" s="1"/>
  <c r="K370" i="17" s="1"/>
  <c r="F365" i="17"/>
  <c r="J365" i="17" s="1"/>
  <c r="K365" i="17" s="1"/>
  <c r="F364" i="17"/>
  <c r="J364" i="17" s="1"/>
  <c r="K364" i="17" s="1"/>
  <c r="F363" i="17"/>
  <c r="J363" i="17" s="1"/>
  <c r="K363" i="17" s="1"/>
  <c r="F362" i="17"/>
  <c r="J362" i="17" s="1"/>
  <c r="K362" i="17" s="1"/>
  <c r="F360" i="17"/>
  <c r="J360" i="17" s="1"/>
  <c r="K360" i="17" s="1"/>
  <c r="J359" i="17"/>
  <c r="K359" i="17" s="1"/>
  <c r="F358" i="17"/>
  <c r="F361" i="17" s="1"/>
  <c r="J361" i="17" s="1"/>
  <c r="K361" i="17" s="1"/>
  <c r="F356" i="17"/>
  <c r="J356" i="17" s="1"/>
  <c r="K356" i="17" s="1"/>
  <c r="F355" i="17"/>
  <c r="J355" i="17" s="1"/>
  <c r="K355" i="17" s="1"/>
  <c r="F354" i="17"/>
  <c r="J354" i="17" s="1"/>
  <c r="K354" i="17" s="1"/>
  <c r="F353" i="17"/>
  <c r="J353" i="17" s="1"/>
  <c r="K353" i="17" s="1"/>
  <c r="F351" i="17"/>
  <c r="J351" i="17" s="1"/>
  <c r="K351" i="17" s="1"/>
  <c r="J350" i="17"/>
  <c r="K350" i="17" s="1"/>
  <c r="F349" i="17"/>
  <c r="F352" i="17" s="1"/>
  <c r="J352" i="17" s="1"/>
  <c r="K352" i="17" s="1"/>
  <c r="E346" i="17"/>
  <c r="F345" i="17"/>
  <c r="F346" i="17" s="1"/>
  <c r="J346" i="17" s="1"/>
  <c r="K346" i="17" s="1"/>
  <c r="F342" i="17"/>
  <c r="F343" i="17" s="1"/>
  <c r="J343" i="17" s="1"/>
  <c r="K343" i="17" s="1"/>
  <c r="K340" i="17"/>
  <c r="E339" i="17"/>
  <c r="E337" i="17"/>
  <c r="E336" i="17"/>
  <c r="E335" i="17"/>
  <c r="F334" i="17"/>
  <c r="F340" i="17" s="1"/>
  <c r="J340" i="17" s="1"/>
  <c r="H331" i="17"/>
  <c r="K331" i="17" s="1"/>
  <c r="F331" i="17"/>
  <c r="F333" i="17" s="1"/>
  <c r="J333" i="17" s="1"/>
  <c r="K333" i="17" s="1"/>
  <c r="F330" i="17"/>
  <c r="J330" i="17" s="1"/>
  <c r="K330" i="17" s="1"/>
  <c r="F329" i="17"/>
  <c r="J329" i="17" s="1"/>
  <c r="K329" i="17" s="1"/>
  <c r="F328" i="17"/>
  <c r="J328" i="17" s="1"/>
  <c r="K328" i="17" s="1"/>
  <c r="F327" i="17"/>
  <c r="J327" i="17" s="1"/>
  <c r="K327" i="17" s="1"/>
  <c r="F326" i="17"/>
  <c r="J326" i="17" s="1"/>
  <c r="K326" i="17" s="1"/>
  <c r="H325" i="17"/>
  <c r="K325" i="17" s="1"/>
  <c r="E322" i="17"/>
  <c r="F321" i="17"/>
  <c r="H321" i="17" s="1"/>
  <c r="K321" i="17" s="1"/>
  <c r="F318" i="17"/>
  <c r="F319" i="17" s="1"/>
  <c r="J319" i="17" s="1"/>
  <c r="K319" i="17" s="1"/>
  <c r="F315" i="17"/>
  <c r="F316" i="17" s="1"/>
  <c r="J316" i="17" s="1"/>
  <c r="K316" i="17" s="1"/>
  <c r="E312" i="17"/>
  <c r="E310" i="17"/>
  <c r="E309" i="17"/>
  <c r="E308" i="17"/>
  <c r="F307" i="17"/>
  <c r="F314" i="17" s="1"/>
  <c r="J314" i="17" s="1"/>
  <c r="K314" i="17" s="1"/>
  <c r="F306" i="17"/>
  <c r="J306" i="17" s="1"/>
  <c r="K306" i="17" s="1"/>
  <c r="F305" i="17"/>
  <c r="J305" i="17" s="1"/>
  <c r="K305" i="17" s="1"/>
  <c r="F304" i="17"/>
  <c r="J304" i="17" s="1"/>
  <c r="K304" i="17" s="1"/>
  <c r="F303" i="17"/>
  <c r="J303" i="17" s="1"/>
  <c r="K303" i="17" s="1"/>
  <c r="F302" i="17"/>
  <c r="J302" i="17" s="1"/>
  <c r="K302" i="17" s="1"/>
  <c r="H301" i="17"/>
  <c r="K301" i="17" s="1"/>
  <c r="E296" i="17"/>
  <c r="E294" i="17"/>
  <c r="E293" i="17"/>
  <c r="E292" i="17"/>
  <c r="F291" i="17"/>
  <c r="F298" i="17" s="1"/>
  <c r="J298" i="17" s="1"/>
  <c r="K298" i="17" s="1"/>
  <c r="F290" i="17"/>
  <c r="J290" i="17" s="1"/>
  <c r="K290" i="17" s="1"/>
  <c r="F289" i="17"/>
  <c r="J289" i="17" s="1"/>
  <c r="K289" i="17" s="1"/>
  <c r="F288" i="17"/>
  <c r="J288" i="17" s="1"/>
  <c r="K288" i="17" s="1"/>
  <c r="F287" i="17"/>
  <c r="J287" i="17" s="1"/>
  <c r="K287" i="17" s="1"/>
  <c r="F286" i="17"/>
  <c r="J286" i="17" s="1"/>
  <c r="K286" i="17" s="1"/>
  <c r="H285" i="17"/>
  <c r="K285" i="17" s="1"/>
  <c r="E281" i="17"/>
  <c r="F280" i="17"/>
  <c r="F283" i="17" s="1"/>
  <c r="J283" i="17" s="1"/>
  <c r="K283" i="17" s="1"/>
  <c r="E277" i="17"/>
  <c r="E275" i="17"/>
  <c r="E274" i="17"/>
  <c r="E273" i="17"/>
  <c r="F272" i="17"/>
  <c r="F279" i="17" s="1"/>
  <c r="J279" i="17" s="1"/>
  <c r="K279" i="17" s="1"/>
  <c r="F269" i="17"/>
  <c r="F268" i="17"/>
  <c r="J268" i="17" s="1"/>
  <c r="K268" i="17" s="1"/>
  <c r="F267" i="17"/>
  <c r="J267" i="17" s="1"/>
  <c r="K267" i="17" s="1"/>
  <c r="F266" i="17"/>
  <c r="J266" i="17" s="1"/>
  <c r="K266" i="17" s="1"/>
  <c r="F265" i="17"/>
  <c r="J265" i="17" s="1"/>
  <c r="K265" i="17" s="1"/>
  <c r="F264" i="17"/>
  <c r="J264" i="17" s="1"/>
  <c r="K264" i="17" s="1"/>
  <c r="H263" i="17"/>
  <c r="K263" i="17" s="1"/>
  <c r="F258" i="17"/>
  <c r="F259" i="17" s="1"/>
  <c r="J259" i="17" s="1"/>
  <c r="K259" i="17" s="1"/>
  <c r="E255" i="17"/>
  <c r="E253" i="17"/>
  <c r="E252" i="17"/>
  <c r="E251" i="17"/>
  <c r="F250" i="17"/>
  <c r="F257" i="17" s="1"/>
  <c r="J257" i="17" s="1"/>
  <c r="K257" i="17" s="1"/>
  <c r="F249" i="17"/>
  <c r="J249" i="17" s="1"/>
  <c r="K249" i="17" s="1"/>
  <c r="F248" i="17"/>
  <c r="J248" i="17" s="1"/>
  <c r="K248" i="17" s="1"/>
  <c r="F247" i="17"/>
  <c r="J247" i="17" s="1"/>
  <c r="K247" i="17" s="1"/>
  <c r="F246" i="17"/>
  <c r="J246" i="17" s="1"/>
  <c r="K246" i="17" s="1"/>
  <c r="F245" i="17"/>
  <c r="J245" i="17" s="1"/>
  <c r="K245" i="17" s="1"/>
  <c r="H244" i="17"/>
  <c r="K244" i="17" s="1"/>
  <c r="F241" i="17"/>
  <c r="J241" i="17" s="1"/>
  <c r="K241" i="17" s="1"/>
  <c r="F240" i="17"/>
  <c r="J240" i="17" s="1"/>
  <c r="K240" i="17" s="1"/>
  <c r="E239" i="17"/>
  <c r="F239" i="17" s="1"/>
  <c r="J239" i="17" s="1"/>
  <c r="K239" i="17" s="1"/>
  <c r="F238" i="17"/>
  <c r="J238" i="17" s="1"/>
  <c r="K238" i="17" s="1"/>
  <c r="E237" i="17"/>
  <c r="F237" i="17" s="1"/>
  <c r="J237" i="17" s="1"/>
  <c r="K237" i="17" s="1"/>
  <c r="E236" i="17"/>
  <c r="F236" i="17" s="1"/>
  <c r="J236" i="17" s="1"/>
  <c r="K236" i="17" s="1"/>
  <c r="E235" i="17"/>
  <c r="F235" i="17" s="1"/>
  <c r="J235" i="17" s="1"/>
  <c r="K235" i="17" s="1"/>
  <c r="H234" i="17"/>
  <c r="K234" i="17" s="1"/>
  <c r="A234" i="17"/>
  <c r="A244" i="17" s="1"/>
  <c r="A250" i="17" s="1"/>
  <c r="A258" i="17" s="1"/>
  <c r="A263" i="17" s="1"/>
  <c r="A269" i="17" s="1"/>
  <c r="A272" i="17" s="1"/>
  <c r="A280" i="17" s="1"/>
  <c r="A285" i="17" s="1"/>
  <c r="A291" i="17" s="1"/>
  <c r="A301" i="17" s="1"/>
  <c r="A307" i="17" s="1"/>
  <c r="A315" i="17" s="1"/>
  <c r="A318" i="17" s="1"/>
  <c r="A321" i="17" s="1"/>
  <c r="A325" i="17" s="1"/>
  <c r="A331" i="17" s="1"/>
  <c r="A334" i="17" s="1"/>
  <c r="A342" i="17" s="1"/>
  <c r="A345" i="17" s="1"/>
  <c r="A349" i="17" s="1"/>
  <c r="A358" i="17" s="1"/>
  <c r="A367" i="17" s="1"/>
  <c r="A376" i="17" s="1"/>
  <c r="A386" i="17" s="1"/>
  <c r="J233" i="17"/>
  <c r="K233" i="17" s="1"/>
  <c r="J232" i="17"/>
  <c r="K232" i="17" s="1"/>
  <c r="J231" i="17"/>
  <c r="K231" i="17" s="1"/>
  <c r="J230" i="17"/>
  <c r="K230" i="17" s="1"/>
  <c r="J229" i="17"/>
  <c r="K229" i="17" s="1"/>
  <c r="J228" i="17"/>
  <c r="K228" i="17" s="1"/>
  <c r="H227" i="17"/>
  <c r="K227" i="17" s="1"/>
  <c r="J225" i="17"/>
  <c r="H225" i="17"/>
  <c r="F215" i="17"/>
  <c r="F220" i="17" s="1"/>
  <c r="J220" i="17" s="1"/>
  <c r="K220" i="17" s="1"/>
  <c r="F207" i="17"/>
  <c r="F211" i="17" s="1"/>
  <c r="J211" i="17" s="1"/>
  <c r="K211" i="17" s="1"/>
  <c r="F206" i="17"/>
  <c r="J206" i="17" s="1"/>
  <c r="K206" i="17" s="1"/>
  <c r="F205" i="17"/>
  <c r="J205" i="17" s="1"/>
  <c r="K205" i="17" s="1"/>
  <c r="F204" i="17"/>
  <c r="J204" i="17" s="1"/>
  <c r="K204" i="17" s="1"/>
  <c r="F203" i="17"/>
  <c r="J203" i="17" s="1"/>
  <c r="K203" i="17" s="1"/>
  <c r="F202" i="17"/>
  <c r="J202" i="17" s="1"/>
  <c r="K202" i="17" s="1"/>
  <c r="H201" i="17"/>
  <c r="K201" i="17" s="1"/>
  <c r="F194" i="17"/>
  <c r="F183" i="17"/>
  <c r="J181" i="17"/>
  <c r="H181" i="17"/>
  <c r="F172" i="17"/>
  <c r="F177" i="17" s="1"/>
  <c r="A167" i="17"/>
  <c r="A172" i="17" s="1"/>
  <c r="A174" i="17" s="1"/>
  <c r="A177" i="17" s="1"/>
  <c r="A183" i="17" s="1"/>
  <c r="A189" i="17" s="1"/>
  <c r="A194" i="17" s="1"/>
  <c r="A196" i="17" s="1"/>
  <c r="A201" i="17" s="1"/>
  <c r="A207" i="17" s="1"/>
  <c r="A215" i="17" s="1"/>
  <c r="A221" i="17" s="1"/>
  <c r="F165" i="17"/>
  <c r="F166" i="17" s="1"/>
  <c r="J166" i="17" s="1"/>
  <c r="K166" i="17" s="1"/>
  <c r="E160" i="17"/>
  <c r="E159" i="17"/>
  <c r="E158" i="17"/>
  <c r="E157" i="17"/>
  <c r="F156" i="17"/>
  <c r="F160" i="17" s="1"/>
  <c r="J160" i="17" s="1"/>
  <c r="K160" i="17" s="1"/>
  <c r="E152" i="17"/>
  <c r="F151" i="17"/>
  <c r="F148" i="17"/>
  <c r="F150" i="17" s="1"/>
  <c r="J150" i="17" s="1"/>
  <c r="K150" i="17" s="1"/>
  <c r="E145" i="17"/>
  <c r="E143" i="17"/>
  <c r="E142" i="17"/>
  <c r="E141" i="17"/>
  <c r="F140" i="17"/>
  <c r="F139" i="17"/>
  <c r="J139" i="17" s="1"/>
  <c r="K139" i="17" s="1"/>
  <c r="F138" i="17"/>
  <c r="J138" i="17" s="1"/>
  <c r="K138" i="17" s="1"/>
  <c r="F137" i="17"/>
  <c r="J137" i="17" s="1"/>
  <c r="K137" i="17" s="1"/>
  <c r="F136" i="17"/>
  <c r="J136" i="17" s="1"/>
  <c r="K136" i="17" s="1"/>
  <c r="F135" i="17"/>
  <c r="J135" i="17" s="1"/>
  <c r="K135" i="17" s="1"/>
  <c r="H134" i="17"/>
  <c r="K134" i="17" s="1"/>
  <c r="E131" i="17"/>
  <c r="F130" i="17"/>
  <c r="F127" i="17"/>
  <c r="H127" i="17" s="1"/>
  <c r="K127" i="17" s="1"/>
  <c r="E124" i="17"/>
  <c r="E122" i="17"/>
  <c r="E121" i="17"/>
  <c r="E120" i="17"/>
  <c r="F119" i="17"/>
  <c r="H119" i="17" s="1"/>
  <c r="K119" i="17" s="1"/>
  <c r="F116" i="17"/>
  <c r="F115" i="17"/>
  <c r="J115" i="17" s="1"/>
  <c r="K115" i="17" s="1"/>
  <c r="F114" i="17"/>
  <c r="J114" i="17" s="1"/>
  <c r="K114" i="17" s="1"/>
  <c r="F113" i="17"/>
  <c r="J113" i="17" s="1"/>
  <c r="K113" i="17" s="1"/>
  <c r="F112" i="17"/>
  <c r="J112" i="17" s="1"/>
  <c r="K112" i="17" s="1"/>
  <c r="F111" i="17"/>
  <c r="J111" i="17" s="1"/>
  <c r="K111" i="17" s="1"/>
  <c r="K110" i="17"/>
  <c r="H110" i="17"/>
  <c r="F107" i="17"/>
  <c r="J107" i="17" s="1"/>
  <c r="K107" i="17" s="1"/>
  <c r="F106" i="17"/>
  <c r="J106" i="17" s="1"/>
  <c r="K106" i="17" s="1"/>
  <c r="F105" i="17"/>
  <c r="J105" i="17" s="1"/>
  <c r="K105" i="17" s="1"/>
  <c r="E105" i="17"/>
  <c r="F104" i="17"/>
  <c r="J104" i="17" s="1"/>
  <c r="K104" i="17" s="1"/>
  <c r="E103" i="17"/>
  <c r="F103" i="17" s="1"/>
  <c r="J103" i="17" s="1"/>
  <c r="K103" i="17" s="1"/>
  <c r="E102" i="17"/>
  <c r="F102" i="17" s="1"/>
  <c r="J102" i="17" s="1"/>
  <c r="K102" i="17" s="1"/>
  <c r="E101" i="17"/>
  <c r="F101" i="17" s="1"/>
  <c r="J101" i="17" s="1"/>
  <c r="K101" i="17" s="1"/>
  <c r="H100" i="17"/>
  <c r="K100" i="17" s="1"/>
  <c r="J99" i="17"/>
  <c r="K99" i="17" s="1"/>
  <c r="J98" i="17"/>
  <c r="K98" i="17" s="1"/>
  <c r="J97" i="17"/>
  <c r="K97" i="17" s="1"/>
  <c r="J96" i="17"/>
  <c r="K96" i="17" s="1"/>
  <c r="J95" i="17"/>
  <c r="K95" i="17" s="1"/>
  <c r="J94" i="17"/>
  <c r="K94" i="17" s="1"/>
  <c r="F93" i="17"/>
  <c r="H93" i="17" s="1"/>
  <c r="K93" i="17" s="1"/>
  <c r="J91" i="17"/>
  <c r="H91" i="17"/>
  <c r="F80" i="17"/>
  <c r="F84" i="17" s="1"/>
  <c r="J84" i="17" s="1"/>
  <c r="K84" i="17" s="1"/>
  <c r="F72" i="17"/>
  <c r="F71" i="17"/>
  <c r="J71" i="17" s="1"/>
  <c r="K71" i="17" s="1"/>
  <c r="F70" i="17"/>
  <c r="J70" i="17" s="1"/>
  <c r="K70" i="17" s="1"/>
  <c r="F69" i="17"/>
  <c r="J69" i="17" s="1"/>
  <c r="K69" i="17" s="1"/>
  <c r="F68" i="17"/>
  <c r="J68" i="17" s="1"/>
  <c r="K68" i="17" s="1"/>
  <c r="F67" i="17"/>
  <c r="J67" i="17" s="1"/>
  <c r="K67" i="17" s="1"/>
  <c r="H66" i="17"/>
  <c r="K66" i="17" s="1"/>
  <c r="F59" i="17"/>
  <c r="F60" i="17" s="1"/>
  <c r="J60" i="17" s="1"/>
  <c r="K60" i="17" s="1"/>
  <c r="F48" i="17"/>
  <c r="J46" i="17"/>
  <c r="H46" i="17"/>
  <c r="F33" i="17"/>
  <c r="F34" i="17" s="1"/>
  <c r="J34" i="17" s="1"/>
  <c r="K34" i="17" s="1"/>
  <c r="F28" i="17"/>
  <c r="H28" i="17" s="1"/>
  <c r="K28" i="17" s="1"/>
  <c r="F25" i="17"/>
  <c r="F27" i="17" s="1"/>
  <c r="J27" i="17" s="1"/>
  <c r="K27" i="17" s="1"/>
  <c r="F24" i="17"/>
  <c r="J24" i="17" s="1"/>
  <c r="K24" i="17" s="1"/>
  <c r="H23" i="17"/>
  <c r="K23" i="17" s="1"/>
  <c r="A18" i="17"/>
  <c r="A23" i="17" s="1"/>
  <c r="A25" i="17" s="1"/>
  <c r="A28" i="17" s="1"/>
  <c r="A33" i="17" s="1"/>
  <c r="A35" i="17" s="1"/>
  <c r="A37" i="17" s="1"/>
  <c r="A39" i="17" s="1"/>
  <c r="A42" i="17" s="1"/>
  <c r="A48" i="17" s="1"/>
  <c r="A54" i="17" s="1"/>
  <c r="A59" i="17" s="1"/>
  <c r="A61" i="17" s="1"/>
  <c r="A66" i="17" s="1"/>
  <c r="A72" i="17" s="1"/>
  <c r="A80" i="17" s="1"/>
  <c r="A86" i="17" s="1"/>
  <c r="A93" i="17" s="1"/>
  <c r="A100" i="17" s="1"/>
  <c r="A110" i="17" s="1"/>
  <c r="A116" i="17" s="1"/>
  <c r="A119" i="17" s="1"/>
  <c r="A127" i="17" s="1"/>
  <c r="A130" i="17" s="1"/>
  <c r="A134" i="17" s="1"/>
  <c r="A140" i="17" s="1"/>
  <c r="A148" i="17" s="1"/>
  <c r="A151" i="17" s="1"/>
  <c r="A156" i="17" s="1"/>
  <c r="F16" i="17"/>
  <c r="H16" i="17" s="1"/>
  <c r="K16" i="17" s="1"/>
  <c r="F42" i="17" l="1"/>
  <c r="H42" i="17" s="1"/>
  <c r="K42" i="17" s="1"/>
  <c r="F83" i="17"/>
  <c r="J83" i="17" s="1"/>
  <c r="K83" i="17" s="1"/>
  <c r="F131" i="17"/>
  <c r="J131" i="17" s="1"/>
  <c r="K131" i="17" s="1"/>
  <c r="F143" i="17"/>
  <c r="J143" i="17" s="1"/>
  <c r="K143" i="17" s="1"/>
  <c r="H165" i="17"/>
  <c r="K165" i="17" s="1"/>
  <c r="F167" i="17"/>
  <c r="F169" i="17" s="1"/>
  <c r="J169" i="17" s="1"/>
  <c r="K169" i="17" s="1"/>
  <c r="F308" i="17"/>
  <c r="J308" i="17" s="1"/>
  <c r="K308" i="17" s="1"/>
  <c r="F308" i="18"/>
  <c r="J308" i="18" s="1"/>
  <c r="K308" i="18" s="1"/>
  <c r="F361" i="18"/>
  <c r="J361" i="18" s="1"/>
  <c r="K361" i="18" s="1"/>
  <c r="F74" i="19"/>
  <c r="J74" i="19" s="1"/>
  <c r="K74" i="19" s="1"/>
  <c r="F141" i="19"/>
  <c r="J141" i="19" s="1"/>
  <c r="K141" i="19" s="1"/>
  <c r="F143" i="19"/>
  <c r="J143" i="19" s="1"/>
  <c r="K143" i="19" s="1"/>
  <c r="F177" i="19"/>
  <c r="F221" i="19"/>
  <c r="F352" i="19"/>
  <c r="J352" i="19" s="1"/>
  <c r="K352" i="19" s="1"/>
  <c r="F27" i="20"/>
  <c r="J27" i="20" s="1"/>
  <c r="K27" i="20" s="1"/>
  <c r="F75" i="20"/>
  <c r="J75" i="20" s="1"/>
  <c r="K75" i="20" s="1"/>
  <c r="F157" i="20"/>
  <c r="J157" i="20" s="1"/>
  <c r="K157" i="20" s="1"/>
  <c r="F160" i="20"/>
  <c r="J160" i="20" s="1"/>
  <c r="K160" i="20" s="1"/>
  <c r="F217" i="20"/>
  <c r="J217" i="20" s="1"/>
  <c r="K217" i="20" s="1"/>
  <c r="H269" i="20"/>
  <c r="K269" i="20" s="1"/>
  <c r="F293" i="20"/>
  <c r="J293" i="20" s="1"/>
  <c r="K293" i="20" s="1"/>
  <c r="H80" i="17"/>
  <c r="K80" i="17" s="1"/>
  <c r="F256" i="17"/>
  <c r="J256" i="17" s="1"/>
  <c r="K256" i="17" s="1"/>
  <c r="F311" i="17"/>
  <c r="J311" i="17" s="1"/>
  <c r="K311" i="17" s="1"/>
  <c r="H349" i="17"/>
  <c r="K349" i="17" s="1"/>
  <c r="F81" i="18"/>
  <c r="J81" i="18" s="1"/>
  <c r="K81" i="18" s="1"/>
  <c r="F84" i="18"/>
  <c r="J84" i="18" s="1"/>
  <c r="K84" i="18" s="1"/>
  <c r="F86" i="18"/>
  <c r="F88" i="18" s="1"/>
  <c r="J88" i="18" s="1"/>
  <c r="K88" i="18" s="1"/>
  <c r="F143" i="18"/>
  <c r="J143" i="18" s="1"/>
  <c r="K143" i="18" s="1"/>
  <c r="F174" i="18"/>
  <c r="H174" i="18" s="1"/>
  <c r="K174" i="18" s="1"/>
  <c r="F185" i="18"/>
  <c r="J185" i="18" s="1"/>
  <c r="K185" i="18" s="1"/>
  <c r="F312" i="18"/>
  <c r="J312" i="18" s="1"/>
  <c r="K312" i="18" s="1"/>
  <c r="F388" i="18"/>
  <c r="J388" i="18" s="1"/>
  <c r="K388" i="18" s="1"/>
  <c r="F42" i="19"/>
  <c r="F44" i="19" s="1"/>
  <c r="J44" i="19" s="1"/>
  <c r="K44" i="19" s="1"/>
  <c r="F52" i="19"/>
  <c r="J52" i="19" s="1"/>
  <c r="K52" i="19" s="1"/>
  <c r="H59" i="19"/>
  <c r="K59" i="19" s="1"/>
  <c r="H72" i="19"/>
  <c r="F77" i="19"/>
  <c r="J77" i="19" s="1"/>
  <c r="K77" i="19" s="1"/>
  <c r="F125" i="19"/>
  <c r="J125" i="19" s="1"/>
  <c r="K125" i="19" s="1"/>
  <c r="H140" i="19"/>
  <c r="K140" i="19" s="1"/>
  <c r="F144" i="19"/>
  <c r="J144" i="19" s="1"/>
  <c r="K144" i="19" s="1"/>
  <c r="F157" i="19"/>
  <c r="J157" i="19" s="1"/>
  <c r="K157" i="19" s="1"/>
  <c r="F173" i="19"/>
  <c r="J173" i="19" s="1"/>
  <c r="K173" i="19" s="1"/>
  <c r="F218" i="19"/>
  <c r="J218" i="19" s="1"/>
  <c r="K218" i="19" s="1"/>
  <c r="F335" i="19"/>
  <c r="J335" i="19" s="1"/>
  <c r="K335" i="19" s="1"/>
  <c r="F387" i="19"/>
  <c r="J387" i="19" s="1"/>
  <c r="K387" i="19" s="1"/>
  <c r="F390" i="19"/>
  <c r="J390" i="19" s="1"/>
  <c r="K390" i="19" s="1"/>
  <c r="F17" i="20"/>
  <c r="J17" i="20" s="1"/>
  <c r="K17" i="20" s="1"/>
  <c r="F26" i="20"/>
  <c r="J26" i="20" s="1"/>
  <c r="K26" i="20" s="1"/>
  <c r="H59" i="20"/>
  <c r="K59" i="20" s="1"/>
  <c r="F74" i="20"/>
  <c r="J74" i="20" s="1"/>
  <c r="K74" i="20" s="1"/>
  <c r="F76" i="20"/>
  <c r="J76" i="20" s="1"/>
  <c r="K76" i="20" s="1"/>
  <c r="F131" i="20"/>
  <c r="J131" i="20" s="1"/>
  <c r="K131" i="20" s="1"/>
  <c r="H156" i="20"/>
  <c r="K156" i="20" s="1"/>
  <c r="F158" i="20"/>
  <c r="J158" i="20" s="1"/>
  <c r="K158" i="20" s="1"/>
  <c r="F216" i="20"/>
  <c r="J216" i="20" s="1"/>
  <c r="K216" i="20" s="1"/>
  <c r="F220" i="20"/>
  <c r="J220" i="20" s="1"/>
  <c r="K220" i="20" s="1"/>
  <c r="F52" i="17"/>
  <c r="J52" i="17" s="1"/>
  <c r="K52" i="17" s="1"/>
  <c r="F49" i="17"/>
  <c r="J49" i="17" s="1"/>
  <c r="K49" i="17" s="1"/>
  <c r="F77" i="17"/>
  <c r="J77" i="17" s="1"/>
  <c r="K77" i="17" s="1"/>
  <c r="F73" i="17"/>
  <c r="J73" i="17" s="1"/>
  <c r="K73" i="17" s="1"/>
  <c r="F187" i="17"/>
  <c r="J187" i="17" s="1"/>
  <c r="K187" i="17" s="1"/>
  <c r="F189" i="17"/>
  <c r="F190" i="17" s="1"/>
  <c r="J190" i="17" s="1"/>
  <c r="K190" i="17" s="1"/>
  <c r="F184" i="17"/>
  <c r="J184" i="17" s="1"/>
  <c r="K184" i="17" s="1"/>
  <c r="H183" i="17"/>
  <c r="K183" i="17" s="1"/>
  <c r="F18" i="17"/>
  <c r="F19" i="17" s="1"/>
  <c r="J19" i="17" s="1"/>
  <c r="K19" i="17" s="1"/>
  <c r="F17" i="17"/>
  <c r="J17" i="17" s="1"/>
  <c r="K17" i="17" s="1"/>
  <c r="F195" i="17"/>
  <c r="J195" i="17" s="1"/>
  <c r="K195" i="17" s="1"/>
  <c r="F196" i="17"/>
  <c r="F198" i="17" s="1"/>
  <c r="J198" i="17" s="1"/>
  <c r="K198" i="17" s="1"/>
  <c r="H194" i="17"/>
  <c r="K194" i="17" s="1"/>
  <c r="F270" i="17"/>
  <c r="J270" i="17" s="1"/>
  <c r="K270" i="17" s="1"/>
  <c r="F271" i="17"/>
  <c r="J271" i="17" s="1"/>
  <c r="K271" i="17" s="1"/>
  <c r="F294" i="17"/>
  <c r="J294" i="17" s="1"/>
  <c r="K294" i="17" s="1"/>
  <c r="F293" i="18"/>
  <c r="J293" i="18" s="1"/>
  <c r="K293" i="18" s="1"/>
  <c r="K18" i="19"/>
  <c r="F352" i="20"/>
  <c r="J352" i="20" s="1"/>
  <c r="K352" i="20" s="1"/>
  <c r="H156" i="17"/>
  <c r="K156" i="17" s="1"/>
  <c r="F159" i="17"/>
  <c r="J159" i="17" s="1"/>
  <c r="K159" i="17" s="1"/>
  <c r="F253" i="17"/>
  <c r="J253" i="17" s="1"/>
  <c r="K253" i="17" s="1"/>
  <c r="H386" i="17"/>
  <c r="K386" i="17" s="1"/>
  <c r="F389" i="17"/>
  <c r="J389" i="17" s="1"/>
  <c r="K389" i="17" s="1"/>
  <c r="F17" i="18"/>
  <c r="J17" i="18" s="1"/>
  <c r="K17" i="18" s="1"/>
  <c r="F160" i="18"/>
  <c r="J160" i="18" s="1"/>
  <c r="K160" i="18" s="1"/>
  <c r="F186" i="18"/>
  <c r="J186" i="18" s="1"/>
  <c r="K186" i="18" s="1"/>
  <c r="F218" i="18"/>
  <c r="J218" i="18" s="1"/>
  <c r="K218" i="18" s="1"/>
  <c r="F220" i="18"/>
  <c r="J220" i="18" s="1"/>
  <c r="K220" i="18" s="1"/>
  <c r="F219" i="18"/>
  <c r="J219" i="18" s="1"/>
  <c r="K219" i="18" s="1"/>
  <c r="F254" i="18"/>
  <c r="J254" i="18" s="1"/>
  <c r="K254" i="18" s="1"/>
  <c r="H272" i="18"/>
  <c r="K272" i="18" s="1"/>
  <c r="F276" i="18"/>
  <c r="J276" i="18" s="1"/>
  <c r="K276" i="18" s="1"/>
  <c r="F19" i="19"/>
  <c r="J19" i="19" s="1"/>
  <c r="K19" i="19" s="1"/>
  <c r="F29" i="19"/>
  <c r="J29" i="19" s="1"/>
  <c r="K29" i="19" s="1"/>
  <c r="F30" i="19"/>
  <c r="J30" i="19" s="1"/>
  <c r="K30" i="19" s="1"/>
  <c r="F117" i="19"/>
  <c r="J117" i="19" s="1"/>
  <c r="K117" i="19" s="1"/>
  <c r="F158" i="19"/>
  <c r="J158" i="19" s="1"/>
  <c r="K158" i="19" s="1"/>
  <c r="F189" i="19"/>
  <c r="H189" i="19" s="1"/>
  <c r="K189" i="19" s="1"/>
  <c r="F186" i="19"/>
  <c r="J186" i="19" s="1"/>
  <c r="K186" i="19" s="1"/>
  <c r="H183" i="19"/>
  <c r="K183" i="19" s="1"/>
  <c r="F313" i="19"/>
  <c r="J313" i="19" s="1"/>
  <c r="K313" i="19" s="1"/>
  <c r="H307" i="19"/>
  <c r="K307" i="19" s="1"/>
  <c r="H367" i="19"/>
  <c r="K367" i="19" s="1"/>
  <c r="F370" i="19"/>
  <c r="J370" i="19" s="1"/>
  <c r="K370" i="19" s="1"/>
  <c r="H130" i="20"/>
  <c r="K130" i="20" s="1"/>
  <c r="F152" i="20"/>
  <c r="J152" i="20" s="1"/>
  <c r="K152" i="20" s="1"/>
  <c r="F153" i="20"/>
  <c r="J153" i="20" s="1"/>
  <c r="K153" i="20" s="1"/>
  <c r="F173" i="20"/>
  <c r="J173" i="20" s="1"/>
  <c r="K173" i="20" s="1"/>
  <c r="H172" i="20"/>
  <c r="K172" i="20" s="1"/>
  <c r="F294" i="20"/>
  <c r="J294" i="20" s="1"/>
  <c r="K294" i="20" s="1"/>
  <c r="F309" i="20"/>
  <c r="J309" i="20" s="1"/>
  <c r="K309" i="20" s="1"/>
  <c r="F311" i="20"/>
  <c r="J311" i="20" s="1"/>
  <c r="K311" i="20" s="1"/>
  <c r="H307" i="20"/>
  <c r="K307" i="20" s="1"/>
  <c r="F390" i="20"/>
  <c r="J390" i="20" s="1"/>
  <c r="K390" i="20" s="1"/>
  <c r="F388" i="20"/>
  <c r="J388" i="20" s="1"/>
  <c r="K388" i="20" s="1"/>
  <c r="H386" i="20"/>
  <c r="K386" i="20" s="1"/>
  <c r="H33" i="17"/>
  <c r="K33" i="17" s="1"/>
  <c r="F39" i="17"/>
  <c r="F40" i="17" s="1"/>
  <c r="J40" i="17" s="1"/>
  <c r="K40" i="17" s="1"/>
  <c r="H151" i="17"/>
  <c r="K151" i="17" s="1"/>
  <c r="F154" i="17"/>
  <c r="J154" i="17" s="1"/>
  <c r="K154" i="17" s="1"/>
  <c r="F157" i="17"/>
  <c r="J157" i="17" s="1"/>
  <c r="K157" i="17" s="1"/>
  <c r="H280" i="17"/>
  <c r="K280" i="17" s="1"/>
  <c r="F281" i="17"/>
  <c r="J281" i="17" s="1"/>
  <c r="K281" i="17" s="1"/>
  <c r="F296" i="17"/>
  <c r="J296" i="17" s="1"/>
  <c r="K296" i="17" s="1"/>
  <c r="F312" i="17"/>
  <c r="J312" i="17" s="1"/>
  <c r="K312" i="17" s="1"/>
  <c r="H307" i="17"/>
  <c r="K307" i="17" s="1"/>
  <c r="F313" i="17"/>
  <c r="J313" i="17" s="1"/>
  <c r="K313" i="17" s="1"/>
  <c r="F348" i="17"/>
  <c r="J348" i="17" s="1"/>
  <c r="K348" i="17" s="1"/>
  <c r="H358" i="17"/>
  <c r="K358" i="17" s="1"/>
  <c r="H367" i="17"/>
  <c r="K367" i="17" s="1"/>
  <c r="F152" i="18"/>
  <c r="J152" i="18" s="1"/>
  <c r="K152" i="18" s="1"/>
  <c r="F158" i="18"/>
  <c r="J158" i="18" s="1"/>
  <c r="K158" i="18" s="1"/>
  <c r="F188" i="18"/>
  <c r="J188" i="18" s="1"/>
  <c r="K188" i="18" s="1"/>
  <c r="F216" i="18"/>
  <c r="J216" i="18" s="1"/>
  <c r="K216" i="18" s="1"/>
  <c r="F221" i="18"/>
  <c r="H221" i="18" s="1"/>
  <c r="K221" i="18" s="1"/>
  <c r="F292" i="18"/>
  <c r="J292" i="18" s="1"/>
  <c r="K292" i="18" s="1"/>
  <c r="H376" i="18"/>
  <c r="K376" i="18" s="1"/>
  <c r="H16" i="19"/>
  <c r="K16" i="19" s="1"/>
  <c r="F17" i="19"/>
  <c r="J17" i="19" s="1"/>
  <c r="K17" i="19" s="1"/>
  <c r="H156" i="19"/>
  <c r="K156" i="19" s="1"/>
  <c r="H177" i="19"/>
  <c r="K177" i="19" s="1"/>
  <c r="F178" i="19"/>
  <c r="J178" i="19" s="1"/>
  <c r="K178" i="19" s="1"/>
  <c r="F196" i="19"/>
  <c r="F198" i="19" s="1"/>
  <c r="J198" i="19" s="1"/>
  <c r="K198" i="19" s="1"/>
  <c r="F195" i="19"/>
  <c r="J195" i="19" s="1"/>
  <c r="K195" i="19" s="1"/>
  <c r="F279" i="19"/>
  <c r="J279" i="19" s="1"/>
  <c r="K279" i="19" s="1"/>
  <c r="F278" i="19"/>
  <c r="J278" i="19" s="1"/>
  <c r="K278" i="19" s="1"/>
  <c r="F126" i="20"/>
  <c r="J126" i="20" s="1"/>
  <c r="K126" i="20" s="1"/>
  <c r="F125" i="20"/>
  <c r="J125" i="20" s="1"/>
  <c r="K125" i="20" s="1"/>
  <c r="F141" i="20"/>
  <c r="J141" i="20" s="1"/>
  <c r="K141" i="20" s="1"/>
  <c r="F146" i="20"/>
  <c r="J146" i="20" s="1"/>
  <c r="K146" i="20" s="1"/>
  <c r="F144" i="20"/>
  <c r="J144" i="20" s="1"/>
  <c r="K144" i="20" s="1"/>
  <c r="F174" i="20"/>
  <c r="F175" i="20" s="1"/>
  <c r="J175" i="20" s="1"/>
  <c r="K175" i="20" s="1"/>
  <c r="F184" i="20"/>
  <c r="J184" i="20" s="1"/>
  <c r="K184" i="20" s="1"/>
  <c r="F188" i="20"/>
  <c r="J188" i="20" s="1"/>
  <c r="K188" i="20" s="1"/>
  <c r="H258" i="20"/>
  <c r="K258" i="20" s="1"/>
  <c r="F260" i="20"/>
  <c r="J260" i="20" s="1"/>
  <c r="K260" i="20" s="1"/>
  <c r="F312" i="20"/>
  <c r="J312" i="20" s="1"/>
  <c r="K312" i="20" s="1"/>
  <c r="H345" i="20"/>
  <c r="K345" i="20" s="1"/>
  <c r="H376" i="20"/>
  <c r="K376" i="20" s="1"/>
  <c r="F379" i="20"/>
  <c r="J379" i="20" s="1"/>
  <c r="K379" i="20" s="1"/>
  <c r="F389" i="20"/>
  <c r="J389" i="20" s="1"/>
  <c r="K389" i="20" s="1"/>
  <c r="F379" i="17"/>
  <c r="J379" i="17" s="1"/>
  <c r="K379" i="17" s="1"/>
  <c r="H376" i="17"/>
  <c r="K376" i="17" s="1"/>
  <c r="F18" i="18"/>
  <c r="F19" i="18" s="1"/>
  <c r="J19" i="18" s="1"/>
  <c r="K19" i="18" s="1"/>
  <c r="H258" i="18"/>
  <c r="K258" i="18" s="1"/>
  <c r="F259" i="18"/>
  <c r="J259" i="18" s="1"/>
  <c r="K259" i="18" s="1"/>
  <c r="F298" i="18"/>
  <c r="J298" i="18" s="1"/>
  <c r="K298" i="18" s="1"/>
  <c r="F346" i="18"/>
  <c r="J346" i="18" s="1"/>
  <c r="K346" i="18" s="1"/>
  <c r="H221" i="19"/>
  <c r="K221" i="19" s="1"/>
  <c r="F223" i="19"/>
  <c r="J223" i="19" s="1"/>
  <c r="K223" i="19" s="1"/>
  <c r="F308" i="19"/>
  <c r="J308" i="19" s="1"/>
  <c r="K308" i="19" s="1"/>
  <c r="F314" i="19"/>
  <c r="J314" i="19" s="1"/>
  <c r="K314" i="19" s="1"/>
  <c r="K16" i="20"/>
  <c r="F177" i="20"/>
  <c r="H177" i="20" s="1"/>
  <c r="K177" i="20" s="1"/>
  <c r="F208" i="20"/>
  <c r="J208" i="20" s="1"/>
  <c r="K208" i="20" s="1"/>
  <c r="H207" i="20"/>
  <c r="K207" i="20" s="1"/>
  <c r="F308" i="20"/>
  <c r="J308" i="20" s="1"/>
  <c r="K308" i="20" s="1"/>
  <c r="F313" i="20"/>
  <c r="J313" i="20" s="1"/>
  <c r="K313" i="20" s="1"/>
  <c r="F340" i="20"/>
  <c r="J340" i="20" s="1"/>
  <c r="K340" i="20" s="1"/>
  <c r="F335" i="20"/>
  <c r="J335" i="20" s="1"/>
  <c r="K335" i="20" s="1"/>
  <c r="F159" i="19"/>
  <c r="J159" i="19" s="1"/>
  <c r="K159" i="19" s="1"/>
  <c r="F310" i="19"/>
  <c r="J310" i="19" s="1"/>
  <c r="K310" i="19" s="1"/>
  <c r="F361" i="19"/>
  <c r="J361" i="19" s="1"/>
  <c r="K361" i="19" s="1"/>
  <c r="F379" i="19"/>
  <c r="J379" i="19" s="1"/>
  <c r="K379" i="19" s="1"/>
  <c r="F218" i="20"/>
  <c r="J218" i="20" s="1"/>
  <c r="K218" i="20" s="1"/>
  <c r="F221" i="20"/>
  <c r="H221" i="20" s="1"/>
  <c r="K221" i="20" s="1"/>
  <c r="F310" i="20"/>
  <c r="J310" i="20" s="1"/>
  <c r="K310" i="20" s="1"/>
  <c r="F251" i="19"/>
  <c r="J251" i="19" s="1"/>
  <c r="K251" i="19" s="1"/>
  <c r="F251" i="17"/>
  <c r="J251" i="17" s="1"/>
  <c r="K251" i="17" s="1"/>
  <c r="F255" i="17"/>
  <c r="J255" i="17" s="1"/>
  <c r="K255" i="17" s="1"/>
  <c r="F310" i="17"/>
  <c r="J310" i="17" s="1"/>
  <c r="K310" i="17" s="1"/>
  <c r="F387" i="17"/>
  <c r="J387" i="17" s="1"/>
  <c r="K387" i="17" s="1"/>
  <c r="F281" i="18"/>
  <c r="J281" i="18" s="1"/>
  <c r="K281" i="18" s="1"/>
  <c r="F309" i="18"/>
  <c r="J309" i="18" s="1"/>
  <c r="K309" i="18" s="1"/>
  <c r="H165" i="19"/>
  <c r="K165" i="19" s="1"/>
  <c r="F167" i="19"/>
  <c r="H172" i="19"/>
  <c r="K172" i="19" s="1"/>
  <c r="F217" i="19"/>
  <c r="J217" i="19" s="1"/>
  <c r="K217" i="19" s="1"/>
  <c r="F319" i="19"/>
  <c r="J319" i="19" s="1"/>
  <c r="K319" i="19" s="1"/>
  <c r="H215" i="20"/>
  <c r="K215" i="20" s="1"/>
  <c r="F277" i="20"/>
  <c r="J277" i="20" s="1"/>
  <c r="K277" i="20" s="1"/>
  <c r="F387" i="20"/>
  <c r="J387" i="20" s="1"/>
  <c r="K387" i="20" s="1"/>
  <c r="H28" i="20"/>
  <c r="K28" i="20" s="1"/>
  <c r="F143" i="20"/>
  <c r="J143" i="20" s="1"/>
  <c r="K143" i="20" s="1"/>
  <c r="F176" i="20"/>
  <c r="J176" i="20" s="1"/>
  <c r="K176" i="20" s="1"/>
  <c r="F222" i="20"/>
  <c r="J222" i="20" s="1"/>
  <c r="K222" i="20" s="1"/>
  <c r="F296" i="20"/>
  <c r="J296" i="20" s="1"/>
  <c r="K296" i="20" s="1"/>
  <c r="F343" i="20"/>
  <c r="J343" i="20" s="1"/>
  <c r="K343" i="20" s="1"/>
  <c r="F278" i="20"/>
  <c r="J278" i="20" s="1"/>
  <c r="K278" i="20" s="1"/>
  <c r="H342" i="20"/>
  <c r="K342" i="20" s="1"/>
  <c r="F29" i="20"/>
  <c r="J29" i="20" s="1"/>
  <c r="K29" i="20" s="1"/>
  <c r="F121" i="20"/>
  <c r="J121" i="20" s="1"/>
  <c r="K121" i="20" s="1"/>
  <c r="F274" i="20"/>
  <c r="J274" i="20" s="1"/>
  <c r="K274" i="20" s="1"/>
  <c r="F281" i="20"/>
  <c r="J281" i="20" s="1"/>
  <c r="K281" i="20" s="1"/>
  <c r="F297" i="20"/>
  <c r="J297" i="20" s="1"/>
  <c r="K297" i="20" s="1"/>
  <c r="F320" i="20"/>
  <c r="J320" i="20" s="1"/>
  <c r="K320" i="20" s="1"/>
  <c r="F332" i="20"/>
  <c r="J332" i="20" s="1"/>
  <c r="K332" i="20" s="1"/>
  <c r="F337" i="20"/>
  <c r="J337" i="20" s="1"/>
  <c r="K337" i="20" s="1"/>
  <c r="H119" i="20"/>
  <c r="K119" i="20" s="1"/>
  <c r="H140" i="20"/>
  <c r="K140" i="20" s="1"/>
  <c r="H151" i="20"/>
  <c r="K151" i="20" s="1"/>
  <c r="F223" i="20"/>
  <c r="J223" i="20" s="1"/>
  <c r="K223" i="20" s="1"/>
  <c r="H291" i="20"/>
  <c r="K291" i="20" s="1"/>
  <c r="F314" i="20"/>
  <c r="J314" i="20" s="1"/>
  <c r="K314" i="20" s="1"/>
  <c r="F333" i="20"/>
  <c r="J333" i="20" s="1"/>
  <c r="K333" i="20" s="1"/>
  <c r="F338" i="20"/>
  <c r="J338" i="20" s="1"/>
  <c r="K338" i="20" s="1"/>
  <c r="F123" i="20"/>
  <c r="J123" i="20" s="1"/>
  <c r="K123" i="20" s="1"/>
  <c r="F319" i="20"/>
  <c r="J319" i="20" s="1"/>
  <c r="K319" i="20" s="1"/>
  <c r="F73" i="20"/>
  <c r="J73" i="20" s="1"/>
  <c r="K73" i="20" s="1"/>
  <c r="F270" i="20"/>
  <c r="J270" i="20" s="1"/>
  <c r="K270" i="20" s="1"/>
  <c r="H334" i="20"/>
  <c r="K334" i="20" s="1"/>
  <c r="H42" i="20"/>
  <c r="K42" i="20" s="1"/>
  <c r="F44" i="20"/>
  <c r="J44" i="20" s="1"/>
  <c r="K44" i="20" s="1"/>
  <c r="F43" i="20"/>
  <c r="J43" i="20" s="1"/>
  <c r="K43" i="20" s="1"/>
  <c r="F84" i="20"/>
  <c r="J84" i="20" s="1"/>
  <c r="K84" i="20" s="1"/>
  <c r="F81" i="20"/>
  <c r="J81" i="20" s="1"/>
  <c r="K81" i="20" s="1"/>
  <c r="F35" i="20"/>
  <c r="H48" i="20"/>
  <c r="K48" i="20" s="1"/>
  <c r="H80" i="20"/>
  <c r="K80" i="20" s="1"/>
  <c r="F128" i="20"/>
  <c r="J128" i="20" s="1"/>
  <c r="K128" i="20" s="1"/>
  <c r="F189" i="20"/>
  <c r="F254" i="20"/>
  <c r="J254" i="20" s="1"/>
  <c r="K254" i="20" s="1"/>
  <c r="F255" i="20"/>
  <c r="J255" i="20" s="1"/>
  <c r="K255" i="20" s="1"/>
  <c r="F251" i="20"/>
  <c r="J251" i="20" s="1"/>
  <c r="K251" i="20" s="1"/>
  <c r="F256" i="20"/>
  <c r="J256" i="20" s="1"/>
  <c r="K256" i="20" s="1"/>
  <c r="F275" i="20"/>
  <c r="J275" i="20" s="1"/>
  <c r="K275" i="20" s="1"/>
  <c r="F273" i="20"/>
  <c r="J273" i="20" s="1"/>
  <c r="K273" i="20" s="1"/>
  <c r="F18" i="20"/>
  <c r="F52" i="20"/>
  <c r="J52" i="20" s="1"/>
  <c r="K52" i="20" s="1"/>
  <c r="H72" i="20"/>
  <c r="K72" i="20" s="1"/>
  <c r="F154" i="20"/>
  <c r="J154" i="20" s="1"/>
  <c r="K154" i="20" s="1"/>
  <c r="F168" i="20"/>
  <c r="J168" i="20" s="1"/>
  <c r="K168" i="20" s="1"/>
  <c r="F186" i="20"/>
  <c r="J186" i="20" s="1"/>
  <c r="K186" i="20" s="1"/>
  <c r="F212" i="20"/>
  <c r="J212" i="20" s="1"/>
  <c r="K212" i="20" s="1"/>
  <c r="F209" i="20"/>
  <c r="J209" i="20" s="1"/>
  <c r="K209" i="20" s="1"/>
  <c r="F210" i="20"/>
  <c r="J210" i="20" s="1"/>
  <c r="K210" i="20" s="1"/>
  <c r="H250" i="20"/>
  <c r="K250" i="20" s="1"/>
  <c r="F253" i="20"/>
  <c r="J253" i="20" s="1"/>
  <c r="K253" i="20" s="1"/>
  <c r="F257" i="20"/>
  <c r="J257" i="20" s="1"/>
  <c r="K257" i="20" s="1"/>
  <c r="H272" i="20"/>
  <c r="K272" i="20" s="1"/>
  <c r="F279" i="20"/>
  <c r="J279" i="20" s="1"/>
  <c r="K279" i="20" s="1"/>
  <c r="F295" i="20"/>
  <c r="J295" i="20" s="1"/>
  <c r="K295" i="20" s="1"/>
  <c r="F298" i="20"/>
  <c r="J298" i="20" s="1"/>
  <c r="K298" i="20" s="1"/>
  <c r="F49" i="20"/>
  <c r="J49" i="20" s="1"/>
  <c r="K49" i="20" s="1"/>
  <c r="F85" i="20"/>
  <c r="J85" i="20" s="1"/>
  <c r="K85" i="20" s="1"/>
  <c r="F150" i="20"/>
  <c r="J150" i="20" s="1"/>
  <c r="K150" i="20" s="1"/>
  <c r="F149" i="20"/>
  <c r="J149" i="20" s="1"/>
  <c r="K149" i="20" s="1"/>
  <c r="F166" i="20"/>
  <c r="J166" i="20" s="1"/>
  <c r="K166" i="20" s="1"/>
  <c r="H165" i="20"/>
  <c r="K165" i="20" s="1"/>
  <c r="F169" i="20"/>
  <c r="J169" i="20" s="1"/>
  <c r="K169" i="20" s="1"/>
  <c r="H33" i="20"/>
  <c r="K33" i="20" s="1"/>
  <c r="F61" i="20"/>
  <c r="F82" i="20"/>
  <c r="J82" i="20" s="1"/>
  <c r="K82" i="20" s="1"/>
  <c r="F129" i="20"/>
  <c r="J129" i="20" s="1"/>
  <c r="K129" i="20" s="1"/>
  <c r="H148" i="20"/>
  <c r="K148" i="20" s="1"/>
  <c r="F178" i="20"/>
  <c r="J178" i="20" s="1"/>
  <c r="K178" i="20" s="1"/>
  <c r="F283" i="20"/>
  <c r="J283" i="20" s="1"/>
  <c r="K283" i="20" s="1"/>
  <c r="F316" i="20"/>
  <c r="J316" i="20" s="1"/>
  <c r="K316" i="20" s="1"/>
  <c r="H315" i="20"/>
  <c r="K315" i="20" s="1"/>
  <c r="F370" i="20"/>
  <c r="J370" i="20" s="1"/>
  <c r="K370" i="20" s="1"/>
  <c r="F50" i="20"/>
  <c r="J50" i="20" s="1"/>
  <c r="K50" i="20" s="1"/>
  <c r="H183" i="20"/>
  <c r="K183" i="20" s="1"/>
  <c r="F187" i="20"/>
  <c r="J187" i="20" s="1"/>
  <c r="K187" i="20" s="1"/>
  <c r="H196" i="20"/>
  <c r="K196" i="20" s="1"/>
  <c r="F198" i="20"/>
  <c r="J198" i="20" s="1"/>
  <c r="K198" i="20" s="1"/>
  <c r="H280" i="20"/>
  <c r="K280" i="20" s="1"/>
  <c r="F34" i="20"/>
  <c r="J34" i="20" s="1"/>
  <c r="K34" i="20" s="1"/>
  <c r="F39" i="20"/>
  <c r="F51" i="20"/>
  <c r="J51" i="20" s="1"/>
  <c r="K51" i="20" s="1"/>
  <c r="F54" i="20"/>
  <c r="F83" i="20"/>
  <c r="J83" i="20" s="1"/>
  <c r="K83" i="20" s="1"/>
  <c r="F86" i="20"/>
  <c r="F179" i="20"/>
  <c r="J179" i="20" s="1"/>
  <c r="K179" i="20" s="1"/>
  <c r="F118" i="20"/>
  <c r="J118" i="20" s="1"/>
  <c r="K118" i="20" s="1"/>
  <c r="F117" i="20"/>
  <c r="J117" i="20" s="1"/>
  <c r="K117" i="20" s="1"/>
  <c r="F122" i="20"/>
  <c r="J122" i="20" s="1"/>
  <c r="K122" i="20" s="1"/>
  <c r="F120" i="20"/>
  <c r="J120" i="20" s="1"/>
  <c r="K120" i="20" s="1"/>
  <c r="F124" i="20"/>
  <c r="J124" i="20" s="1"/>
  <c r="K124" i="20" s="1"/>
  <c r="F346" i="20"/>
  <c r="J346" i="20" s="1"/>
  <c r="K346" i="20" s="1"/>
  <c r="F348" i="20"/>
  <c r="J348" i="20" s="1"/>
  <c r="K348" i="20" s="1"/>
  <c r="F145" i="20"/>
  <c r="J145" i="20" s="1"/>
  <c r="K145" i="20" s="1"/>
  <c r="F142" i="20"/>
  <c r="J142" i="20" s="1"/>
  <c r="K142" i="20" s="1"/>
  <c r="F147" i="20"/>
  <c r="J147" i="20" s="1"/>
  <c r="K147" i="20" s="1"/>
  <c r="F339" i="20"/>
  <c r="J339" i="20" s="1"/>
  <c r="K339" i="20" s="1"/>
  <c r="F336" i="20"/>
  <c r="J336" i="20" s="1"/>
  <c r="K336" i="20" s="1"/>
  <c r="F341" i="20"/>
  <c r="J341" i="20" s="1"/>
  <c r="K341" i="20" s="1"/>
  <c r="H61" i="19"/>
  <c r="K61" i="19" s="1"/>
  <c r="F62" i="19"/>
  <c r="J62" i="19" s="1"/>
  <c r="K62" i="19" s="1"/>
  <c r="F126" i="19"/>
  <c r="J126" i="19" s="1"/>
  <c r="K126" i="19" s="1"/>
  <c r="F253" i="19"/>
  <c r="J253" i="19" s="1"/>
  <c r="K253" i="19" s="1"/>
  <c r="F322" i="19"/>
  <c r="J322" i="19" s="1"/>
  <c r="K322" i="19" s="1"/>
  <c r="F296" i="19"/>
  <c r="J296" i="19" s="1"/>
  <c r="K296" i="19" s="1"/>
  <c r="F311" i="19"/>
  <c r="J311" i="19" s="1"/>
  <c r="K311" i="19" s="1"/>
  <c r="F332" i="19"/>
  <c r="J332" i="19" s="1"/>
  <c r="K332" i="19" s="1"/>
  <c r="F337" i="19"/>
  <c r="J337" i="19" s="1"/>
  <c r="K337" i="19" s="1"/>
  <c r="F26" i="19"/>
  <c r="J26" i="19" s="1"/>
  <c r="K26" i="19" s="1"/>
  <c r="F281" i="19"/>
  <c r="J281" i="19" s="1"/>
  <c r="K281" i="19" s="1"/>
  <c r="F312" i="19"/>
  <c r="J312" i="19" s="1"/>
  <c r="K312" i="19" s="1"/>
  <c r="F333" i="19"/>
  <c r="J333" i="19" s="1"/>
  <c r="K333" i="19" s="1"/>
  <c r="F338" i="19"/>
  <c r="J338" i="19" s="1"/>
  <c r="K338" i="19" s="1"/>
  <c r="F256" i="19"/>
  <c r="J256" i="19" s="1"/>
  <c r="K256" i="19" s="1"/>
  <c r="H28" i="19"/>
  <c r="K28" i="19" s="1"/>
  <c r="H116" i="19"/>
  <c r="K116" i="19" s="1"/>
  <c r="H250" i="19"/>
  <c r="K250" i="19" s="1"/>
  <c r="F274" i="19"/>
  <c r="J274" i="19" s="1"/>
  <c r="K274" i="19" s="1"/>
  <c r="F320" i="19"/>
  <c r="J320" i="19" s="1"/>
  <c r="K320" i="19" s="1"/>
  <c r="H334" i="19"/>
  <c r="K334" i="19" s="1"/>
  <c r="H54" i="19"/>
  <c r="K54" i="19" s="1"/>
  <c r="F56" i="19"/>
  <c r="J56" i="19" s="1"/>
  <c r="K56" i="19" s="1"/>
  <c r="F55" i="19"/>
  <c r="J55" i="19" s="1"/>
  <c r="K55" i="19" s="1"/>
  <c r="F190" i="19"/>
  <c r="J190" i="19" s="1"/>
  <c r="K190" i="19" s="1"/>
  <c r="H39" i="19"/>
  <c r="K39" i="19" s="1"/>
  <c r="F40" i="19"/>
  <c r="J40" i="19" s="1"/>
  <c r="K40" i="19" s="1"/>
  <c r="F41" i="19"/>
  <c r="J41" i="19" s="1"/>
  <c r="K41" i="19" s="1"/>
  <c r="H37" i="19"/>
  <c r="K37" i="19" s="1"/>
  <c r="F38" i="19"/>
  <c r="J38" i="19" s="1"/>
  <c r="K38" i="19" s="1"/>
  <c r="F83" i="19"/>
  <c r="J83" i="19" s="1"/>
  <c r="K83" i="19" s="1"/>
  <c r="H80" i="19"/>
  <c r="K80" i="19" s="1"/>
  <c r="H35" i="19"/>
  <c r="K35" i="19" s="1"/>
  <c r="H42" i="19"/>
  <c r="K42" i="19" s="1"/>
  <c r="K72" i="19"/>
  <c r="F346" i="19"/>
  <c r="J346" i="19" s="1"/>
  <c r="K346" i="19" s="1"/>
  <c r="F348" i="19"/>
  <c r="J348" i="19" s="1"/>
  <c r="K348" i="19" s="1"/>
  <c r="H345" i="19"/>
  <c r="K345" i="19" s="1"/>
  <c r="H33" i="19"/>
  <c r="K33" i="19" s="1"/>
  <c r="F50" i="19"/>
  <c r="J50" i="19" s="1"/>
  <c r="K50" i="19" s="1"/>
  <c r="F60" i="19"/>
  <c r="J60" i="19" s="1"/>
  <c r="K60" i="19" s="1"/>
  <c r="F73" i="19"/>
  <c r="J73" i="19" s="1"/>
  <c r="F81" i="19"/>
  <c r="J81" i="19" s="1"/>
  <c r="K81" i="19" s="1"/>
  <c r="F84" i="19"/>
  <c r="J84" i="19" s="1"/>
  <c r="K84" i="19" s="1"/>
  <c r="H174" i="19"/>
  <c r="K174" i="19" s="1"/>
  <c r="F185" i="19"/>
  <c r="J185" i="19" s="1"/>
  <c r="K185" i="19" s="1"/>
  <c r="F295" i="19"/>
  <c r="J295" i="19" s="1"/>
  <c r="K295" i="19" s="1"/>
  <c r="F298" i="19"/>
  <c r="J298" i="19" s="1"/>
  <c r="K298" i="19" s="1"/>
  <c r="F297" i="19"/>
  <c r="J297" i="19" s="1"/>
  <c r="K297" i="19" s="1"/>
  <c r="F294" i="19"/>
  <c r="J294" i="19" s="1"/>
  <c r="K294" i="19" s="1"/>
  <c r="F292" i="19"/>
  <c r="J292" i="19" s="1"/>
  <c r="K292" i="19" s="1"/>
  <c r="F212" i="19"/>
  <c r="J212" i="19" s="1"/>
  <c r="K212" i="19" s="1"/>
  <c r="F209" i="19"/>
  <c r="J209" i="19" s="1"/>
  <c r="K209" i="19" s="1"/>
  <c r="F211" i="19"/>
  <c r="J211" i="19" s="1"/>
  <c r="K211" i="19" s="1"/>
  <c r="F208" i="19"/>
  <c r="J208" i="19" s="1"/>
  <c r="K208" i="19" s="1"/>
  <c r="F20" i="19"/>
  <c r="J20" i="19" s="1"/>
  <c r="F27" i="19"/>
  <c r="J27" i="19" s="1"/>
  <c r="K27" i="19" s="1"/>
  <c r="F36" i="19"/>
  <c r="J36" i="19" s="1"/>
  <c r="K36" i="19" s="1"/>
  <c r="F43" i="19"/>
  <c r="J43" i="19" s="1"/>
  <c r="K43" i="19" s="1"/>
  <c r="F53" i="19"/>
  <c r="J53" i="19" s="1"/>
  <c r="K53" i="19" s="1"/>
  <c r="H127" i="19"/>
  <c r="K127" i="19" s="1"/>
  <c r="F129" i="19"/>
  <c r="J129" i="19" s="1"/>
  <c r="K129" i="19" s="1"/>
  <c r="F169" i="19"/>
  <c r="J169" i="19" s="1"/>
  <c r="K169" i="19" s="1"/>
  <c r="F179" i="19"/>
  <c r="J179" i="19" s="1"/>
  <c r="K179" i="19" s="1"/>
  <c r="F219" i="19"/>
  <c r="J219" i="19" s="1"/>
  <c r="K219" i="19" s="1"/>
  <c r="F216" i="19"/>
  <c r="J216" i="19" s="1"/>
  <c r="K216" i="19" s="1"/>
  <c r="H215" i="19"/>
  <c r="K215" i="19" s="1"/>
  <c r="H291" i="19"/>
  <c r="K291" i="19" s="1"/>
  <c r="F344" i="19"/>
  <c r="J344" i="19" s="1"/>
  <c r="K344" i="19" s="1"/>
  <c r="F343" i="19"/>
  <c r="J343" i="19" s="1"/>
  <c r="K343" i="19" s="1"/>
  <c r="F34" i="19"/>
  <c r="J34" i="19" s="1"/>
  <c r="K34" i="19" s="1"/>
  <c r="F347" i="19"/>
  <c r="J347" i="19" s="1"/>
  <c r="K347" i="19" s="1"/>
  <c r="F86" i="19"/>
  <c r="H207" i="19"/>
  <c r="K207" i="19" s="1"/>
  <c r="H48" i="19"/>
  <c r="K48" i="19" s="1"/>
  <c r="F51" i="19"/>
  <c r="J51" i="19" s="1"/>
  <c r="K51" i="19" s="1"/>
  <c r="F82" i="19"/>
  <c r="J82" i="19" s="1"/>
  <c r="K82" i="19" s="1"/>
  <c r="F85" i="19"/>
  <c r="J85" i="19" s="1"/>
  <c r="K85" i="19" s="1"/>
  <c r="F152" i="19"/>
  <c r="J152" i="19" s="1"/>
  <c r="K152" i="19" s="1"/>
  <c r="F154" i="19"/>
  <c r="J154" i="19" s="1"/>
  <c r="K154" i="19" s="1"/>
  <c r="H151" i="19"/>
  <c r="K151" i="19" s="1"/>
  <c r="F176" i="19"/>
  <c r="J176" i="19" s="1"/>
  <c r="K176" i="19" s="1"/>
  <c r="H196" i="19"/>
  <c r="K196" i="19" s="1"/>
  <c r="F197" i="19"/>
  <c r="J197" i="19" s="1"/>
  <c r="K197" i="19" s="1"/>
  <c r="F210" i="19"/>
  <c r="J210" i="19" s="1"/>
  <c r="K210" i="19" s="1"/>
  <c r="H258" i="19"/>
  <c r="K258" i="19" s="1"/>
  <c r="F275" i="19"/>
  <c r="J275" i="19" s="1"/>
  <c r="K275" i="19" s="1"/>
  <c r="F273" i="19"/>
  <c r="J273" i="19" s="1"/>
  <c r="K273" i="19" s="1"/>
  <c r="F277" i="19"/>
  <c r="J277" i="19" s="1"/>
  <c r="K277" i="19" s="1"/>
  <c r="H272" i="19"/>
  <c r="K272" i="19" s="1"/>
  <c r="F276" i="19"/>
  <c r="J276" i="19" s="1"/>
  <c r="K276" i="19" s="1"/>
  <c r="F316" i="19"/>
  <c r="J316" i="19" s="1"/>
  <c r="K316" i="19" s="1"/>
  <c r="H315" i="19"/>
  <c r="K315" i="19" s="1"/>
  <c r="F222" i="19"/>
  <c r="J222" i="19" s="1"/>
  <c r="K222" i="19" s="1"/>
  <c r="F259" i="19"/>
  <c r="J259" i="19" s="1"/>
  <c r="K259" i="19" s="1"/>
  <c r="F49" i="19"/>
  <c r="J49" i="19" s="1"/>
  <c r="K49" i="19" s="1"/>
  <c r="F75" i="19"/>
  <c r="J75" i="19" s="1"/>
  <c r="K75" i="19" s="1"/>
  <c r="F122" i="19"/>
  <c r="J122" i="19" s="1"/>
  <c r="K122" i="19" s="1"/>
  <c r="F120" i="19"/>
  <c r="J120" i="19" s="1"/>
  <c r="K120" i="19" s="1"/>
  <c r="F121" i="19"/>
  <c r="J121" i="19" s="1"/>
  <c r="K121" i="19" s="1"/>
  <c r="F150" i="19"/>
  <c r="J150" i="19" s="1"/>
  <c r="K150" i="19" s="1"/>
  <c r="F149" i="19"/>
  <c r="J149" i="19" s="1"/>
  <c r="K149" i="19" s="1"/>
  <c r="F187" i="19"/>
  <c r="J187" i="19" s="1"/>
  <c r="K187" i="19" s="1"/>
  <c r="F184" i="19"/>
  <c r="J184" i="19" s="1"/>
  <c r="K184" i="19" s="1"/>
  <c r="F188" i="19"/>
  <c r="J188" i="19" s="1"/>
  <c r="K188" i="19" s="1"/>
  <c r="F271" i="19"/>
  <c r="J271" i="19" s="1"/>
  <c r="K271" i="19" s="1"/>
  <c r="F270" i="19"/>
  <c r="J270" i="19" s="1"/>
  <c r="K270" i="19" s="1"/>
  <c r="F257" i="19"/>
  <c r="J257" i="19" s="1"/>
  <c r="K257" i="19" s="1"/>
  <c r="F309" i="19"/>
  <c r="J309" i="19" s="1"/>
  <c r="K309" i="19" s="1"/>
  <c r="F252" i="19"/>
  <c r="J252" i="19" s="1"/>
  <c r="K252" i="19" s="1"/>
  <c r="H280" i="19"/>
  <c r="K280" i="19" s="1"/>
  <c r="F283" i="19"/>
  <c r="J283" i="19" s="1"/>
  <c r="K283" i="19" s="1"/>
  <c r="F145" i="19"/>
  <c r="J145" i="19" s="1"/>
  <c r="K145" i="19" s="1"/>
  <c r="F142" i="19"/>
  <c r="J142" i="19" s="1"/>
  <c r="K142" i="19" s="1"/>
  <c r="F147" i="19"/>
  <c r="J147" i="19" s="1"/>
  <c r="K147" i="19" s="1"/>
  <c r="F255" i="19"/>
  <c r="J255" i="19" s="1"/>
  <c r="K255" i="19" s="1"/>
  <c r="F339" i="19"/>
  <c r="J339" i="19" s="1"/>
  <c r="K339" i="19" s="1"/>
  <c r="F336" i="19"/>
  <c r="J336" i="19" s="1"/>
  <c r="K336" i="19" s="1"/>
  <c r="F341" i="19"/>
  <c r="J341" i="19" s="1"/>
  <c r="K341" i="19" s="1"/>
  <c r="H318" i="18"/>
  <c r="K318" i="18" s="1"/>
  <c r="F319" i="18"/>
  <c r="J319" i="18" s="1"/>
  <c r="K319" i="18" s="1"/>
  <c r="H345" i="18"/>
  <c r="K345" i="18" s="1"/>
  <c r="F141" i="18"/>
  <c r="J141" i="18" s="1"/>
  <c r="K141" i="18" s="1"/>
  <c r="H250" i="18"/>
  <c r="K250" i="18" s="1"/>
  <c r="F335" i="18"/>
  <c r="J335" i="18" s="1"/>
  <c r="K335" i="18" s="1"/>
  <c r="F117" i="18"/>
  <c r="J117" i="18" s="1"/>
  <c r="K117" i="18" s="1"/>
  <c r="F142" i="18"/>
  <c r="J142" i="18" s="1"/>
  <c r="K142" i="18" s="1"/>
  <c r="F251" i="18"/>
  <c r="J251" i="18" s="1"/>
  <c r="K251" i="18" s="1"/>
  <c r="F294" i="18"/>
  <c r="J294" i="18" s="1"/>
  <c r="K294" i="18" s="1"/>
  <c r="F175" i="18"/>
  <c r="J175" i="18" s="1"/>
  <c r="K175" i="18" s="1"/>
  <c r="H28" i="18"/>
  <c r="K28" i="18" s="1"/>
  <c r="F118" i="18"/>
  <c r="J118" i="18" s="1"/>
  <c r="K118" i="18" s="1"/>
  <c r="F176" i="18"/>
  <c r="J176" i="18" s="1"/>
  <c r="K176" i="18" s="1"/>
  <c r="F252" i="18"/>
  <c r="J252" i="18" s="1"/>
  <c r="K252" i="18" s="1"/>
  <c r="H291" i="18"/>
  <c r="K291" i="18" s="1"/>
  <c r="F295" i="18"/>
  <c r="J295" i="18" s="1"/>
  <c r="K295" i="18" s="1"/>
  <c r="F257" i="18"/>
  <c r="J257" i="18" s="1"/>
  <c r="K257" i="18" s="1"/>
  <c r="F29" i="18"/>
  <c r="J29" i="18" s="1"/>
  <c r="K29" i="18" s="1"/>
  <c r="F271" i="18"/>
  <c r="J271" i="18" s="1"/>
  <c r="K271" i="18" s="1"/>
  <c r="F279" i="18"/>
  <c r="J279" i="18" s="1"/>
  <c r="K279" i="18" s="1"/>
  <c r="F20" i="18"/>
  <c r="J20" i="18" s="1"/>
  <c r="K20" i="18" s="1"/>
  <c r="F253" i="18"/>
  <c r="J253" i="18" s="1"/>
  <c r="K253" i="18" s="1"/>
  <c r="F296" i="18"/>
  <c r="J296" i="18" s="1"/>
  <c r="K296" i="18" s="1"/>
  <c r="H39" i="18"/>
  <c r="K39" i="18" s="1"/>
  <c r="F40" i="18"/>
  <c r="J40" i="18" s="1"/>
  <c r="K40" i="18" s="1"/>
  <c r="F41" i="18"/>
  <c r="J41" i="18" s="1"/>
  <c r="K41" i="18" s="1"/>
  <c r="H59" i="18"/>
  <c r="K59" i="18" s="1"/>
  <c r="F76" i="18"/>
  <c r="J76" i="18" s="1"/>
  <c r="K76" i="18" s="1"/>
  <c r="F73" i="18"/>
  <c r="J73" i="18" s="1"/>
  <c r="F74" i="18"/>
  <c r="J74" i="18" s="1"/>
  <c r="K74" i="18" s="1"/>
  <c r="H86" i="18"/>
  <c r="K86" i="18" s="1"/>
  <c r="H165" i="18"/>
  <c r="K165" i="18" s="1"/>
  <c r="F166" i="18"/>
  <c r="J166" i="18" s="1"/>
  <c r="K166" i="18" s="1"/>
  <c r="H25" i="18"/>
  <c r="K25" i="18" s="1"/>
  <c r="F60" i="18"/>
  <c r="J60" i="18" s="1"/>
  <c r="K60" i="18" s="1"/>
  <c r="H72" i="18"/>
  <c r="F77" i="18"/>
  <c r="J77" i="18" s="1"/>
  <c r="K77" i="18" s="1"/>
  <c r="F125" i="18"/>
  <c r="J125" i="18" s="1"/>
  <c r="K125" i="18" s="1"/>
  <c r="H148" i="18"/>
  <c r="K148" i="18" s="1"/>
  <c r="F223" i="18"/>
  <c r="J223" i="18" s="1"/>
  <c r="K223" i="18" s="1"/>
  <c r="F282" i="18"/>
  <c r="J282" i="18" s="1"/>
  <c r="K282" i="18" s="1"/>
  <c r="F26" i="18"/>
  <c r="J26" i="18" s="1"/>
  <c r="K26" i="18" s="1"/>
  <c r="F35" i="18"/>
  <c r="F87" i="18"/>
  <c r="J87" i="18" s="1"/>
  <c r="K87" i="18" s="1"/>
  <c r="F121" i="18"/>
  <c r="J121" i="18" s="1"/>
  <c r="K121" i="18" s="1"/>
  <c r="F332" i="18"/>
  <c r="J332" i="18" s="1"/>
  <c r="K332" i="18" s="1"/>
  <c r="F333" i="18"/>
  <c r="J333" i="18" s="1"/>
  <c r="K333" i="18" s="1"/>
  <c r="H61" i="18"/>
  <c r="K61" i="18" s="1"/>
  <c r="F147" i="18"/>
  <c r="J147" i="18" s="1"/>
  <c r="K147" i="18" s="1"/>
  <c r="H140" i="18"/>
  <c r="K140" i="18" s="1"/>
  <c r="F144" i="18"/>
  <c r="J144" i="18" s="1"/>
  <c r="K144" i="18" s="1"/>
  <c r="F146" i="18"/>
  <c r="J146" i="18" s="1"/>
  <c r="K146" i="18" s="1"/>
  <c r="F149" i="18"/>
  <c r="J149" i="18" s="1"/>
  <c r="K149" i="18" s="1"/>
  <c r="F167" i="18"/>
  <c r="H177" i="18"/>
  <c r="K177" i="18" s="1"/>
  <c r="H269" i="18"/>
  <c r="K269" i="18" s="1"/>
  <c r="F283" i="18"/>
  <c r="J283" i="18" s="1"/>
  <c r="K283" i="18" s="1"/>
  <c r="F322" i="18"/>
  <c r="J322" i="18" s="1"/>
  <c r="K322" i="18" s="1"/>
  <c r="H331" i="18"/>
  <c r="K331" i="18" s="1"/>
  <c r="H342" i="18"/>
  <c r="K342" i="18" s="1"/>
  <c r="H315" i="18"/>
  <c r="K315" i="18" s="1"/>
  <c r="F316" i="18"/>
  <c r="J316" i="18" s="1"/>
  <c r="K316" i="18" s="1"/>
  <c r="F317" i="18"/>
  <c r="J317" i="18" s="1"/>
  <c r="K317" i="18" s="1"/>
  <c r="F42" i="18"/>
  <c r="F34" i="18"/>
  <c r="J34" i="18" s="1"/>
  <c r="K34" i="18" s="1"/>
  <c r="H33" i="18"/>
  <c r="K33" i="18" s="1"/>
  <c r="F196" i="18"/>
  <c r="F195" i="18"/>
  <c r="J195" i="18" s="1"/>
  <c r="K195" i="18" s="1"/>
  <c r="H194" i="18"/>
  <c r="K194" i="18" s="1"/>
  <c r="F52" i="18"/>
  <c r="J52" i="18" s="1"/>
  <c r="K52" i="18" s="1"/>
  <c r="F54" i="18"/>
  <c r="F49" i="18"/>
  <c r="J49" i="18" s="1"/>
  <c r="K49" i="18" s="1"/>
  <c r="H48" i="18"/>
  <c r="K48" i="18" s="1"/>
  <c r="F51" i="18"/>
  <c r="J51" i="18" s="1"/>
  <c r="K51" i="18" s="1"/>
  <c r="H18" i="18"/>
  <c r="K18" i="18" s="1"/>
  <c r="F62" i="18"/>
  <c r="J62" i="18" s="1"/>
  <c r="K62" i="18" s="1"/>
  <c r="F75" i="18"/>
  <c r="J75" i="18" s="1"/>
  <c r="K75" i="18" s="1"/>
  <c r="F154" i="18"/>
  <c r="J154" i="18" s="1"/>
  <c r="K154" i="18" s="1"/>
  <c r="F153" i="18"/>
  <c r="J153" i="18" s="1"/>
  <c r="K153" i="18" s="1"/>
  <c r="H151" i="18"/>
  <c r="K151" i="18" s="1"/>
  <c r="F179" i="18"/>
  <c r="J179" i="18" s="1"/>
  <c r="K179" i="18" s="1"/>
  <c r="F341" i="18"/>
  <c r="J341" i="18" s="1"/>
  <c r="K341" i="18" s="1"/>
  <c r="H334" i="18"/>
  <c r="K334" i="18" s="1"/>
  <c r="F340" i="18"/>
  <c r="J340" i="18" s="1"/>
  <c r="K340" i="18" s="1"/>
  <c r="F337" i="18"/>
  <c r="J337" i="18" s="1"/>
  <c r="K337" i="18" s="1"/>
  <c r="F336" i="18"/>
  <c r="J336" i="18" s="1"/>
  <c r="K336" i="18" s="1"/>
  <c r="F339" i="18"/>
  <c r="J339" i="18" s="1"/>
  <c r="K339" i="18" s="1"/>
  <c r="F338" i="18"/>
  <c r="J338" i="18" s="1"/>
  <c r="K338" i="18" s="1"/>
  <c r="F348" i="18"/>
  <c r="J348" i="18" s="1"/>
  <c r="K348" i="18" s="1"/>
  <c r="F347" i="18"/>
  <c r="J347" i="18" s="1"/>
  <c r="K347" i="18" s="1"/>
  <c r="F211" i="18"/>
  <c r="J211" i="18" s="1"/>
  <c r="K211" i="18" s="1"/>
  <c r="F208" i="18"/>
  <c r="J208" i="18" s="1"/>
  <c r="K208" i="18" s="1"/>
  <c r="F210" i="18"/>
  <c r="J210" i="18" s="1"/>
  <c r="K210" i="18" s="1"/>
  <c r="F209" i="18"/>
  <c r="J209" i="18" s="1"/>
  <c r="K209" i="18" s="1"/>
  <c r="F124" i="18"/>
  <c r="J124" i="18" s="1"/>
  <c r="K124" i="18" s="1"/>
  <c r="F122" i="18"/>
  <c r="J122" i="18" s="1"/>
  <c r="K122" i="18" s="1"/>
  <c r="H119" i="18"/>
  <c r="K119" i="18" s="1"/>
  <c r="F126" i="18"/>
  <c r="J126" i="18" s="1"/>
  <c r="K126" i="18" s="1"/>
  <c r="F120" i="18"/>
  <c r="J120" i="18" s="1"/>
  <c r="K120" i="18" s="1"/>
  <c r="F53" i="18"/>
  <c r="J53" i="18" s="1"/>
  <c r="K53" i="18" s="1"/>
  <c r="H207" i="18"/>
  <c r="K207" i="18" s="1"/>
  <c r="H280" i="18"/>
  <c r="K280" i="18" s="1"/>
  <c r="F131" i="18"/>
  <c r="J131" i="18" s="1"/>
  <c r="K131" i="18" s="1"/>
  <c r="H130" i="18"/>
  <c r="K130" i="18" s="1"/>
  <c r="F129" i="18"/>
  <c r="J129" i="18" s="1"/>
  <c r="K129" i="18" s="1"/>
  <c r="H127" i="18"/>
  <c r="K127" i="18" s="1"/>
  <c r="F159" i="18"/>
  <c r="J159" i="18" s="1"/>
  <c r="K159" i="18" s="1"/>
  <c r="F157" i="18"/>
  <c r="J157" i="18" s="1"/>
  <c r="K157" i="18" s="1"/>
  <c r="F277" i="18"/>
  <c r="J277" i="18" s="1"/>
  <c r="K277" i="18" s="1"/>
  <c r="F278" i="18"/>
  <c r="J278" i="18" s="1"/>
  <c r="K278" i="18" s="1"/>
  <c r="F273" i="18"/>
  <c r="J273" i="18" s="1"/>
  <c r="K273" i="18" s="1"/>
  <c r="F275" i="18"/>
  <c r="J275" i="18" s="1"/>
  <c r="K275" i="18" s="1"/>
  <c r="F311" i="18"/>
  <c r="J311" i="18" s="1"/>
  <c r="K311" i="18" s="1"/>
  <c r="F313" i="18"/>
  <c r="J313" i="18" s="1"/>
  <c r="K313" i="18" s="1"/>
  <c r="H307" i="18"/>
  <c r="K307" i="18" s="1"/>
  <c r="F310" i="18"/>
  <c r="J310" i="18" s="1"/>
  <c r="K310" i="18" s="1"/>
  <c r="F389" i="18"/>
  <c r="J389" i="18" s="1"/>
  <c r="K389" i="18" s="1"/>
  <c r="F387" i="18"/>
  <c r="J387" i="18" s="1"/>
  <c r="K387" i="18" s="1"/>
  <c r="F390" i="18"/>
  <c r="J390" i="18" s="1"/>
  <c r="K390" i="18" s="1"/>
  <c r="F187" i="18"/>
  <c r="J187" i="18" s="1"/>
  <c r="K187" i="18" s="1"/>
  <c r="F189" i="18"/>
  <c r="F184" i="18"/>
  <c r="J184" i="18" s="1"/>
  <c r="K184" i="18" s="1"/>
  <c r="F255" i="18"/>
  <c r="J255" i="18" s="1"/>
  <c r="K255" i="18" s="1"/>
  <c r="H172" i="18"/>
  <c r="K172" i="18" s="1"/>
  <c r="H215" i="18"/>
  <c r="K215" i="18" s="1"/>
  <c r="F121" i="17"/>
  <c r="J121" i="17" s="1"/>
  <c r="K121" i="17" s="1"/>
  <c r="F153" i="17"/>
  <c r="J153" i="17" s="1"/>
  <c r="K153" i="17" s="1"/>
  <c r="F292" i="17"/>
  <c r="J292" i="17" s="1"/>
  <c r="K292" i="17" s="1"/>
  <c r="F322" i="17"/>
  <c r="J322" i="17" s="1"/>
  <c r="K322" i="17" s="1"/>
  <c r="H345" i="17"/>
  <c r="K345" i="17" s="1"/>
  <c r="F123" i="17"/>
  <c r="J123" i="17" s="1"/>
  <c r="K123" i="17" s="1"/>
  <c r="H148" i="17"/>
  <c r="K148" i="17" s="1"/>
  <c r="H207" i="17"/>
  <c r="K207" i="17" s="1"/>
  <c r="H342" i="17"/>
  <c r="K342" i="17" s="1"/>
  <c r="F149" i="17"/>
  <c r="J149" i="17" s="1"/>
  <c r="K149" i="17" s="1"/>
  <c r="H315" i="17"/>
  <c r="K315" i="17" s="1"/>
  <c r="F347" i="17"/>
  <c r="J347" i="17" s="1"/>
  <c r="K347" i="17" s="1"/>
  <c r="F344" i="17"/>
  <c r="J344" i="17" s="1"/>
  <c r="K344" i="17" s="1"/>
  <c r="F124" i="17"/>
  <c r="J124" i="17" s="1"/>
  <c r="K124" i="17" s="1"/>
  <c r="F210" i="17"/>
  <c r="J210" i="17" s="1"/>
  <c r="K210" i="17" s="1"/>
  <c r="H25" i="17"/>
  <c r="K25" i="17" s="1"/>
  <c r="F168" i="17"/>
  <c r="J168" i="17" s="1"/>
  <c r="K168" i="17" s="1"/>
  <c r="F320" i="17"/>
  <c r="J320" i="17" s="1"/>
  <c r="K320" i="17" s="1"/>
  <c r="F26" i="17"/>
  <c r="J26" i="17" s="1"/>
  <c r="K26" i="17" s="1"/>
  <c r="F129" i="17"/>
  <c r="J129" i="17" s="1"/>
  <c r="K129" i="17" s="1"/>
  <c r="H269" i="17"/>
  <c r="K269" i="17" s="1"/>
  <c r="F260" i="17"/>
  <c r="J260" i="17" s="1"/>
  <c r="K260" i="17" s="1"/>
  <c r="F297" i="17"/>
  <c r="J297" i="17" s="1"/>
  <c r="K297" i="17" s="1"/>
  <c r="F43" i="17"/>
  <c r="J43" i="17" s="1"/>
  <c r="K43" i="17" s="1"/>
  <c r="F44" i="17"/>
  <c r="J44" i="17" s="1"/>
  <c r="K44" i="17" s="1"/>
  <c r="F118" i="17"/>
  <c r="J118" i="17" s="1"/>
  <c r="K118" i="17" s="1"/>
  <c r="F117" i="17"/>
  <c r="J117" i="17" s="1"/>
  <c r="K117" i="17" s="1"/>
  <c r="H116" i="17"/>
  <c r="K116" i="17" s="1"/>
  <c r="F178" i="17"/>
  <c r="J178" i="17" s="1"/>
  <c r="K178" i="17" s="1"/>
  <c r="H177" i="17"/>
  <c r="K177" i="17" s="1"/>
  <c r="F179" i="17"/>
  <c r="J179" i="17" s="1"/>
  <c r="K179" i="17" s="1"/>
  <c r="H189" i="17"/>
  <c r="K189" i="17" s="1"/>
  <c r="H59" i="17"/>
  <c r="K59" i="17" s="1"/>
  <c r="F61" i="17"/>
  <c r="F82" i="17"/>
  <c r="J82" i="17" s="1"/>
  <c r="K82" i="17" s="1"/>
  <c r="F86" i="17"/>
  <c r="F81" i="17"/>
  <c r="J81" i="17" s="1"/>
  <c r="K81" i="17" s="1"/>
  <c r="F85" i="17"/>
  <c r="J85" i="17" s="1"/>
  <c r="K85" i="17" s="1"/>
  <c r="F51" i="17"/>
  <c r="J51" i="17" s="1"/>
  <c r="K51" i="17" s="1"/>
  <c r="H48" i="17"/>
  <c r="K48" i="17" s="1"/>
  <c r="F50" i="17"/>
  <c r="J50" i="17" s="1"/>
  <c r="K50" i="17" s="1"/>
  <c r="F53" i="17"/>
  <c r="J53" i="17" s="1"/>
  <c r="K53" i="17" s="1"/>
  <c r="F278" i="17"/>
  <c r="J278" i="17" s="1"/>
  <c r="K278" i="17" s="1"/>
  <c r="F275" i="17"/>
  <c r="J275" i="17" s="1"/>
  <c r="K275" i="17" s="1"/>
  <c r="F273" i="17"/>
  <c r="J273" i="17" s="1"/>
  <c r="K273" i="17" s="1"/>
  <c r="F277" i="17"/>
  <c r="J277" i="17" s="1"/>
  <c r="K277" i="17" s="1"/>
  <c r="F274" i="17"/>
  <c r="J274" i="17" s="1"/>
  <c r="K274" i="17" s="1"/>
  <c r="F276" i="17"/>
  <c r="J276" i="17" s="1"/>
  <c r="K276" i="17" s="1"/>
  <c r="H272" i="17"/>
  <c r="K272" i="17" s="1"/>
  <c r="F20" i="17"/>
  <c r="J20" i="17" s="1"/>
  <c r="K20" i="17" s="1"/>
  <c r="H18" i="17"/>
  <c r="K18" i="17" s="1"/>
  <c r="F54" i="17"/>
  <c r="F145" i="17"/>
  <c r="J145" i="17" s="1"/>
  <c r="K145" i="17" s="1"/>
  <c r="F144" i="17"/>
  <c r="J144" i="17" s="1"/>
  <c r="K144" i="17" s="1"/>
  <c r="F146" i="17"/>
  <c r="J146" i="17" s="1"/>
  <c r="K146" i="17" s="1"/>
  <c r="H140" i="17"/>
  <c r="K140" i="17" s="1"/>
  <c r="F173" i="17"/>
  <c r="J173" i="17" s="1"/>
  <c r="K173" i="17" s="1"/>
  <c r="H172" i="17"/>
  <c r="K172" i="17" s="1"/>
  <c r="H196" i="17"/>
  <c r="K196" i="17" s="1"/>
  <c r="F75" i="17"/>
  <c r="J75" i="17" s="1"/>
  <c r="K75" i="17" s="1"/>
  <c r="H72" i="17"/>
  <c r="K72" i="17" s="1"/>
  <c r="F74" i="17"/>
  <c r="J74" i="17" s="1"/>
  <c r="K74" i="17" s="1"/>
  <c r="F128" i="17"/>
  <c r="J128" i="17" s="1"/>
  <c r="K128" i="17" s="1"/>
  <c r="F219" i="17"/>
  <c r="J219" i="17" s="1"/>
  <c r="K219" i="17" s="1"/>
  <c r="F221" i="17"/>
  <c r="F216" i="17"/>
  <c r="J216" i="17" s="1"/>
  <c r="K216" i="17" s="1"/>
  <c r="F218" i="17"/>
  <c r="J218" i="17" s="1"/>
  <c r="K218" i="17" s="1"/>
  <c r="F217" i="17"/>
  <c r="J217" i="17" s="1"/>
  <c r="K217" i="17" s="1"/>
  <c r="F35" i="17"/>
  <c r="F76" i="17"/>
  <c r="J76" i="17" s="1"/>
  <c r="K76" i="17" s="1"/>
  <c r="F141" i="17"/>
  <c r="J141" i="17" s="1"/>
  <c r="K141" i="17" s="1"/>
  <c r="F174" i="17"/>
  <c r="H215" i="17"/>
  <c r="K215" i="17" s="1"/>
  <c r="F142" i="17"/>
  <c r="J142" i="17" s="1"/>
  <c r="K142" i="17" s="1"/>
  <c r="F30" i="17"/>
  <c r="J30" i="17" s="1"/>
  <c r="K30" i="17" s="1"/>
  <c r="F29" i="17"/>
  <c r="J29" i="17" s="1"/>
  <c r="K29" i="17" s="1"/>
  <c r="F122" i="17"/>
  <c r="J122" i="17" s="1"/>
  <c r="K122" i="17" s="1"/>
  <c r="F120" i="17"/>
  <c r="J120" i="17" s="1"/>
  <c r="K120" i="17" s="1"/>
  <c r="F126" i="17"/>
  <c r="J126" i="17" s="1"/>
  <c r="K126" i="17" s="1"/>
  <c r="F125" i="17"/>
  <c r="J125" i="17" s="1"/>
  <c r="K125" i="17" s="1"/>
  <c r="F147" i="17"/>
  <c r="J147" i="17" s="1"/>
  <c r="K147" i="17" s="1"/>
  <c r="F188" i="17"/>
  <c r="J188" i="17" s="1"/>
  <c r="K188" i="17" s="1"/>
  <c r="F185" i="17"/>
  <c r="J185" i="17" s="1"/>
  <c r="K185" i="17" s="1"/>
  <c r="F186" i="17"/>
  <c r="J186" i="17" s="1"/>
  <c r="K186" i="17" s="1"/>
  <c r="F332" i="17"/>
  <c r="J332" i="17" s="1"/>
  <c r="K332" i="17" s="1"/>
  <c r="F336" i="17"/>
  <c r="J336" i="17" s="1"/>
  <c r="K336" i="17" s="1"/>
  <c r="H130" i="17"/>
  <c r="K130" i="17" s="1"/>
  <c r="H167" i="17"/>
  <c r="K167" i="17" s="1"/>
  <c r="F212" i="17"/>
  <c r="J212" i="17" s="1"/>
  <c r="K212" i="17" s="1"/>
  <c r="F209" i="17"/>
  <c r="J209" i="17" s="1"/>
  <c r="K209" i="17" s="1"/>
  <c r="H258" i="17"/>
  <c r="K258" i="17" s="1"/>
  <c r="F337" i="17"/>
  <c r="J337" i="17" s="1"/>
  <c r="K337" i="17" s="1"/>
  <c r="F335" i="17"/>
  <c r="J335" i="17" s="1"/>
  <c r="K335" i="17" s="1"/>
  <c r="F339" i="17"/>
  <c r="J339" i="17" s="1"/>
  <c r="K339" i="17" s="1"/>
  <c r="F341" i="17"/>
  <c r="J341" i="17" s="1"/>
  <c r="K341" i="17" s="1"/>
  <c r="F152" i="17"/>
  <c r="J152" i="17" s="1"/>
  <c r="K152" i="17" s="1"/>
  <c r="F208" i="17"/>
  <c r="J208" i="17" s="1"/>
  <c r="K208" i="17" s="1"/>
  <c r="F309" i="17"/>
  <c r="J309" i="17" s="1"/>
  <c r="K309" i="17" s="1"/>
  <c r="F317" i="17"/>
  <c r="J317" i="17" s="1"/>
  <c r="K317" i="17" s="1"/>
  <c r="H334" i="17"/>
  <c r="K334" i="17" s="1"/>
  <c r="F338" i="17"/>
  <c r="J338" i="17" s="1"/>
  <c r="K338" i="17" s="1"/>
  <c r="F254" i="17"/>
  <c r="J254" i="17" s="1"/>
  <c r="K254" i="17" s="1"/>
  <c r="F282" i="17"/>
  <c r="J282" i="17" s="1"/>
  <c r="K282" i="17" s="1"/>
  <c r="F295" i="17"/>
  <c r="J295" i="17" s="1"/>
  <c r="K295" i="17" s="1"/>
  <c r="H318" i="17"/>
  <c r="K318" i="17" s="1"/>
  <c r="F252" i="17"/>
  <c r="J252" i="17" s="1"/>
  <c r="K252" i="17" s="1"/>
  <c r="F293" i="17"/>
  <c r="J293" i="17" s="1"/>
  <c r="K293" i="17" s="1"/>
  <c r="F158" i="17"/>
  <c r="J158" i="17" s="1"/>
  <c r="K158" i="17" s="1"/>
  <c r="H250" i="17"/>
  <c r="K250" i="17" s="1"/>
  <c r="H291" i="17"/>
  <c r="K291" i="17" s="1"/>
  <c r="F388" i="17"/>
  <c r="J388" i="17" s="1"/>
  <c r="K388" i="17" s="1"/>
  <c r="E390" i="16"/>
  <c r="E389" i="16"/>
  <c r="E388" i="16"/>
  <c r="E387" i="16"/>
  <c r="F386" i="16"/>
  <c r="F383" i="16"/>
  <c r="J383" i="16" s="1"/>
  <c r="K383" i="16" s="1"/>
  <c r="F382" i="16"/>
  <c r="J382" i="16" s="1"/>
  <c r="K382" i="16" s="1"/>
  <c r="F381" i="16"/>
  <c r="J381" i="16" s="1"/>
  <c r="K381" i="16" s="1"/>
  <c r="F380" i="16"/>
  <c r="J380" i="16" s="1"/>
  <c r="K380" i="16" s="1"/>
  <c r="F378" i="16"/>
  <c r="J378" i="16" s="1"/>
  <c r="K378" i="16" s="1"/>
  <c r="J377" i="16"/>
  <c r="K377" i="16" s="1"/>
  <c r="F376" i="16"/>
  <c r="F374" i="16"/>
  <c r="J374" i="16" s="1"/>
  <c r="K374" i="16" s="1"/>
  <c r="F373" i="16"/>
  <c r="J373" i="16" s="1"/>
  <c r="K373" i="16" s="1"/>
  <c r="F372" i="16"/>
  <c r="J372" i="16" s="1"/>
  <c r="K372" i="16" s="1"/>
  <c r="F371" i="16"/>
  <c r="J371" i="16" s="1"/>
  <c r="K371" i="16" s="1"/>
  <c r="F369" i="16"/>
  <c r="J369" i="16" s="1"/>
  <c r="K369" i="16" s="1"/>
  <c r="J368" i="16"/>
  <c r="K368" i="16" s="1"/>
  <c r="F367" i="16"/>
  <c r="F370" i="16" s="1"/>
  <c r="J370" i="16" s="1"/>
  <c r="K370" i="16" s="1"/>
  <c r="F365" i="16"/>
  <c r="J365" i="16" s="1"/>
  <c r="K365" i="16" s="1"/>
  <c r="F364" i="16"/>
  <c r="J364" i="16" s="1"/>
  <c r="K364" i="16" s="1"/>
  <c r="F363" i="16"/>
  <c r="J363" i="16" s="1"/>
  <c r="K363" i="16" s="1"/>
  <c r="F362" i="16"/>
  <c r="J362" i="16" s="1"/>
  <c r="K362" i="16" s="1"/>
  <c r="J360" i="16"/>
  <c r="K360" i="16" s="1"/>
  <c r="F360" i="16"/>
  <c r="J359" i="16"/>
  <c r="K359" i="16" s="1"/>
  <c r="F358" i="16"/>
  <c r="F361" i="16" s="1"/>
  <c r="J361" i="16" s="1"/>
  <c r="K361" i="16" s="1"/>
  <c r="F356" i="16"/>
  <c r="J356" i="16" s="1"/>
  <c r="K356" i="16" s="1"/>
  <c r="F355" i="16"/>
  <c r="J355" i="16" s="1"/>
  <c r="K355" i="16" s="1"/>
  <c r="F354" i="16"/>
  <c r="J354" i="16" s="1"/>
  <c r="K354" i="16" s="1"/>
  <c r="F353" i="16"/>
  <c r="J353" i="16" s="1"/>
  <c r="K353" i="16" s="1"/>
  <c r="F351" i="16"/>
  <c r="J351" i="16" s="1"/>
  <c r="K351" i="16" s="1"/>
  <c r="J350" i="16"/>
  <c r="K350" i="16" s="1"/>
  <c r="F349" i="16"/>
  <c r="F352" i="16" s="1"/>
  <c r="J352" i="16" s="1"/>
  <c r="K352" i="16" s="1"/>
  <c r="E346" i="16"/>
  <c r="F345" i="16"/>
  <c r="F347" i="16" s="1"/>
  <c r="J347" i="16" s="1"/>
  <c r="K347" i="16" s="1"/>
  <c r="F342" i="16"/>
  <c r="F343" i="16" s="1"/>
  <c r="J343" i="16" s="1"/>
  <c r="K343" i="16" s="1"/>
  <c r="E339" i="16"/>
  <c r="E337" i="16"/>
  <c r="E336" i="16"/>
  <c r="E335" i="16"/>
  <c r="F334" i="16"/>
  <c r="F339" i="16" s="1"/>
  <c r="J339" i="16" s="1"/>
  <c r="K339" i="16" s="1"/>
  <c r="F331" i="16"/>
  <c r="F330" i="16"/>
  <c r="J330" i="16" s="1"/>
  <c r="K330" i="16" s="1"/>
  <c r="F329" i="16"/>
  <c r="J329" i="16" s="1"/>
  <c r="K329" i="16" s="1"/>
  <c r="F328" i="16"/>
  <c r="J328" i="16" s="1"/>
  <c r="K328" i="16" s="1"/>
  <c r="F327" i="16"/>
  <c r="J327" i="16" s="1"/>
  <c r="K327" i="16" s="1"/>
  <c r="F326" i="16"/>
  <c r="J326" i="16" s="1"/>
  <c r="K326" i="16" s="1"/>
  <c r="H325" i="16"/>
  <c r="K325" i="16" s="1"/>
  <c r="E322" i="16"/>
  <c r="F321" i="16"/>
  <c r="H321" i="16" s="1"/>
  <c r="K321" i="16" s="1"/>
  <c r="F318" i="16"/>
  <c r="H318" i="16" s="1"/>
  <c r="K318" i="16" s="1"/>
  <c r="F315" i="16"/>
  <c r="E312" i="16"/>
  <c r="E310" i="16"/>
  <c r="E309" i="16"/>
  <c r="E308" i="16"/>
  <c r="F307" i="16"/>
  <c r="F306" i="16"/>
  <c r="J306" i="16" s="1"/>
  <c r="K306" i="16" s="1"/>
  <c r="F305" i="16"/>
  <c r="J305" i="16" s="1"/>
  <c r="K305" i="16" s="1"/>
  <c r="F304" i="16"/>
  <c r="J304" i="16" s="1"/>
  <c r="K304" i="16" s="1"/>
  <c r="F303" i="16"/>
  <c r="J303" i="16" s="1"/>
  <c r="K303" i="16" s="1"/>
  <c r="F302" i="16"/>
  <c r="J302" i="16" s="1"/>
  <c r="K302" i="16" s="1"/>
  <c r="H301" i="16"/>
  <c r="K301" i="16" s="1"/>
  <c r="E296" i="16"/>
  <c r="E294" i="16"/>
  <c r="E293" i="16"/>
  <c r="E292" i="16"/>
  <c r="F291" i="16"/>
  <c r="H291" i="16" s="1"/>
  <c r="K291" i="16" s="1"/>
  <c r="F290" i="16"/>
  <c r="J290" i="16" s="1"/>
  <c r="K290" i="16" s="1"/>
  <c r="F289" i="16"/>
  <c r="J289" i="16" s="1"/>
  <c r="K289" i="16" s="1"/>
  <c r="F288" i="16"/>
  <c r="J288" i="16" s="1"/>
  <c r="K288" i="16" s="1"/>
  <c r="F287" i="16"/>
  <c r="J287" i="16" s="1"/>
  <c r="K287" i="16" s="1"/>
  <c r="F286" i="16"/>
  <c r="J286" i="16" s="1"/>
  <c r="K286" i="16" s="1"/>
  <c r="H285" i="16"/>
  <c r="K285" i="16" s="1"/>
  <c r="E281" i="16"/>
  <c r="F280" i="16"/>
  <c r="F283" i="16" s="1"/>
  <c r="J283" i="16" s="1"/>
  <c r="K283" i="16" s="1"/>
  <c r="E277" i="16"/>
  <c r="E275" i="16"/>
  <c r="E274" i="16"/>
  <c r="E273" i="16"/>
  <c r="F272" i="16"/>
  <c r="F269" i="16"/>
  <c r="F271" i="16" s="1"/>
  <c r="J271" i="16" s="1"/>
  <c r="K271" i="16" s="1"/>
  <c r="F268" i="16"/>
  <c r="J268" i="16" s="1"/>
  <c r="K268" i="16" s="1"/>
  <c r="F267" i="16"/>
  <c r="J267" i="16" s="1"/>
  <c r="K267" i="16" s="1"/>
  <c r="F266" i="16"/>
  <c r="J266" i="16" s="1"/>
  <c r="K266" i="16" s="1"/>
  <c r="F265" i="16"/>
  <c r="J265" i="16" s="1"/>
  <c r="K265" i="16" s="1"/>
  <c r="F264" i="16"/>
  <c r="J264" i="16" s="1"/>
  <c r="K264" i="16" s="1"/>
  <c r="H263" i="16"/>
  <c r="K263" i="16" s="1"/>
  <c r="F258" i="16"/>
  <c r="F259" i="16" s="1"/>
  <c r="J259" i="16" s="1"/>
  <c r="K259" i="16" s="1"/>
  <c r="E255" i="16"/>
  <c r="E253" i="16"/>
  <c r="E252" i="16"/>
  <c r="E251" i="16"/>
  <c r="F250" i="16"/>
  <c r="F257" i="16" s="1"/>
  <c r="J257" i="16" s="1"/>
  <c r="K257" i="16" s="1"/>
  <c r="F249" i="16"/>
  <c r="J249" i="16" s="1"/>
  <c r="K249" i="16" s="1"/>
  <c r="F248" i="16"/>
  <c r="J248" i="16" s="1"/>
  <c r="K248" i="16" s="1"/>
  <c r="F247" i="16"/>
  <c r="J247" i="16" s="1"/>
  <c r="K247" i="16" s="1"/>
  <c r="F246" i="16"/>
  <c r="J246" i="16" s="1"/>
  <c r="K246" i="16" s="1"/>
  <c r="F245" i="16"/>
  <c r="J245" i="16" s="1"/>
  <c r="K245" i="16" s="1"/>
  <c r="H244" i="16"/>
  <c r="K244" i="16" s="1"/>
  <c r="F241" i="16"/>
  <c r="J241" i="16" s="1"/>
  <c r="K241" i="16" s="1"/>
  <c r="F240" i="16"/>
  <c r="J240" i="16" s="1"/>
  <c r="K240" i="16" s="1"/>
  <c r="E239" i="16"/>
  <c r="F239" i="16" s="1"/>
  <c r="J239" i="16" s="1"/>
  <c r="K239" i="16" s="1"/>
  <c r="F238" i="16"/>
  <c r="J238" i="16" s="1"/>
  <c r="K238" i="16" s="1"/>
  <c r="E237" i="16"/>
  <c r="F237" i="16" s="1"/>
  <c r="J237" i="16" s="1"/>
  <c r="K237" i="16" s="1"/>
  <c r="E236" i="16"/>
  <c r="F236" i="16" s="1"/>
  <c r="J236" i="16" s="1"/>
  <c r="K236" i="16" s="1"/>
  <c r="E235" i="16"/>
  <c r="F235" i="16" s="1"/>
  <c r="J235" i="16" s="1"/>
  <c r="K235" i="16" s="1"/>
  <c r="H234" i="16"/>
  <c r="K234" i="16" s="1"/>
  <c r="A234" i="16"/>
  <c r="A244" i="16" s="1"/>
  <c r="A250" i="16" s="1"/>
  <c r="A258" i="16" s="1"/>
  <c r="A263" i="16" s="1"/>
  <c r="A269" i="16" s="1"/>
  <c r="A272" i="16" s="1"/>
  <c r="A280" i="16" s="1"/>
  <c r="A285" i="16" s="1"/>
  <c r="A291" i="16" s="1"/>
  <c r="A301" i="16" s="1"/>
  <c r="A307" i="16" s="1"/>
  <c r="A315" i="16" s="1"/>
  <c r="A318" i="16" s="1"/>
  <c r="A321" i="16" s="1"/>
  <c r="A325" i="16" s="1"/>
  <c r="A331" i="16" s="1"/>
  <c r="A334" i="16" s="1"/>
  <c r="A342" i="16" s="1"/>
  <c r="A345" i="16" s="1"/>
  <c r="A349" i="16" s="1"/>
  <c r="A358" i="16" s="1"/>
  <c r="A367" i="16" s="1"/>
  <c r="A376" i="16" s="1"/>
  <c r="A386" i="16" s="1"/>
  <c r="J233" i="16"/>
  <c r="K233" i="16" s="1"/>
  <c r="J232" i="16"/>
  <c r="K232" i="16" s="1"/>
  <c r="J231" i="16"/>
  <c r="K231" i="16" s="1"/>
  <c r="J230" i="16"/>
  <c r="K230" i="16" s="1"/>
  <c r="J229" i="16"/>
  <c r="K229" i="16" s="1"/>
  <c r="J228" i="16"/>
  <c r="K228" i="16" s="1"/>
  <c r="H227" i="16"/>
  <c r="K227" i="16" s="1"/>
  <c r="J225" i="16"/>
  <c r="H225" i="16"/>
  <c r="F219" i="16"/>
  <c r="J219" i="16" s="1"/>
  <c r="K219" i="16" s="1"/>
  <c r="F215" i="16"/>
  <c r="F221" i="16" s="1"/>
  <c r="F223" i="16" s="1"/>
  <c r="J223" i="16" s="1"/>
  <c r="K223" i="16" s="1"/>
  <c r="F207" i="16"/>
  <c r="F208" i="16" s="1"/>
  <c r="J208" i="16" s="1"/>
  <c r="K208" i="16" s="1"/>
  <c r="F206" i="16"/>
  <c r="J206" i="16" s="1"/>
  <c r="K206" i="16" s="1"/>
  <c r="F205" i="16"/>
  <c r="J205" i="16" s="1"/>
  <c r="K205" i="16" s="1"/>
  <c r="F204" i="16"/>
  <c r="J204" i="16" s="1"/>
  <c r="K204" i="16" s="1"/>
  <c r="F203" i="16"/>
  <c r="J203" i="16" s="1"/>
  <c r="K203" i="16" s="1"/>
  <c r="F202" i="16"/>
  <c r="J202" i="16" s="1"/>
  <c r="K202" i="16" s="1"/>
  <c r="H201" i="16"/>
  <c r="K201" i="16" s="1"/>
  <c r="F194" i="16"/>
  <c r="F195" i="16" s="1"/>
  <c r="J195" i="16" s="1"/>
  <c r="K195" i="16" s="1"/>
  <c r="F186" i="16"/>
  <c r="J186" i="16" s="1"/>
  <c r="K186" i="16" s="1"/>
  <c r="F183" i="16"/>
  <c r="F184" i="16" s="1"/>
  <c r="J184" i="16" s="1"/>
  <c r="K184" i="16" s="1"/>
  <c r="J181" i="16"/>
  <c r="H181" i="16"/>
  <c r="F172" i="16"/>
  <c r="A167" i="16"/>
  <c r="A172" i="16" s="1"/>
  <c r="A174" i="16" s="1"/>
  <c r="A177" i="16" s="1"/>
  <c r="A183" i="16" s="1"/>
  <c r="A189" i="16" s="1"/>
  <c r="A194" i="16" s="1"/>
  <c r="A196" i="16" s="1"/>
  <c r="A201" i="16" s="1"/>
  <c r="A207" i="16" s="1"/>
  <c r="A215" i="16" s="1"/>
  <c r="A221" i="16" s="1"/>
  <c r="F165" i="16"/>
  <c r="F166" i="16" s="1"/>
  <c r="J166" i="16" s="1"/>
  <c r="K166" i="16" s="1"/>
  <c r="E160" i="16"/>
  <c r="E159" i="16"/>
  <c r="E158" i="16"/>
  <c r="E157" i="16"/>
  <c r="F156" i="16"/>
  <c r="H156" i="16" s="1"/>
  <c r="K156" i="16" s="1"/>
  <c r="E152" i="16"/>
  <c r="F151" i="16"/>
  <c r="F154" i="16" s="1"/>
  <c r="J154" i="16" s="1"/>
  <c r="K154" i="16" s="1"/>
  <c r="F148" i="16"/>
  <c r="F150" i="16" s="1"/>
  <c r="J150" i="16" s="1"/>
  <c r="K150" i="16" s="1"/>
  <c r="E145" i="16"/>
  <c r="E143" i="16"/>
  <c r="E142" i="16"/>
  <c r="E141" i="16"/>
  <c r="F140" i="16"/>
  <c r="F146" i="16" s="1"/>
  <c r="J146" i="16" s="1"/>
  <c r="K146" i="16" s="1"/>
  <c r="F139" i="16"/>
  <c r="J139" i="16" s="1"/>
  <c r="K139" i="16" s="1"/>
  <c r="F138" i="16"/>
  <c r="J138" i="16" s="1"/>
  <c r="K138" i="16" s="1"/>
  <c r="F137" i="16"/>
  <c r="J137" i="16" s="1"/>
  <c r="K137" i="16" s="1"/>
  <c r="F136" i="16"/>
  <c r="J136" i="16" s="1"/>
  <c r="K136" i="16" s="1"/>
  <c r="F135" i="16"/>
  <c r="J135" i="16" s="1"/>
  <c r="K135" i="16" s="1"/>
  <c r="H134" i="16"/>
  <c r="K134" i="16" s="1"/>
  <c r="E131" i="16"/>
  <c r="F130" i="16"/>
  <c r="F127" i="16"/>
  <c r="E124" i="16"/>
  <c r="E122" i="16"/>
  <c r="E121" i="16"/>
  <c r="E120" i="16"/>
  <c r="F119" i="16"/>
  <c r="F123" i="16" s="1"/>
  <c r="J123" i="16" s="1"/>
  <c r="K123" i="16" s="1"/>
  <c r="F116" i="16"/>
  <c r="F115" i="16"/>
  <c r="J115" i="16" s="1"/>
  <c r="K115" i="16" s="1"/>
  <c r="F114" i="16"/>
  <c r="J114" i="16" s="1"/>
  <c r="K114" i="16" s="1"/>
  <c r="F113" i="16"/>
  <c r="J113" i="16" s="1"/>
  <c r="K113" i="16" s="1"/>
  <c r="F112" i="16"/>
  <c r="J112" i="16" s="1"/>
  <c r="K112" i="16" s="1"/>
  <c r="F111" i="16"/>
  <c r="J111" i="16" s="1"/>
  <c r="K111" i="16" s="1"/>
  <c r="H110" i="16"/>
  <c r="K110" i="16" s="1"/>
  <c r="F107" i="16"/>
  <c r="J107" i="16" s="1"/>
  <c r="K107" i="16" s="1"/>
  <c r="F106" i="16"/>
  <c r="J106" i="16" s="1"/>
  <c r="K106" i="16" s="1"/>
  <c r="E105" i="16"/>
  <c r="F105" i="16" s="1"/>
  <c r="J105" i="16" s="1"/>
  <c r="K105" i="16" s="1"/>
  <c r="F104" i="16"/>
  <c r="J104" i="16" s="1"/>
  <c r="K104" i="16" s="1"/>
  <c r="E103" i="16"/>
  <c r="F103" i="16" s="1"/>
  <c r="J103" i="16" s="1"/>
  <c r="K103" i="16" s="1"/>
  <c r="E102" i="16"/>
  <c r="F102" i="16" s="1"/>
  <c r="J102" i="16" s="1"/>
  <c r="K102" i="16" s="1"/>
  <c r="E101" i="16"/>
  <c r="F101" i="16" s="1"/>
  <c r="J101" i="16" s="1"/>
  <c r="K101" i="16" s="1"/>
  <c r="H100" i="16"/>
  <c r="K100" i="16" s="1"/>
  <c r="J99" i="16"/>
  <c r="K99" i="16" s="1"/>
  <c r="J98" i="16"/>
  <c r="K98" i="16" s="1"/>
  <c r="J97" i="16"/>
  <c r="K97" i="16" s="1"/>
  <c r="J96" i="16"/>
  <c r="K96" i="16" s="1"/>
  <c r="J95" i="16"/>
  <c r="K95" i="16" s="1"/>
  <c r="J94" i="16"/>
  <c r="K94" i="16" s="1"/>
  <c r="F93" i="16"/>
  <c r="H93" i="16" s="1"/>
  <c r="K93" i="16" s="1"/>
  <c r="J91" i="16"/>
  <c r="H91" i="16"/>
  <c r="F80" i="16"/>
  <c r="F86" i="16" s="1"/>
  <c r="F72" i="16"/>
  <c r="F73" i="16" s="1"/>
  <c r="J73" i="16" s="1"/>
  <c r="K73" i="16" s="1"/>
  <c r="F71" i="16"/>
  <c r="J71" i="16" s="1"/>
  <c r="K71" i="16" s="1"/>
  <c r="F70" i="16"/>
  <c r="J70" i="16" s="1"/>
  <c r="K70" i="16" s="1"/>
  <c r="F69" i="16"/>
  <c r="J69" i="16" s="1"/>
  <c r="K69" i="16" s="1"/>
  <c r="F68" i="16"/>
  <c r="J68" i="16" s="1"/>
  <c r="K68" i="16" s="1"/>
  <c r="F67" i="16"/>
  <c r="J67" i="16" s="1"/>
  <c r="K67" i="16" s="1"/>
  <c r="H66" i="16"/>
  <c r="K66" i="16" s="1"/>
  <c r="F61" i="16"/>
  <c r="F63" i="16" s="1"/>
  <c r="J63" i="16" s="1"/>
  <c r="K63" i="16" s="1"/>
  <c r="F59" i="16"/>
  <c r="F60" i="16" s="1"/>
  <c r="J60" i="16" s="1"/>
  <c r="K60" i="16" s="1"/>
  <c r="F48" i="16"/>
  <c r="F52" i="16" s="1"/>
  <c r="J52" i="16" s="1"/>
  <c r="K52" i="16" s="1"/>
  <c r="J46" i="16"/>
  <c r="H46" i="16"/>
  <c r="F35" i="16"/>
  <c r="H33" i="16"/>
  <c r="K33" i="16" s="1"/>
  <c r="F33" i="16"/>
  <c r="F39" i="16" s="1"/>
  <c r="F28" i="16"/>
  <c r="F29" i="16" s="1"/>
  <c r="J29" i="16" s="1"/>
  <c r="K29" i="16" s="1"/>
  <c r="F25" i="16"/>
  <c r="F27" i="16" s="1"/>
  <c r="J27" i="16" s="1"/>
  <c r="K27" i="16" s="1"/>
  <c r="F24" i="16"/>
  <c r="J24" i="16" s="1"/>
  <c r="K24" i="16" s="1"/>
  <c r="H23" i="16"/>
  <c r="K23" i="16" s="1"/>
  <c r="A18" i="16"/>
  <c r="A23" i="16" s="1"/>
  <c r="A25" i="16" s="1"/>
  <c r="A28" i="16" s="1"/>
  <c r="A33" i="16" s="1"/>
  <c r="A35" i="16" s="1"/>
  <c r="A37" i="16" s="1"/>
  <c r="A39" i="16" s="1"/>
  <c r="A42" i="16" s="1"/>
  <c r="A48" i="16" s="1"/>
  <c r="A54" i="16" s="1"/>
  <c r="A59" i="16" s="1"/>
  <c r="A61" i="16" s="1"/>
  <c r="A66" i="16" s="1"/>
  <c r="A72" i="16" s="1"/>
  <c r="A80" i="16" s="1"/>
  <c r="A86" i="16" s="1"/>
  <c r="A93" i="16" s="1"/>
  <c r="A100" i="16" s="1"/>
  <c r="A110" i="16" s="1"/>
  <c r="A116" i="16" s="1"/>
  <c r="A119" i="16" s="1"/>
  <c r="A127" i="16" s="1"/>
  <c r="A130" i="16" s="1"/>
  <c r="A134" i="16" s="1"/>
  <c r="A140" i="16" s="1"/>
  <c r="A148" i="16" s="1"/>
  <c r="A151" i="16" s="1"/>
  <c r="A156" i="16" s="1"/>
  <c r="F16" i="16"/>
  <c r="F50" i="16" l="1"/>
  <c r="J50" i="16" s="1"/>
  <c r="K50" i="16" s="1"/>
  <c r="F53" i="16"/>
  <c r="J53" i="16" s="1"/>
  <c r="K53" i="16" s="1"/>
  <c r="F34" i="16"/>
  <c r="J34" i="16" s="1"/>
  <c r="K34" i="16" s="1"/>
  <c r="F42" i="16"/>
  <c r="H42" i="16" s="1"/>
  <c r="K42" i="16" s="1"/>
  <c r="H48" i="16"/>
  <c r="K48" i="16" s="1"/>
  <c r="F51" i="16"/>
  <c r="J51" i="16" s="1"/>
  <c r="K51" i="16" s="1"/>
  <c r="F157" i="16"/>
  <c r="J157" i="16" s="1"/>
  <c r="K157" i="16" s="1"/>
  <c r="F160" i="16"/>
  <c r="J160" i="16" s="1"/>
  <c r="K160" i="16" s="1"/>
  <c r="F220" i="16"/>
  <c r="J220" i="16" s="1"/>
  <c r="K220" i="16" s="1"/>
  <c r="F191" i="17"/>
  <c r="J191" i="17" s="1"/>
  <c r="K191" i="17" s="1"/>
  <c r="F222" i="18"/>
  <c r="J222" i="18" s="1"/>
  <c r="K222" i="18" s="1"/>
  <c r="H80" i="16"/>
  <c r="K80" i="16" s="1"/>
  <c r="F84" i="16"/>
  <c r="J84" i="16" s="1"/>
  <c r="K84" i="16" s="1"/>
  <c r="H151" i="16"/>
  <c r="K151" i="16" s="1"/>
  <c r="F158" i="16"/>
  <c r="J158" i="16" s="1"/>
  <c r="K158" i="16" s="1"/>
  <c r="F197" i="17"/>
  <c r="J197" i="17" s="1"/>
  <c r="K197" i="17" s="1"/>
  <c r="F191" i="19"/>
  <c r="J191" i="19" s="1"/>
  <c r="K191" i="19" s="1"/>
  <c r="H167" i="19"/>
  <c r="K167" i="19" s="1"/>
  <c r="F168" i="19"/>
  <c r="J168" i="19" s="1"/>
  <c r="K168" i="19" s="1"/>
  <c r="F81" i="16"/>
  <c r="J81" i="16" s="1"/>
  <c r="K81" i="16" s="1"/>
  <c r="F85" i="16"/>
  <c r="J85" i="16" s="1"/>
  <c r="K85" i="16" s="1"/>
  <c r="F122" i="16"/>
  <c r="J122" i="16" s="1"/>
  <c r="K122" i="16" s="1"/>
  <c r="F274" i="16"/>
  <c r="J274" i="16" s="1"/>
  <c r="K274" i="16" s="1"/>
  <c r="F309" i="16"/>
  <c r="J309" i="16" s="1"/>
  <c r="K309" i="16" s="1"/>
  <c r="F41" i="17"/>
  <c r="J41" i="17" s="1"/>
  <c r="K41" i="17" s="1"/>
  <c r="F83" i="16"/>
  <c r="J83" i="16" s="1"/>
  <c r="K83" i="16" s="1"/>
  <c r="F153" i="16"/>
  <c r="J153" i="16" s="1"/>
  <c r="K153" i="16" s="1"/>
  <c r="H392" i="20"/>
  <c r="H358" i="16"/>
  <c r="K358" i="16" s="1"/>
  <c r="K392" i="20"/>
  <c r="H59" i="16"/>
  <c r="K59" i="16" s="1"/>
  <c r="F82" i="16"/>
  <c r="J82" i="16" s="1"/>
  <c r="K82" i="16" s="1"/>
  <c r="F152" i="16"/>
  <c r="J152" i="16" s="1"/>
  <c r="K152" i="16" s="1"/>
  <c r="F217" i="16"/>
  <c r="J217" i="16" s="1"/>
  <c r="K217" i="16" s="1"/>
  <c r="H349" i="16"/>
  <c r="K349" i="16" s="1"/>
  <c r="H39" i="17"/>
  <c r="K39" i="17" s="1"/>
  <c r="K72" i="18"/>
  <c r="H392" i="18"/>
  <c r="H174" i="20"/>
  <c r="K174" i="20" s="1"/>
  <c r="J392" i="20"/>
  <c r="K20" i="19"/>
  <c r="K73" i="18"/>
  <c r="K392" i="18" s="1"/>
  <c r="J392" i="18"/>
  <c r="H86" i="20"/>
  <c r="K86" i="20" s="1"/>
  <c r="F87" i="20"/>
  <c r="J87" i="20" s="1"/>
  <c r="K87" i="20" s="1"/>
  <c r="F88" i="20"/>
  <c r="J88" i="20" s="1"/>
  <c r="K88" i="20" s="1"/>
  <c r="F37" i="20"/>
  <c r="F36" i="20"/>
  <c r="J36" i="20" s="1"/>
  <c r="K36" i="20" s="1"/>
  <c r="H35" i="20"/>
  <c r="K35" i="20" s="1"/>
  <c r="F55" i="20"/>
  <c r="J55" i="20" s="1"/>
  <c r="K55" i="20" s="1"/>
  <c r="H54" i="20"/>
  <c r="K54" i="20" s="1"/>
  <c r="F56" i="20"/>
  <c r="J56" i="20" s="1"/>
  <c r="K56" i="20" s="1"/>
  <c r="H39" i="20"/>
  <c r="K39" i="20" s="1"/>
  <c r="F40" i="20"/>
  <c r="J40" i="20" s="1"/>
  <c r="K40" i="20" s="1"/>
  <c r="F41" i="20"/>
  <c r="J41" i="20" s="1"/>
  <c r="K41" i="20" s="1"/>
  <c r="F191" i="20"/>
  <c r="J191" i="20" s="1"/>
  <c r="K191" i="20" s="1"/>
  <c r="F190" i="20"/>
  <c r="J190" i="20" s="1"/>
  <c r="K190" i="20" s="1"/>
  <c r="H189" i="20"/>
  <c r="K189" i="20" s="1"/>
  <c r="F62" i="20"/>
  <c r="J62" i="20" s="1"/>
  <c r="K62" i="20" s="1"/>
  <c r="F63" i="20"/>
  <c r="J63" i="20" s="1"/>
  <c r="K63" i="20" s="1"/>
  <c r="H61" i="20"/>
  <c r="K61" i="20" s="1"/>
  <c r="F20" i="20"/>
  <c r="J20" i="20" s="1"/>
  <c r="K20" i="20" s="1"/>
  <c r="F19" i="20"/>
  <c r="J19" i="20" s="1"/>
  <c r="H18" i="20"/>
  <c r="K73" i="19"/>
  <c r="F88" i="19"/>
  <c r="J88" i="19" s="1"/>
  <c r="K88" i="19" s="1"/>
  <c r="F87" i="19"/>
  <c r="J87" i="19" s="1"/>
  <c r="K87" i="19" s="1"/>
  <c r="H86" i="19"/>
  <c r="K86" i="19" s="1"/>
  <c r="F43" i="18"/>
  <c r="J43" i="18" s="1"/>
  <c r="K43" i="18" s="1"/>
  <c r="H42" i="18"/>
  <c r="K42" i="18" s="1"/>
  <c r="F44" i="18"/>
  <c r="J44" i="18" s="1"/>
  <c r="K44" i="18" s="1"/>
  <c r="F198" i="18"/>
  <c r="J198" i="18" s="1"/>
  <c r="K198" i="18" s="1"/>
  <c r="H196" i="18"/>
  <c r="K196" i="18" s="1"/>
  <c r="F197" i="18"/>
  <c r="J197" i="18" s="1"/>
  <c r="K197" i="18" s="1"/>
  <c r="F37" i="18"/>
  <c r="F36" i="18"/>
  <c r="J36" i="18" s="1"/>
  <c r="H35" i="18"/>
  <c r="H189" i="18"/>
  <c r="K189" i="18" s="1"/>
  <c r="F190" i="18"/>
  <c r="J190" i="18" s="1"/>
  <c r="K190" i="18" s="1"/>
  <c r="F191" i="18"/>
  <c r="J191" i="18" s="1"/>
  <c r="K191" i="18" s="1"/>
  <c r="H54" i="18"/>
  <c r="K54" i="18" s="1"/>
  <c r="F56" i="18"/>
  <c r="J56" i="18" s="1"/>
  <c r="K56" i="18" s="1"/>
  <c r="F55" i="18"/>
  <c r="J55" i="18" s="1"/>
  <c r="K55" i="18" s="1"/>
  <c r="F168" i="18"/>
  <c r="J168" i="18" s="1"/>
  <c r="K168" i="18" s="1"/>
  <c r="H167" i="18"/>
  <c r="K167" i="18" s="1"/>
  <c r="F169" i="18"/>
  <c r="J169" i="18" s="1"/>
  <c r="K169" i="18" s="1"/>
  <c r="F36" i="17"/>
  <c r="J36" i="17" s="1"/>
  <c r="H35" i="17"/>
  <c r="F37" i="17"/>
  <c r="F63" i="17"/>
  <c r="J63" i="17" s="1"/>
  <c r="K63" i="17" s="1"/>
  <c r="H61" i="17"/>
  <c r="K61" i="17" s="1"/>
  <c r="F62" i="17"/>
  <c r="J62" i="17" s="1"/>
  <c r="K62" i="17" s="1"/>
  <c r="F56" i="17"/>
  <c r="J56" i="17" s="1"/>
  <c r="K56" i="17" s="1"/>
  <c r="F55" i="17"/>
  <c r="J55" i="17" s="1"/>
  <c r="K55" i="17" s="1"/>
  <c r="H54" i="17"/>
  <c r="K54" i="17" s="1"/>
  <c r="H221" i="17"/>
  <c r="K221" i="17" s="1"/>
  <c r="F222" i="17"/>
  <c r="J222" i="17" s="1"/>
  <c r="K222" i="17" s="1"/>
  <c r="F223" i="17"/>
  <c r="J223" i="17" s="1"/>
  <c r="K223" i="17" s="1"/>
  <c r="F175" i="17"/>
  <c r="J175" i="17" s="1"/>
  <c r="H174" i="17"/>
  <c r="F176" i="17"/>
  <c r="J176" i="17" s="1"/>
  <c r="K176" i="17" s="1"/>
  <c r="F87" i="17"/>
  <c r="J87" i="17" s="1"/>
  <c r="K87" i="17" s="1"/>
  <c r="H86" i="17"/>
  <c r="K86" i="17" s="1"/>
  <c r="F88" i="17"/>
  <c r="J88" i="17" s="1"/>
  <c r="K88" i="17" s="1"/>
  <c r="F278" i="16"/>
  <c r="J278" i="16" s="1"/>
  <c r="K278" i="16" s="1"/>
  <c r="H272" i="16"/>
  <c r="K272" i="16" s="1"/>
  <c r="F336" i="16"/>
  <c r="J336" i="16" s="1"/>
  <c r="K336" i="16" s="1"/>
  <c r="H119" i="16"/>
  <c r="K119" i="16" s="1"/>
  <c r="H221" i="16"/>
  <c r="K221" i="16" s="1"/>
  <c r="F340" i="16"/>
  <c r="J340" i="16" s="1"/>
  <c r="K340" i="16" s="1"/>
  <c r="F222" i="16"/>
  <c r="J222" i="16" s="1"/>
  <c r="K222" i="16" s="1"/>
  <c r="F281" i="16"/>
  <c r="J281" i="16" s="1"/>
  <c r="K281" i="16" s="1"/>
  <c r="F338" i="16"/>
  <c r="J338" i="16" s="1"/>
  <c r="K338" i="16" s="1"/>
  <c r="F292" i="16"/>
  <c r="J292" i="16" s="1"/>
  <c r="K292" i="16" s="1"/>
  <c r="F44" i="16"/>
  <c r="J44" i="16" s="1"/>
  <c r="K44" i="16" s="1"/>
  <c r="H280" i="16"/>
  <c r="K280" i="16" s="1"/>
  <c r="F120" i="16"/>
  <c r="J120" i="16" s="1"/>
  <c r="K120" i="16" s="1"/>
  <c r="F253" i="16"/>
  <c r="J253" i="16" s="1"/>
  <c r="K253" i="16" s="1"/>
  <c r="F282" i="16"/>
  <c r="J282" i="16" s="1"/>
  <c r="K282" i="16" s="1"/>
  <c r="F296" i="16"/>
  <c r="J296" i="16" s="1"/>
  <c r="K296" i="16" s="1"/>
  <c r="F30" i="16"/>
  <c r="J30" i="16" s="1"/>
  <c r="K30" i="16" s="1"/>
  <c r="F125" i="16"/>
  <c r="J125" i="16" s="1"/>
  <c r="K125" i="16" s="1"/>
  <c r="F254" i="16"/>
  <c r="J254" i="16" s="1"/>
  <c r="K254" i="16" s="1"/>
  <c r="F298" i="16"/>
  <c r="J298" i="16" s="1"/>
  <c r="K298" i="16" s="1"/>
  <c r="F322" i="16"/>
  <c r="J322" i="16" s="1"/>
  <c r="K322" i="16" s="1"/>
  <c r="F294" i="16"/>
  <c r="J294" i="16" s="1"/>
  <c r="K294" i="16" s="1"/>
  <c r="F308" i="16"/>
  <c r="J308" i="16" s="1"/>
  <c r="K308" i="16" s="1"/>
  <c r="F319" i="16"/>
  <c r="J319" i="16" s="1"/>
  <c r="K319" i="16" s="1"/>
  <c r="F344" i="16"/>
  <c r="J344" i="16" s="1"/>
  <c r="K344" i="16" s="1"/>
  <c r="F77" i="16"/>
  <c r="J77" i="16" s="1"/>
  <c r="K77" i="16" s="1"/>
  <c r="F260" i="16"/>
  <c r="J260" i="16" s="1"/>
  <c r="K260" i="16" s="1"/>
  <c r="H28" i="16"/>
  <c r="K28" i="16" s="1"/>
  <c r="F295" i="16"/>
  <c r="J295" i="16" s="1"/>
  <c r="K295" i="16" s="1"/>
  <c r="F320" i="16"/>
  <c r="J320" i="16" s="1"/>
  <c r="K320" i="16" s="1"/>
  <c r="H72" i="16"/>
  <c r="K72" i="16" s="1"/>
  <c r="H342" i="16"/>
  <c r="K342" i="16" s="1"/>
  <c r="H25" i="16"/>
  <c r="F75" i="16"/>
  <c r="J75" i="16" s="1"/>
  <c r="K75" i="16" s="1"/>
  <c r="H250" i="16"/>
  <c r="K250" i="16" s="1"/>
  <c r="F255" i="16"/>
  <c r="J255" i="16" s="1"/>
  <c r="K255" i="16" s="1"/>
  <c r="F74" i="16"/>
  <c r="J74" i="16" s="1"/>
  <c r="K74" i="16" s="1"/>
  <c r="F76" i="16"/>
  <c r="J76" i="16" s="1"/>
  <c r="K76" i="16" s="1"/>
  <c r="F251" i="16"/>
  <c r="J251" i="16" s="1"/>
  <c r="K251" i="16" s="1"/>
  <c r="F346" i="16"/>
  <c r="J346" i="16" s="1"/>
  <c r="K346" i="16" s="1"/>
  <c r="H315" i="16"/>
  <c r="K315" i="16" s="1"/>
  <c r="F317" i="16"/>
  <c r="J317" i="16" s="1"/>
  <c r="K317" i="16" s="1"/>
  <c r="F316" i="16"/>
  <c r="J316" i="16" s="1"/>
  <c r="K316" i="16" s="1"/>
  <c r="H116" i="16"/>
  <c r="K116" i="16" s="1"/>
  <c r="F118" i="16"/>
  <c r="J118" i="16" s="1"/>
  <c r="K118" i="16" s="1"/>
  <c r="F379" i="16"/>
  <c r="J379" i="16" s="1"/>
  <c r="K379" i="16" s="1"/>
  <c r="H376" i="16"/>
  <c r="K376" i="16" s="1"/>
  <c r="F17" i="16"/>
  <c r="J17" i="16" s="1"/>
  <c r="H16" i="16"/>
  <c r="F18" i="16"/>
  <c r="F40" i="16"/>
  <c r="J40" i="16" s="1"/>
  <c r="K40" i="16" s="1"/>
  <c r="H39" i="16"/>
  <c r="K39" i="16" s="1"/>
  <c r="F87" i="16"/>
  <c r="J87" i="16" s="1"/>
  <c r="K87" i="16" s="1"/>
  <c r="H86" i="16"/>
  <c r="K86" i="16" s="1"/>
  <c r="F117" i="16"/>
  <c r="J117" i="16" s="1"/>
  <c r="K117" i="16" s="1"/>
  <c r="F131" i="16"/>
  <c r="J131" i="16" s="1"/>
  <c r="K131" i="16" s="1"/>
  <c r="H130" i="16"/>
  <c r="K130" i="16" s="1"/>
  <c r="F389" i="16"/>
  <c r="J389" i="16" s="1"/>
  <c r="K389" i="16" s="1"/>
  <c r="F387" i="16"/>
  <c r="J387" i="16" s="1"/>
  <c r="K387" i="16" s="1"/>
  <c r="F390" i="16"/>
  <c r="J390" i="16" s="1"/>
  <c r="K390" i="16" s="1"/>
  <c r="F388" i="16"/>
  <c r="J388" i="16" s="1"/>
  <c r="K388" i="16" s="1"/>
  <c r="F41" i="16"/>
  <c r="J41" i="16" s="1"/>
  <c r="K41" i="16" s="1"/>
  <c r="H386" i="16"/>
  <c r="K386" i="16" s="1"/>
  <c r="F177" i="16"/>
  <c r="H172" i="16"/>
  <c r="K172" i="16" s="1"/>
  <c r="F174" i="16"/>
  <c r="F173" i="16"/>
  <c r="J173" i="16" s="1"/>
  <c r="K173" i="16" s="1"/>
  <c r="H35" i="16"/>
  <c r="K35" i="16" s="1"/>
  <c r="F37" i="16"/>
  <c r="F36" i="16"/>
  <c r="J36" i="16" s="1"/>
  <c r="K36" i="16" s="1"/>
  <c r="F88" i="16"/>
  <c r="J88" i="16" s="1"/>
  <c r="K88" i="16" s="1"/>
  <c r="H61" i="16"/>
  <c r="K61" i="16" s="1"/>
  <c r="F62" i="16"/>
  <c r="J62" i="16" s="1"/>
  <c r="K62" i="16" s="1"/>
  <c r="F129" i="16"/>
  <c r="J129" i="16" s="1"/>
  <c r="K129" i="16" s="1"/>
  <c r="F128" i="16"/>
  <c r="J128" i="16" s="1"/>
  <c r="K128" i="16" s="1"/>
  <c r="F144" i="16"/>
  <c r="J144" i="16" s="1"/>
  <c r="K144" i="16" s="1"/>
  <c r="F141" i="16"/>
  <c r="J141" i="16" s="1"/>
  <c r="K141" i="16" s="1"/>
  <c r="F143" i="16"/>
  <c r="J143" i="16" s="1"/>
  <c r="K143" i="16" s="1"/>
  <c r="F167" i="16"/>
  <c r="H127" i="16"/>
  <c r="K127" i="16" s="1"/>
  <c r="H140" i="16"/>
  <c r="K140" i="16" s="1"/>
  <c r="F147" i="16"/>
  <c r="J147" i="16" s="1"/>
  <c r="K147" i="16" s="1"/>
  <c r="H269" i="16"/>
  <c r="K269" i="16" s="1"/>
  <c r="H367" i="16"/>
  <c r="K367" i="16" s="1"/>
  <c r="F185" i="16"/>
  <c r="J185" i="16" s="1"/>
  <c r="K185" i="16" s="1"/>
  <c r="F187" i="16"/>
  <c r="J187" i="16" s="1"/>
  <c r="K187" i="16" s="1"/>
  <c r="F188" i="16"/>
  <c r="J188" i="16" s="1"/>
  <c r="K188" i="16" s="1"/>
  <c r="H194" i="16"/>
  <c r="K194" i="16" s="1"/>
  <c r="F196" i="16"/>
  <c r="F209" i="16"/>
  <c r="J209" i="16" s="1"/>
  <c r="K209" i="16" s="1"/>
  <c r="F211" i="16"/>
  <c r="J211" i="16" s="1"/>
  <c r="K211" i="16" s="1"/>
  <c r="H207" i="16"/>
  <c r="K207" i="16" s="1"/>
  <c r="F210" i="16"/>
  <c r="J210" i="16" s="1"/>
  <c r="K210" i="16" s="1"/>
  <c r="F212" i="16"/>
  <c r="J212" i="16" s="1"/>
  <c r="K212" i="16" s="1"/>
  <c r="F270" i="16"/>
  <c r="J270" i="16" s="1"/>
  <c r="K270" i="16" s="1"/>
  <c r="F333" i="16"/>
  <c r="J333" i="16" s="1"/>
  <c r="K333" i="16" s="1"/>
  <c r="F332" i="16"/>
  <c r="J332" i="16" s="1"/>
  <c r="K332" i="16" s="1"/>
  <c r="H331" i="16"/>
  <c r="K331" i="16" s="1"/>
  <c r="F26" i="16"/>
  <c r="J26" i="16" s="1"/>
  <c r="F43" i="16"/>
  <c r="J43" i="16" s="1"/>
  <c r="K43" i="16" s="1"/>
  <c r="F54" i="16"/>
  <c r="F49" i="16"/>
  <c r="J49" i="16" s="1"/>
  <c r="K49" i="16" s="1"/>
  <c r="H183" i="16"/>
  <c r="K183" i="16" s="1"/>
  <c r="F149" i="16"/>
  <c r="J149" i="16" s="1"/>
  <c r="K149" i="16" s="1"/>
  <c r="H148" i="16"/>
  <c r="K148" i="16" s="1"/>
  <c r="F348" i="16"/>
  <c r="J348" i="16" s="1"/>
  <c r="K348" i="16" s="1"/>
  <c r="H345" i="16"/>
  <c r="K345" i="16" s="1"/>
  <c r="F142" i="16"/>
  <c r="J142" i="16" s="1"/>
  <c r="K142" i="16" s="1"/>
  <c r="F145" i="16"/>
  <c r="J145" i="16" s="1"/>
  <c r="K145" i="16" s="1"/>
  <c r="F159" i="16"/>
  <c r="J159" i="16" s="1"/>
  <c r="K159" i="16" s="1"/>
  <c r="H165" i="16"/>
  <c r="K165" i="16" s="1"/>
  <c r="F189" i="16"/>
  <c r="F277" i="16"/>
  <c r="J277" i="16" s="1"/>
  <c r="K277" i="16" s="1"/>
  <c r="F279" i="16"/>
  <c r="J279" i="16" s="1"/>
  <c r="K279" i="16" s="1"/>
  <c r="F276" i="16"/>
  <c r="J276" i="16" s="1"/>
  <c r="K276" i="16" s="1"/>
  <c r="F273" i="16"/>
  <c r="J273" i="16" s="1"/>
  <c r="K273" i="16" s="1"/>
  <c r="F275" i="16"/>
  <c r="J275" i="16" s="1"/>
  <c r="K275" i="16" s="1"/>
  <c r="F314" i="16"/>
  <c r="J314" i="16" s="1"/>
  <c r="K314" i="16" s="1"/>
  <c r="H307" i="16"/>
  <c r="K307" i="16" s="1"/>
  <c r="F311" i="16"/>
  <c r="J311" i="16" s="1"/>
  <c r="K311" i="16" s="1"/>
  <c r="F313" i="16"/>
  <c r="J313" i="16" s="1"/>
  <c r="K313" i="16" s="1"/>
  <c r="F312" i="16"/>
  <c r="J312" i="16" s="1"/>
  <c r="K312" i="16" s="1"/>
  <c r="F310" i="16"/>
  <c r="J310" i="16" s="1"/>
  <c r="K310" i="16" s="1"/>
  <c r="F252" i="16"/>
  <c r="J252" i="16" s="1"/>
  <c r="K252" i="16" s="1"/>
  <c r="F337" i="16"/>
  <c r="J337" i="16" s="1"/>
  <c r="K337" i="16" s="1"/>
  <c r="F335" i="16"/>
  <c r="J335" i="16" s="1"/>
  <c r="K335" i="16" s="1"/>
  <c r="F341" i="16"/>
  <c r="J341" i="16" s="1"/>
  <c r="K341" i="16" s="1"/>
  <c r="H334" i="16"/>
  <c r="K334" i="16" s="1"/>
  <c r="F124" i="16"/>
  <c r="J124" i="16" s="1"/>
  <c r="K124" i="16" s="1"/>
  <c r="F121" i="16"/>
  <c r="J121" i="16" s="1"/>
  <c r="K121" i="16" s="1"/>
  <c r="F126" i="16"/>
  <c r="J126" i="16" s="1"/>
  <c r="K126" i="16" s="1"/>
  <c r="F293" i="16"/>
  <c r="J293" i="16" s="1"/>
  <c r="K293" i="16" s="1"/>
  <c r="H215" i="16"/>
  <c r="K215" i="16" s="1"/>
  <c r="F218" i="16"/>
  <c r="J218" i="16" s="1"/>
  <c r="K218" i="16" s="1"/>
  <c r="F256" i="16"/>
  <c r="J256" i="16" s="1"/>
  <c r="K256" i="16" s="1"/>
  <c r="H258" i="16"/>
  <c r="K258" i="16" s="1"/>
  <c r="F297" i="16"/>
  <c r="J297" i="16" s="1"/>
  <c r="K297" i="16" s="1"/>
  <c r="F216" i="16"/>
  <c r="J216" i="16" s="1"/>
  <c r="K216" i="16" s="1"/>
  <c r="H392" i="19" l="1"/>
  <c r="K25" i="16"/>
  <c r="K35" i="17"/>
  <c r="H392" i="17"/>
  <c r="J392" i="19"/>
  <c r="K392" i="19"/>
  <c r="K36" i="17"/>
  <c r="K392" i="17" s="1"/>
  <c r="J392" i="17"/>
  <c r="K26" i="16"/>
  <c r="K18" i="20"/>
  <c r="K19" i="20"/>
  <c r="F38" i="20"/>
  <c r="J38" i="20" s="1"/>
  <c r="K38" i="20" s="1"/>
  <c r="H37" i="20"/>
  <c r="K37" i="20" s="1"/>
  <c r="H394" i="19"/>
  <c r="K394" i="19" s="1"/>
  <c r="J395" i="19"/>
  <c r="K395" i="19" s="1"/>
  <c r="H37" i="18"/>
  <c r="K37" i="18" s="1"/>
  <c r="F38" i="18"/>
  <c r="J38" i="18" s="1"/>
  <c r="K38" i="18" s="1"/>
  <c r="K36" i="18"/>
  <c r="K35" i="18"/>
  <c r="K174" i="17"/>
  <c r="K175" i="17"/>
  <c r="F38" i="17"/>
  <c r="J38" i="17" s="1"/>
  <c r="K38" i="17" s="1"/>
  <c r="H37" i="17"/>
  <c r="K37" i="17" s="1"/>
  <c r="F190" i="16"/>
  <c r="J190" i="16" s="1"/>
  <c r="K190" i="16" s="1"/>
  <c r="H189" i="16"/>
  <c r="K189" i="16" s="1"/>
  <c r="F191" i="16"/>
  <c r="J191" i="16" s="1"/>
  <c r="K191" i="16" s="1"/>
  <c r="F168" i="16"/>
  <c r="J168" i="16" s="1"/>
  <c r="K168" i="16" s="1"/>
  <c r="F169" i="16"/>
  <c r="J169" i="16" s="1"/>
  <c r="K169" i="16" s="1"/>
  <c r="H167" i="16"/>
  <c r="K167" i="16" s="1"/>
  <c r="F178" i="16"/>
  <c r="J178" i="16" s="1"/>
  <c r="K178" i="16" s="1"/>
  <c r="H177" i="16"/>
  <c r="K177" i="16" s="1"/>
  <c r="F179" i="16"/>
  <c r="J179" i="16" s="1"/>
  <c r="K179" i="16" s="1"/>
  <c r="F55" i="16"/>
  <c r="J55" i="16" s="1"/>
  <c r="K55" i="16" s="1"/>
  <c r="H54" i="16"/>
  <c r="K54" i="16" s="1"/>
  <c r="F56" i="16"/>
  <c r="J56" i="16" s="1"/>
  <c r="K56" i="16" s="1"/>
  <c r="H37" i="16"/>
  <c r="K37" i="16" s="1"/>
  <c r="F38" i="16"/>
  <c r="J38" i="16" s="1"/>
  <c r="K38" i="16" s="1"/>
  <c r="K17" i="16"/>
  <c r="F176" i="16"/>
  <c r="J176" i="16" s="1"/>
  <c r="K176" i="16" s="1"/>
  <c r="F175" i="16"/>
  <c r="J175" i="16" s="1"/>
  <c r="K175" i="16" s="1"/>
  <c r="H174" i="16"/>
  <c r="K174" i="16" s="1"/>
  <c r="F19" i="16"/>
  <c r="J19" i="16" s="1"/>
  <c r="K19" i="16" s="1"/>
  <c r="F20" i="16"/>
  <c r="J20" i="16" s="1"/>
  <c r="K20" i="16" s="1"/>
  <c r="H18" i="16"/>
  <c r="K18" i="16" s="1"/>
  <c r="H196" i="16"/>
  <c r="K196" i="16" s="1"/>
  <c r="F198" i="16"/>
  <c r="J198" i="16" s="1"/>
  <c r="K198" i="16" s="1"/>
  <c r="F197" i="16"/>
  <c r="J197" i="16" s="1"/>
  <c r="K197" i="16" s="1"/>
  <c r="K16" i="16"/>
  <c r="H392" i="16" l="1"/>
  <c r="J392" i="16"/>
  <c r="K392" i="16"/>
  <c r="J395" i="20"/>
  <c r="K395" i="20" s="1"/>
  <c r="H394" i="20"/>
  <c r="K394" i="20" s="1"/>
  <c r="K396" i="19"/>
  <c r="K397" i="19" s="1"/>
  <c r="K398" i="19" s="1"/>
  <c r="J396" i="19"/>
  <c r="H396" i="19"/>
  <c r="H394" i="18"/>
  <c r="K394" i="18" s="1"/>
  <c r="J395" i="18"/>
  <c r="K395" i="18" s="1"/>
  <c r="J395" i="17"/>
  <c r="K395" i="17" s="1"/>
  <c r="H394" i="17"/>
  <c r="K394" i="17" s="1"/>
  <c r="J395" i="16"/>
  <c r="K395" i="16" s="1"/>
  <c r="H396" i="20" l="1"/>
  <c r="H398" i="20" s="1"/>
  <c r="K396" i="20"/>
  <c r="K397" i="20" s="1"/>
  <c r="J396" i="20"/>
  <c r="H397" i="19"/>
  <c r="H398" i="19"/>
  <c r="K396" i="18"/>
  <c r="H396" i="18"/>
  <c r="H397" i="18" s="1"/>
  <c r="J396" i="18"/>
  <c r="K396" i="17"/>
  <c r="K397" i="17" s="1"/>
  <c r="K398" i="17" s="1"/>
  <c r="J396" i="17"/>
  <c r="H396" i="17"/>
  <c r="H398" i="17" s="1"/>
  <c r="H394" i="16"/>
  <c r="K394" i="16" s="1"/>
  <c r="K396" i="16" s="1"/>
  <c r="J396" i="16"/>
  <c r="H397" i="20" l="1"/>
  <c r="K398" i="20"/>
  <c r="H398" i="18"/>
  <c r="K397" i="18"/>
  <c r="K398" i="18" s="1"/>
  <c r="H397" i="17"/>
  <c r="K397" i="16"/>
  <c r="K398" i="16" s="1"/>
  <c r="H396" i="16"/>
  <c r="H398" i="16" l="1"/>
  <c r="H397" i="16"/>
</calcChain>
</file>

<file path=xl/sharedStrings.xml><?xml version="1.0" encoding="utf-8"?>
<sst xmlns="http://schemas.openxmlformats.org/spreadsheetml/2006/main" count="5389" uniqueCount="213">
  <si>
    <t>Генпідрядник: ТОВ "ТАВРОС КОНСТРАКШН"</t>
  </si>
  <si>
    <t>на виконання комплексу  робіт з оздоблення та шумоізоляції технічних приміщень та сходових клітин паркінгу</t>
  </si>
  <si>
    <t>по об'єкту: «Реставрація нежитлової будівлі Музикальна студія з складом літ. «Б» з пристосуванням під багатофункціональний комплекс та будівництво багатофункціонального комплексу з паркінгом за адресою: м.Київ, вул. Мазепи Івана, 1».</t>
  </si>
  <si>
    <t>№ п/п</t>
  </si>
  <si>
    <t>Найменування робіт</t>
  </si>
  <si>
    <t>КВЕД</t>
  </si>
  <si>
    <t>Од.вим</t>
  </si>
  <si>
    <t>Коеф. Витрат</t>
  </si>
  <si>
    <t>Кількість</t>
  </si>
  <si>
    <t>Вартість робіт, грн.</t>
  </si>
  <si>
    <t>вартість матеріалів (з дост.) грн.*</t>
  </si>
  <si>
    <t>Загальна вартість, без ПДВ</t>
  </si>
  <si>
    <t>за один.</t>
  </si>
  <si>
    <t>всього без  ПДВ</t>
  </si>
  <si>
    <t>всього без ПДВ</t>
  </si>
  <si>
    <t>1</t>
  </si>
  <si>
    <t>Стелі</t>
  </si>
  <si>
    <t>43.31</t>
  </si>
  <si>
    <t>м2</t>
  </si>
  <si>
    <t>кг</t>
  </si>
  <si>
    <t>43.34</t>
  </si>
  <si>
    <t>л</t>
  </si>
  <si>
    <t>Стіни</t>
  </si>
  <si>
    <t>43.33</t>
  </si>
  <si>
    <t>Teo Ceramics (Allore) | Walk Grey F P 470x470x7 NR Mat 1</t>
  </si>
  <si>
    <t>шт</t>
  </si>
  <si>
    <t>Технічні приміщення на відм.-12.100; -12.700</t>
  </si>
  <si>
    <t>2.6; 2.8; 2.10; 1.3; 1.7; 1.10; 1.12; 1.13; 1.1; 1.2; 1.5; 1.6; 1.9</t>
  </si>
  <si>
    <t xml:space="preserve">Шліфування бетонних стель </t>
  </si>
  <si>
    <t>43.99</t>
  </si>
  <si>
    <r>
      <t>м</t>
    </r>
    <r>
      <rPr>
        <b/>
        <vertAlign val="superscript"/>
        <sz val="10"/>
        <rFont val="Arial"/>
        <family val="2"/>
        <charset val="204"/>
      </rPr>
      <t>2</t>
    </r>
  </si>
  <si>
    <t xml:space="preserve">Круг шліфувальний </t>
  </si>
  <si>
    <t>Фарбування стелі в 3 шари</t>
  </si>
  <si>
    <t xml:space="preserve">Фарба водоемульсійна IN51 поліпшена для вологих приміщень РАЛ 7030 </t>
  </si>
  <si>
    <t>Грунтовка Ceresit СТ-17 (або аналог)</t>
  </si>
  <si>
    <t>2.11; 2.14</t>
  </si>
  <si>
    <t xml:space="preserve">Грунтування під приклейку </t>
  </si>
  <si>
    <t xml:space="preserve"> грунтовка Baumit Super Primer</t>
  </si>
  <si>
    <t>Влаштування ламелей Izovat 90 LF 150мм</t>
  </si>
  <si>
    <t>клей Caparol CT 190 Grau</t>
  </si>
  <si>
    <t xml:space="preserve">Ламелі Izovat 90 LF 150 мм з фаскою </t>
  </si>
  <si>
    <r>
      <t>м</t>
    </r>
    <r>
      <rPr>
        <vertAlign val="superscript"/>
        <sz val="10"/>
        <rFont val="Arial"/>
        <family val="2"/>
        <charset val="204"/>
      </rPr>
      <t>2</t>
    </r>
  </si>
  <si>
    <t>Штукатурка стелі</t>
  </si>
  <si>
    <t>Baumit MPA 35 L</t>
  </si>
  <si>
    <t xml:space="preserve">Грунтування стелі перед шпаклівкою </t>
  </si>
  <si>
    <t xml:space="preserve"> грунтовка Baumit Grund </t>
  </si>
  <si>
    <t>Baumit MPI 25</t>
  </si>
  <si>
    <t>Baumit FinoFinish S</t>
  </si>
  <si>
    <t>Фарба водоемульсійна IN51 (або аналог) РАЛ 7030</t>
  </si>
  <si>
    <t xml:space="preserve">2.7; 2.9; 2.13; 2.15; 2.16 </t>
  </si>
  <si>
    <t xml:space="preserve">Грунтування </t>
  </si>
  <si>
    <t>2.6; 2.8; 2.10; 1.3; 1.7; 1.10; 1.12; 1.13</t>
  </si>
  <si>
    <t>Шпаклювання стін під фарбування</t>
  </si>
  <si>
    <t>Шпаклівка "KNAUF" HP Фініш (або аналог)</t>
  </si>
  <si>
    <t>Шпаклівка Acryl-Putz ST10 Старт (або аналог)</t>
  </si>
  <si>
    <t>Сітка шліфувальна 180</t>
  </si>
  <si>
    <t>шт.</t>
  </si>
  <si>
    <t>Кутик перфорований</t>
  </si>
  <si>
    <t>м/п</t>
  </si>
  <si>
    <t>Фарбування стін в 3 шари</t>
  </si>
  <si>
    <t>Фарба водоемульсійна IN51 (поліпшена для вологих приміщень РАЛ 7030)</t>
  </si>
  <si>
    <t>2.11; 2.14; 1.3; 1.7; 1.10; 1.12; 1.13</t>
  </si>
  <si>
    <t>1.1; 1.2; 1.5; 1.6; 1.9</t>
  </si>
  <si>
    <t>Штукатурення стін</t>
  </si>
  <si>
    <t>Рейка для вологих штукатурок Маяк,6мм, 3м</t>
  </si>
  <si>
    <t>Кут для мокрої штукатурки пластиковий, 3м</t>
  </si>
  <si>
    <t>Штукатурка для машинного нанесення МРІ-25</t>
  </si>
  <si>
    <t>Грунтувальна суміш Бетоконтакт</t>
  </si>
  <si>
    <t>Склосітка армувальна КЛС,160кг/м2</t>
  </si>
  <si>
    <t>Монтаж керамограніту</t>
  </si>
  <si>
    <t>Керамограніт CARTER 1200*600</t>
  </si>
  <si>
    <t>Клей Ceresit CM-11(або аналог)</t>
  </si>
  <si>
    <t>Система вирівнювання плитки</t>
  </si>
  <si>
    <t>Фуга для плитки "Ceresit" CЕ-40</t>
  </si>
  <si>
    <t>2.7; 2.9; 2.13; 2.15; 2.16</t>
  </si>
  <si>
    <t>Підлоги</t>
  </si>
  <si>
    <t>1.1; 1.2; 1.5; 1.6; 1.7; 1.9; 1.12; 1.12; 2.6; 2.7; 2.9; 2.11; 2.13; 1.3; 1.10</t>
  </si>
  <si>
    <t>Керамогранітна плитка на клею</t>
  </si>
  <si>
    <t xml:space="preserve">Керамограніт CARTER 1200*600 </t>
  </si>
  <si>
    <t>Ц/п стяжка М200 армований сіткою Ø6мм, чарунками 200х200мм - 85 мм.</t>
  </si>
  <si>
    <t>Цемент М500</t>
  </si>
  <si>
    <t>т</t>
  </si>
  <si>
    <t>Пісок річковий</t>
  </si>
  <si>
    <t>Гранвідсів</t>
  </si>
  <si>
    <t>Сітка ВР-1 Ф6мм 200х200</t>
  </si>
  <si>
    <t>Дріт в'язальний 1,2</t>
  </si>
  <si>
    <t>Фіксатори для сітки</t>
  </si>
  <si>
    <t>Демпферна стрічка</t>
  </si>
  <si>
    <t>2.11</t>
  </si>
  <si>
    <t>Обмазувальна гідроізоляція</t>
  </si>
  <si>
    <t>Гідроізоляція CR-65 CR-66 (або аналог)</t>
  </si>
  <si>
    <t>Поліетиленова плівка</t>
  </si>
  <si>
    <t>Плівка</t>
  </si>
  <si>
    <t>Стрічка К2</t>
  </si>
  <si>
    <t>Керамзитобетон 0-600мм</t>
  </si>
  <si>
    <t>Керамзитобетон 300мм</t>
  </si>
  <si>
    <r>
      <t>м</t>
    </r>
    <r>
      <rPr>
        <vertAlign val="superscript"/>
        <sz val="10"/>
        <rFont val="Arial"/>
        <family val="2"/>
        <charset val="204"/>
      </rPr>
      <t>3</t>
    </r>
  </si>
  <si>
    <t>2.8; 2.10; 2.14; 2.15; 2.16</t>
  </si>
  <si>
    <t>Мембрана з хімічно зшитого поліетилену Vibrostop - 10 мм.</t>
  </si>
  <si>
    <t>Мембрана Vibrostop - 10 мм.</t>
  </si>
  <si>
    <t>Стрічка армована самоклеюча</t>
  </si>
  <si>
    <t>Рулонна гідроізоляція - 5 мм.</t>
  </si>
  <si>
    <t>Рулонна гідроізоляція</t>
  </si>
  <si>
    <t>Бітумний праймер</t>
  </si>
  <si>
    <t>Газ пропан</t>
  </si>
  <si>
    <t>Плінтус з керамограніту</t>
  </si>
  <si>
    <t>Влаштування плінтусу  з керамограніту Н=100мм в рівень з фінішним покриттям стін</t>
  </si>
  <si>
    <t>Технічні приміщення на відм.-8.350; -9.250</t>
  </si>
  <si>
    <t>2.8; 2.15; 2.16; 2.19; 2.22; 1.7; 1.12; 1.14; 1.15; 2.10; 2.12; 1.3; 1.1; 1.2; 1.5; 1.6; 1.9</t>
  </si>
  <si>
    <t>1.7; 1.12; 1.14; 1.15; 2.10; 2.12; 1.3; 2.6; 2.7; 2.9; 2.18; 2.11; 2.13; 2.14; 2.23; 2.24; 2.20</t>
  </si>
  <si>
    <t>2.8; 2.15; 2,16; 2.19; 2.22</t>
  </si>
  <si>
    <t>1.7; 1.12; 1.14; 1.15; 2.10; 2.12; 1.3</t>
  </si>
  <si>
    <t>2.20; 2.6; 2.7; 2.9; 2.18; 2.11; 2.13; 2.14; 2.23; 2.24</t>
  </si>
  <si>
    <t>1.1; 1.2; 1.3; 1.5; 1.6; 1.7; 1.9; 1.12; 1.15; 2.12</t>
  </si>
  <si>
    <t>2.8; 2.10; 2.19; 2.22</t>
  </si>
  <si>
    <t>Ц/п стяжка М200 армований сіткою Ø6мм, чарунками 200х200мм з ухилом - 75 мм.</t>
  </si>
  <si>
    <t>2.18</t>
  </si>
  <si>
    <t>1.14; 2.11</t>
  </si>
  <si>
    <t>2.13; 2.14; 2.23; 2.24</t>
  </si>
  <si>
    <t>Ц/п стяжка М200 армований сіткою Ø6мм, чарунками 200х200мм - 75 мм.</t>
  </si>
  <si>
    <t>Керамзитобетон 100мм</t>
  </si>
  <si>
    <t>2.6; 2.7; 2.9; 2.20</t>
  </si>
  <si>
    <t>Ц/п стяжка М200 армований сіткою Ø6мм, чарунками 200х200мм 45-70 - 70 мм.</t>
  </si>
  <si>
    <t>Мембрана з хімічно зшитого поліетилену Vibrostop - 10 мм. З заведенням на стіну</t>
  </si>
  <si>
    <t>Влаштування фундамента Фм1 (1300*900*200) на віброізолюючих опорах</t>
  </si>
  <si>
    <t>м3</t>
  </si>
  <si>
    <t>Віброізолююча опора Vibrofix Block 041725/01S t=25мм</t>
  </si>
  <si>
    <t>Клей поліуретановий 2-компонентний Kiilto 2K PARQUET 5 кг +0,55 кг</t>
  </si>
  <si>
    <t>Бетон С25/30 (матеріал генпідрядника)</t>
  </si>
  <si>
    <t>Плита OSB-3 25мм</t>
  </si>
  <si>
    <t>Плівка поліетиленова POLYGREEN будівельна</t>
  </si>
  <si>
    <t xml:space="preserve"> Грунтовка Baumit Super Primer</t>
  </si>
  <si>
    <t>Фарба акрилова для бетонної підлоги АК-11</t>
  </si>
  <si>
    <t>Влаштування фундамента Фм2 (1230*870*200) на віброізолюючих опорах</t>
  </si>
  <si>
    <t>Влаштування фундамента Фм3 (800*500*200) на віброізолюючих опорах</t>
  </si>
  <si>
    <t>Влаштування фундамента Фм7 (2200*1100*150) на віброізолюючих опорах</t>
  </si>
  <si>
    <t>Всього</t>
  </si>
  <si>
    <t>грн</t>
  </si>
  <si>
    <t>Загальновиробничі витрати:</t>
  </si>
  <si>
    <t>Транспортно-заготівельні витрати:</t>
  </si>
  <si>
    <t>Всього по договірній ціні без ПДВ</t>
  </si>
  <si>
    <t xml:space="preserve"> ПДВ -20%</t>
  </si>
  <si>
    <t>Всього по договірній ціні з ПДВ</t>
  </si>
  <si>
    <t xml:space="preserve">Примітки:   </t>
  </si>
  <si>
    <t>-об'єми надані орієнтовно та будуть погоджуватись окремо після отримання всіх креслень.</t>
  </si>
  <si>
    <t>-RAL матеріалів уточнити при закупівлі з ГАПом.</t>
  </si>
  <si>
    <t>Вартість робіт в договірній ціні включає:</t>
  </si>
  <si>
    <t>-всі витрати Підрядника на заробітну плату, загальновиробничі та адміністративні витрати, прибуток, вартість експлуатації і перебазування машин, механізмів та засобів малої механізації, інструмент, заготівельно-складські витрати на матеріали,обладнання і оснастки, вартість витратних, паливно-мастильних матеріалів, геодезичний супровід процесу виконання робіт та лаборатоні випробування; дрібні, допоміжні та супутні операції необхідні для виконання робіт.</t>
  </si>
  <si>
    <t>-вартість тисчасових мереж електро та водопостачання (від точки підключення)</t>
  </si>
  <si>
    <t>-засоби колективного захисту і заходи з охорони праці та техніки безпеки.</t>
  </si>
  <si>
    <t>-вартість та експлуатація захисних огороджувальних конструкцій та систем.</t>
  </si>
  <si>
    <t>-вивезення та утилізація будівельного сміття, утримання тимчасових доріг та прилеглої територии</t>
  </si>
  <si>
    <t>-вартість монтажу амортізації та/або оренди засобів підмащювання (підмостки, ріштування, драбини, тури тощо)</t>
  </si>
  <si>
    <t>-вартість робіт включає всі затрати підрядника: оплату праці(відряджувальні), прибуток, адміністративні та загальновиробничі витрати, податки, роботу механізмів, тимчасові будівлі та споруди, перенесення матеріалів до місця виконання робіт, прибирання та перенесення сміття, вартість витратних матеріалів,</t>
  </si>
  <si>
    <t>- вартість доставки матеріалів, опалубки та обладнання на об'єкт будівництва;</t>
  </si>
  <si>
    <t>- вартість застосування всіх машин та механізмів;</t>
  </si>
  <si>
    <t>- вартість забезпечення всіх робітників засобами індивідуального захисту;</t>
  </si>
  <si>
    <t>- вартість перебазування механізмів на об'єкт та з об'єкту;</t>
  </si>
  <si>
    <t>- вартість робіт та матеріалів включає догляд за бетоном в зимовий період (протиморозні добавки, прогрів та ін.) окремою позицією</t>
  </si>
  <si>
    <t>- витрати на заробітну плату робітників, ІТР, геодезичний супровід та ін.</t>
  </si>
  <si>
    <t>- витрати на механізми та спецтехніку;</t>
  </si>
  <si>
    <t>-затрати підрядника: оплату праці(відряджувальні), прибуток, адміністративні та загальновиробничі витрати, податки, роботу механізмів, тимчасові будівлі та споруди, перенесення матеріалів до місця виконання робіт, прибирання та перенесення сміття, вартість витратних матеріалів,</t>
  </si>
  <si>
    <t>- вартість виготовлення та монтажу старахувальної сітки на міжповерхових перекриттях;</t>
  </si>
  <si>
    <t>- вартість виготовлення та монтажу сигнально-страхувального огородження перепадів всіх висот згідно вимог ДСТУ та ДБН;</t>
  </si>
  <si>
    <t>- вартість заготівельно-складських витрат входить в вартість робіт;</t>
  </si>
  <si>
    <t>- вартість транспортних витрат входить в вартість матеріалів;</t>
  </si>
  <si>
    <t>- вартість вивезення та прибирання сміття;</t>
  </si>
  <si>
    <t xml:space="preserve">- використанням витратних матеріалів,  риштувань, спорядження, засобів індивідуального захисту, машин та механізмів,  розробкою та погодженням ПВР, підготовка та передача Замовнику виконавчої документації. </t>
  </si>
  <si>
    <t>- вартість робіт та метеріалів по влаштуванню технологічних відсічок та швів;</t>
  </si>
  <si>
    <t>- вартість підключення до точок підведення мереж водопостачання та електроживлення;</t>
  </si>
  <si>
    <t>- вартість виготовлення та монтажу пожежних щитів та матеріалів для дотримання вимого пожежної безпеки;</t>
  </si>
  <si>
    <t>- доставка (перенесення) матералів до місця укладки та подача на підмостки та риштування</t>
  </si>
  <si>
    <t>Фарба водоемульсійна IN51 поліпшена для вологих приміщень РАЛ 9011</t>
  </si>
  <si>
    <t>Фарба водоемульсійна IN51 (або аналог) РАЛ 9011</t>
  </si>
  <si>
    <t>Підрядник: ТОВ "БУДКРАФТ"</t>
  </si>
  <si>
    <t>ГЕНПІДРЯДНИК</t>
  </si>
  <si>
    <t xml:space="preserve">Підрядник </t>
  </si>
  <si>
    <t>ТОВ "ТАВРОС КОНСТРАКШН"</t>
  </si>
  <si>
    <t>ТОВ "БУДКРАФТ"</t>
  </si>
  <si>
    <t>Директор</t>
  </si>
  <si>
    <t xml:space="preserve">     </t>
  </si>
  <si>
    <t>_______________________ В.М. Дегтярьов</t>
  </si>
  <si>
    <t xml:space="preserve">_____________________ </t>
  </si>
  <si>
    <t>Ц/п стяжка М200 армований сіткою Ø6мм, чарунками 200х200мм з ухилом 60-80мм - 80 мм.</t>
  </si>
  <si>
    <t>14</t>
  </si>
  <si>
    <t>Ц/п стяжка М200 армований сіткою Ø6мм, чарунками 200х200мм з ухилом 40-85мм - 80 мм.</t>
  </si>
  <si>
    <t>Ц/п стяжка М200 армований сіткою Ø6мм, чарунками 200х200мм з ухилом 0-185мм - 100 мм.</t>
  </si>
  <si>
    <t>Шпаклювання під фарбування (старт+фініш)</t>
  </si>
  <si>
    <t>Шліфування бетонних стін</t>
  </si>
  <si>
    <t>Дата: 26.01.2026</t>
  </si>
  <si>
    <t>43.29</t>
  </si>
  <si>
    <t>Договірна ціна</t>
  </si>
  <si>
    <t>Підлога</t>
  </si>
  <si>
    <t>Вручне знесення бетонної суміші з відмітки 0.000 на -8.000 (у відрах/носилках)</t>
  </si>
  <si>
    <t>Вручне знесення арматури каркасу та елементів кріплення на відмітку -8.000</t>
  </si>
  <si>
    <t>Вручне знесення матеріалів комбінованої опалубки (ОСП на дно, дошки/фанера на боки), віброізоляційних опор Vibrofix та матеріалу Sylomer</t>
  </si>
  <si>
    <t>Розмітка осей фундаменту Фм1 та підготовка робочої зони</t>
  </si>
  <si>
    <t>Влаштування комбінованої опалубки (дно - незнімна ОСП, боки - знімна дошка)</t>
  </si>
  <si>
    <t>Укладання гідроізоляційного шару з проклейкою швів</t>
  </si>
  <si>
    <t>Виготовлення та монтаж арматурного каркасу (Ø12 А500С)</t>
  </si>
  <si>
    <t>Прийом бетонної суміші, укладання в опалубку та вібрування</t>
  </si>
  <si>
    <t>Монтаж віброізоляційної прокладки Sylomer SR11 по периметру та крипільної планки</t>
  </si>
  <si>
    <t>Нанесення фінішного захисного/декоративного покриття в 2 шари</t>
  </si>
  <si>
    <t>Демонтаж бокової знімної опалубки після набору міцності бетоном (4 сторони)</t>
  </si>
  <si>
    <t>Ручний підйом демонтованих щитів опалубки та сміття з відмітки -8.000 на 0.000</t>
  </si>
  <si>
    <t>компл</t>
  </si>
  <si>
    <t>мп</t>
  </si>
  <si>
    <t xml:space="preserve">Монтаж віброізолюючих опор Vibrofix Block </t>
  </si>
  <si>
    <t>Вручне знесення матеріалів до опалубки дошки/фанера на боки)</t>
  </si>
  <si>
    <t>Влаштування шару теплоізоляціі ЕППС 200мм</t>
  </si>
  <si>
    <t>Влаштування опалубки (матеріали погодити)</t>
  </si>
  <si>
    <t xml:space="preserve"> Фм1-7(8шт)</t>
  </si>
  <si>
    <t>Технічне завдання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</si>
</sst>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0.00000"/>
  </numFmts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name val="Arimo"/>
    </font>
    <font>
      <sz val="11"/>
      <name val="Calibri"/>
      <family val="2"/>
      <charset val="204"/>
    </font>
    <font>
      <b/>
      <sz val="11"/>
      <name val="Arimo"/>
      <charset val="204"/>
    </font>
    <font>
      <b/>
      <sz val="10"/>
      <name val="Arial"/>
      <family val="2"/>
      <charset val="204"/>
    </font>
    <font>
      <sz val="11"/>
      <color rgb="FF0070C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color rgb="FF0070C0"/>
      <name val="Calibri"/>
      <family val="2"/>
      <charset val="204"/>
    </font>
    <font>
      <i/>
      <sz val="11"/>
      <name val="Calibri"/>
      <family val="2"/>
      <charset val="204"/>
    </font>
    <font>
      <i/>
      <sz val="10"/>
      <color rgb="FFFF0000"/>
      <name val="Calibri"/>
      <family val="2"/>
      <charset val="204"/>
    </font>
    <font>
      <b/>
      <i/>
      <sz val="10"/>
      <name val="Arial"/>
      <family val="2"/>
      <charset val="204"/>
    </font>
    <font>
      <sz val="10"/>
      <color rgb="FF0070C0"/>
      <name val="Arial"/>
      <family val="2"/>
      <charset val="204"/>
    </font>
    <font>
      <sz val="8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8"/>
      <name val="Arial"/>
      <family val="2"/>
      <charset val="204"/>
    </font>
    <font>
      <b/>
      <sz val="10"/>
      <color theme="4" tint="-0.249977111117893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1"/>
      <name val="Calibri"/>
      <family val="2"/>
      <charset val="204"/>
      <scheme val="minor"/>
    </font>
    <font>
      <sz val="10"/>
      <name val="Franklin Gothic"/>
      <charset val="204"/>
    </font>
    <font>
      <b/>
      <sz val="10"/>
      <name val="Franklin Gothic"/>
      <charset val="204"/>
    </font>
    <font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b/>
      <i/>
      <sz val="10"/>
      <color theme="8" tint="-0.249977111117893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8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164" fontId="7" fillId="0" borderId="0" applyFont="0" applyFill="0" applyBorder="0" applyAlignment="0" applyProtection="0"/>
    <xf numFmtId="0" fontId="9" fillId="0" borderId="0"/>
    <xf numFmtId="0" fontId="7" fillId="0" borderId="0"/>
    <xf numFmtId="0" fontId="30" fillId="0" borderId="0">
      <alignment horizontal="left"/>
    </xf>
    <xf numFmtId="0" fontId="35" fillId="0" borderId="0"/>
    <xf numFmtId="0" fontId="44" fillId="0" borderId="0"/>
    <xf numFmtId="9" fontId="9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>
      <protection locked="0"/>
    </xf>
    <xf numFmtId="0" fontId="61" fillId="0" borderId="0">
      <protection locked="0"/>
    </xf>
    <xf numFmtId="0" fontId="30" fillId="0" borderId="0">
      <protection locked="0"/>
    </xf>
    <xf numFmtId="0" fontId="18" fillId="0" borderId="0">
      <alignment vertical="center"/>
    </xf>
    <xf numFmtId="0" fontId="35" fillId="0" borderId="0">
      <protection locked="0"/>
    </xf>
    <xf numFmtId="164" fontId="61" fillId="0" borderId="0">
      <protection locked="0"/>
    </xf>
    <xf numFmtId="0" fontId="44" fillId="0" borderId="0">
      <protection locked="0"/>
    </xf>
    <xf numFmtId="9" fontId="18" fillId="0" borderId="0">
      <protection locked="0"/>
    </xf>
    <xf numFmtId="9" fontId="18" fillId="0" borderId="0" applyFon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5" fillId="0" borderId="0"/>
    <xf numFmtId="164" fontId="5" fillId="0" borderId="0" applyFont="0" applyFill="0" applyBorder="0" applyAlignment="0" applyProtection="0"/>
    <xf numFmtId="164" fontId="61" fillId="0" borderId="0">
      <alignment vertical="top"/>
      <protection locked="0"/>
    </xf>
    <xf numFmtId="9" fontId="18" fillId="0" borderId="0">
      <alignment vertical="top"/>
      <protection locked="0"/>
    </xf>
    <xf numFmtId="0" fontId="61" fillId="0" borderId="0">
      <protection locked="0"/>
    </xf>
    <xf numFmtId="0" fontId="61" fillId="0" borderId="0"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89">
    <xf numFmtId="0" fontId="0" fillId="0" borderId="0" xfId="0"/>
    <xf numFmtId="0" fontId="9" fillId="0" borderId="0" xfId="2"/>
    <xf numFmtId="0" fontId="9" fillId="2" borderId="0" xfId="2" applyFill="1" applyAlignment="1">
      <alignment horizontal="center"/>
    </xf>
    <xf numFmtId="0" fontId="14" fillId="0" borderId="0" xfId="2" applyFont="1" applyAlignment="1">
      <alignment horizontal="center" vertical="center"/>
    </xf>
    <xf numFmtId="4" fontId="15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0" borderId="0" xfId="2" applyFont="1"/>
    <xf numFmtId="0" fontId="17" fillId="2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/>
    </xf>
    <xf numFmtId="4" fontId="20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right" wrapText="1"/>
    </xf>
    <xf numFmtId="0" fontId="11" fillId="0" borderId="0" xfId="2" applyFont="1" applyAlignment="1">
      <alignment horizontal="right" wrapText="1"/>
    </xf>
    <xf numFmtId="0" fontId="22" fillId="0" borderId="0" xfId="2" applyFont="1" applyAlignment="1">
      <alignment horizontal="right" wrapText="1"/>
    </xf>
    <xf numFmtId="0" fontId="23" fillId="2" borderId="0" xfId="2" applyFont="1" applyFill="1" applyAlignment="1">
      <alignment vertical="center" wrapText="1"/>
    </xf>
    <xf numFmtId="0" fontId="24" fillId="0" borderId="0" xfId="2" applyFont="1" applyAlignment="1">
      <alignment horizontal="center" vertical="center"/>
    </xf>
    <xf numFmtId="0" fontId="25" fillId="0" borderId="0" xfId="2" applyFont="1"/>
    <xf numFmtId="0" fontId="26" fillId="0" borderId="0" xfId="2" applyFont="1" applyAlignment="1">
      <alignment horizontal="right"/>
    </xf>
    <xf numFmtId="14" fontId="27" fillId="0" borderId="0" xfId="2" applyNumberFormat="1" applyFont="1"/>
    <xf numFmtId="0" fontId="20" fillId="0" borderId="2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/>
    </xf>
    <xf numFmtId="4" fontId="15" fillId="0" borderId="5" xfId="2" applyNumberFormat="1" applyFont="1" applyBorder="1" applyAlignment="1">
      <alignment horizontal="center" vertical="center" wrapText="1"/>
    </xf>
    <xf numFmtId="0" fontId="9" fillId="0" borderId="0" xfId="2" applyAlignment="1">
      <alignment horizontal="center"/>
    </xf>
    <xf numFmtId="2" fontId="15" fillId="2" borderId="6" xfId="4" applyNumberFormat="1" applyFont="1" applyFill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/>
    </xf>
    <xf numFmtId="0" fontId="15" fillId="4" borderId="7" xfId="4" applyFont="1" applyFill="1" applyBorder="1" applyAlignment="1">
      <alignment horizontal="center" vertical="center"/>
    </xf>
    <xf numFmtId="4" fontId="15" fillId="4" borderId="7" xfId="4" applyNumberFormat="1" applyFont="1" applyFill="1" applyBorder="1" applyAlignment="1">
      <alignment horizontal="center" vertical="center"/>
    </xf>
    <xf numFmtId="0" fontId="15" fillId="4" borderId="8" xfId="4" applyFont="1" applyFill="1" applyBorder="1" applyAlignment="1">
      <alignment horizontal="center" vertical="center" wrapText="1"/>
    </xf>
    <xf numFmtId="4" fontId="32" fillId="4" borderId="7" xfId="0" applyNumberFormat="1" applyFont="1" applyFill="1" applyBorder="1" applyAlignment="1">
      <alignment horizontal="center" vertical="center" wrapText="1"/>
    </xf>
    <xf numFmtId="2" fontId="23" fillId="4" borderId="7" xfId="4" applyNumberFormat="1" applyFont="1" applyFill="1" applyBorder="1" applyAlignment="1">
      <alignment horizontal="right" vertical="center" wrapText="1"/>
    </xf>
    <xf numFmtId="4" fontId="20" fillId="4" borderId="9" xfId="0" applyNumberFormat="1" applyFont="1" applyFill="1" applyBorder="1" applyAlignment="1">
      <alignment horizontal="center" vertical="center" wrapText="1"/>
    </xf>
    <xf numFmtId="4" fontId="32" fillId="0" borderId="7" xfId="0" applyNumberFormat="1" applyFont="1" applyBorder="1" applyAlignment="1">
      <alignment horizontal="center" vertical="center" wrapText="1"/>
    </xf>
    <xf numFmtId="4" fontId="23" fillId="0" borderId="7" xfId="0" applyNumberFormat="1" applyFont="1" applyBorder="1" applyAlignment="1">
      <alignment horizontal="right" vertical="center" wrapText="1"/>
    </xf>
    <xf numFmtId="2" fontId="15" fillId="0" borderId="5" xfId="2" applyNumberFormat="1" applyFont="1" applyBorder="1" applyAlignment="1">
      <alignment horizontal="right" vertical="center"/>
    </xf>
    <xf numFmtId="0" fontId="8" fillId="0" borderId="0" xfId="2" applyFont="1"/>
    <xf numFmtId="4" fontId="23" fillId="4" borderId="7" xfId="0" applyNumberFormat="1" applyFont="1" applyFill="1" applyBorder="1" applyAlignment="1">
      <alignment horizontal="right" vertical="center" wrapText="1"/>
    </xf>
    <xf numFmtId="2" fontId="15" fillId="0" borderId="7" xfId="2" applyNumberFormat="1" applyFont="1" applyBorder="1" applyAlignment="1">
      <alignment horizontal="right" vertical="center"/>
    </xf>
    <xf numFmtId="0" fontId="20" fillId="0" borderId="7" xfId="2" applyFont="1" applyBorder="1" applyAlignment="1">
      <alignment horizontal="center" vertical="center" wrapText="1"/>
    </xf>
    <xf numFmtId="4" fontId="32" fillId="3" borderId="7" xfId="0" applyNumberFormat="1" applyFont="1" applyFill="1" applyBorder="1" applyAlignment="1">
      <alignment horizontal="center" vertical="center" wrapText="1"/>
    </xf>
    <xf numFmtId="4" fontId="23" fillId="3" borderId="7" xfId="0" applyNumberFormat="1" applyFont="1" applyFill="1" applyBorder="1" applyAlignment="1">
      <alignment horizontal="right" vertical="center" wrapText="1"/>
    </xf>
    <xf numFmtId="0" fontId="15" fillId="0" borderId="5" xfId="2" applyFont="1" applyBorder="1" applyAlignment="1">
      <alignment horizontal="right" vertical="center" wrapText="1"/>
    </xf>
    <xf numFmtId="4" fontId="15" fillId="0" borderId="5" xfId="2" applyNumberFormat="1" applyFont="1" applyBorder="1" applyAlignment="1">
      <alignment horizontal="right" vertical="center" wrapText="1"/>
    </xf>
    <xf numFmtId="4" fontId="23" fillId="0" borderId="5" xfId="2" applyNumberFormat="1" applyFont="1" applyBorder="1" applyAlignment="1">
      <alignment horizontal="right" vertical="center" wrapText="1"/>
    </xf>
    <xf numFmtId="164" fontId="8" fillId="0" borderId="0" xfId="1" applyFont="1"/>
    <xf numFmtId="164" fontId="9" fillId="0" borderId="0" xfId="1" applyFont="1"/>
    <xf numFmtId="0" fontId="20" fillId="3" borderId="12" xfId="2" applyFont="1" applyFill="1" applyBorder="1" applyAlignment="1">
      <alignment horizontal="center" vertical="center"/>
    </xf>
    <xf numFmtId="0" fontId="20" fillId="4" borderId="5" xfId="2" applyFont="1" applyFill="1" applyBorder="1" applyAlignment="1">
      <alignment horizontal="center" vertical="center" wrapText="1"/>
    </xf>
    <xf numFmtId="0" fontId="15" fillId="4" borderId="5" xfId="2" applyFont="1" applyFill="1" applyBorder="1" applyAlignment="1">
      <alignment horizontal="right" vertical="center" wrapText="1"/>
    </xf>
    <xf numFmtId="4" fontId="15" fillId="4" borderId="1" xfId="2" applyNumberFormat="1" applyFont="1" applyFill="1" applyBorder="1" applyAlignment="1">
      <alignment horizontal="center" vertical="center" wrapText="1"/>
    </xf>
    <xf numFmtId="2" fontId="15" fillId="4" borderId="5" xfId="2" applyNumberFormat="1" applyFont="1" applyFill="1" applyBorder="1" applyAlignment="1">
      <alignment horizontal="right" vertical="center"/>
    </xf>
    <xf numFmtId="4" fontId="15" fillId="4" borderId="5" xfId="2" applyNumberFormat="1" applyFont="1" applyFill="1" applyBorder="1" applyAlignment="1">
      <alignment horizontal="right" vertical="center" wrapText="1"/>
    </xf>
    <xf numFmtId="4" fontId="23" fillId="4" borderId="2" xfId="2" applyNumberFormat="1" applyFont="1" applyFill="1" applyBorder="1" applyAlignment="1">
      <alignment horizontal="right" vertical="center" wrapText="1"/>
    </xf>
    <xf numFmtId="0" fontId="20" fillId="5" borderId="1" xfId="2" applyFont="1" applyFill="1" applyBorder="1" applyAlignment="1">
      <alignment horizontal="center" vertical="center" wrapText="1"/>
    </xf>
    <xf numFmtId="0" fontId="15" fillId="5" borderId="13" xfId="2" applyFont="1" applyFill="1" applyBorder="1" applyAlignment="1">
      <alignment horizontal="right" vertical="center" wrapText="1"/>
    </xf>
    <xf numFmtId="4" fontId="15" fillId="5" borderId="7" xfId="2" applyNumberFormat="1" applyFont="1" applyFill="1" applyBorder="1" applyAlignment="1">
      <alignment horizontal="center" vertical="center" wrapText="1"/>
    </xf>
    <xf numFmtId="2" fontId="15" fillId="5" borderId="14" xfId="2" applyNumberFormat="1" applyFont="1" applyFill="1" applyBorder="1" applyAlignment="1">
      <alignment horizontal="right" vertical="center"/>
    </xf>
    <xf numFmtId="4" fontId="32" fillId="5" borderId="7" xfId="0" applyNumberFormat="1" applyFont="1" applyFill="1" applyBorder="1" applyAlignment="1">
      <alignment horizontal="center" vertical="center" wrapText="1"/>
    </xf>
    <xf numFmtId="4" fontId="15" fillId="5" borderId="1" xfId="2" applyNumberFormat="1" applyFont="1" applyFill="1" applyBorder="1" applyAlignment="1">
      <alignment horizontal="right" vertical="center" wrapText="1"/>
    </xf>
    <xf numFmtId="4" fontId="23" fillId="5" borderId="7" xfId="0" applyNumberFormat="1" applyFont="1" applyFill="1" applyBorder="1" applyAlignment="1">
      <alignment horizontal="right" vertical="center" wrapText="1"/>
    </xf>
    <xf numFmtId="4" fontId="23" fillId="5" borderId="1" xfId="2" applyNumberFormat="1" applyFont="1" applyFill="1" applyBorder="1" applyAlignment="1">
      <alignment horizontal="right" vertical="center" wrapText="1"/>
    </xf>
    <xf numFmtId="0" fontId="20" fillId="0" borderId="7" xfId="2" applyFont="1" applyBorder="1" applyAlignment="1">
      <alignment horizontal="left" vertical="center" wrapText="1"/>
    </xf>
    <xf numFmtId="4" fontId="20" fillId="0" borderId="7" xfId="2" applyNumberFormat="1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4" fontId="15" fillId="0" borderId="7" xfId="2" applyNumberFormat="1" applyFont="1" applyBorder="1" applyAlignment="1">
      <alignment horizontal="center" vertical="center"/>
    </xf>
    <xf numFmtId="2" fontId="20" fillId="0" borderId="8" xfId="2" applyNumberFormat="1" applyFont="1" applyBorder="1" applyAlignment="1">
      <alignment horizontal="center" vertical="center" wrapText="1"/>
    </xf>
    <xf numFmtId="4" fontId="28" fillId="0" borderId="7" xfId="2" applyNumberFormat="1" applyFont="1" applyBorder="1" applyAlignment="1">
      <alignment horizontal="right" vertical="center" wrapText="1"/>
    </xf>
    <xf numFmtId="0" fontId="15" fillId="0" borderId="2" xfId="2" applyFont="1" applyBorder="1" applyAlignment="1">
      <alignment horizontal="right" vertical="center" wrapText="1"/>
    </xf>
    <xf numFmtId="2" fontId="15" fillId="0" borderId="5" xfId="2" applyNumberFormat="1" applyFont="1" applyBorder="1" applyAlignment="1">
      <alignment horizontal="right" vertical="center" wrapText="1"/>
    </xf>
    <xf numFmtId="4" fontId="20" fillId="0" borderId="5" xfId="2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right" vertical="center" wrapText="1"/>
    </xf>
    <xf numFmtId="0" fontId="15" fillId="0" borderId="10" xfId="2" applyFont="1" applyBorder="1" applyAlignment="1">
      <alignment horizontal="right" vertical="center" wrapText="1"/>
    </xf>
    <xf numFmtId="2" fontId="15" fillId="0" borderId="8" xfId="2" applyNumberFormat="1" applyFont="1" applyBorder="1" applyAlignment="1">
      <alignment horizontal="right" vertical="center"/>
    </xf>
    <xf numFmtId="4" fontId="23" fillId="0" borderId="7" xfId="2" applyNumberFormat="1" applyFont="1" applyBorder="1" applyAlignment="1">
      <alignment horizontal="right" vertical="center" wrapText="1"/>
    </xf>
    <xf numFmtId="0" fontId="15" fillId="0" borderId="7" xfId="2" applyFont="1" applyBorder="1" applyAlignment="1">
      <alignment horizontal="right" vertical="center"/>
    </xf>
    <xf numFmtId="0" fontId="20" fillId="0" borderId="7" xfId="2" applyFont="1" applyBorder="1" applyAlignment="1">
      <alignment horizontal="center" vertical="center"/>
    </xf>
    <xf numFmtId="0" fontId="15" fillId="0" borderId="4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right" vertical="center" wrapText="1"/>
    </xf>
    <xf numFmtId="4" fontId="15" fillId="0" borderId="7" xfId="2" applyNumberFormat="1" applyFont="1" applyBorder="1" applyAlignment="1">
      <alignment horizontal="center" vertical="center" wrapText="1"/>
    </xf>
    <xf numFmtId="2" fontId="15" fillId="0" borderId="17" xfId="2" applyNumberFormat="1" applyFont="1" applyBorder="1" applyAlignment="1">
      <alignment horizontal="right" vertical="center"/>
    </xf>
    <xf numFmtId="4" fontId="15" fillId="0" borderId="4" xfId="2" applyNumberFormat="1" applyFont="1" applyBorder="1" applyAlignment="1">
      <alignment horizontal="right" vertical="center" wrapText="1"/>
    </xf>
    <xf numFmtId="4" fontId="23" fillId="0" borderId="4" xfId="2" applyNumberFormat="1" applyFont="1" applyBorder="1" applyAlignment="1">
      <alignment horizontal="right" vertical="center" wrapText="1"/>
    </xf>
    <xf numFmtId="0" fontId="20" fillId="0" borderId="5" xfId="2" applyFont="1" applyBorder="1" applyAlignment="1">
      <alignment horizontal="left" vertical="center"/>
    </xf>
    <xf numFmtId="2" fontId="20" fillId="0" borderId="5" xfId="2" applyNumberFormat="1" applyFont="1" applyBorder="1" applyAlignment="1">
      <alignment horizontal="center" vertical="center"/>
    </xf>
    <xf numFmtId="0" fontId="40" fillId="0" borderId="5" xfId="2" applyFont="1" applyBorder="1" applyAlignment="1">
      <alignment horizontal="right" vertical="center"/>
    </xf>
    <xf numFmtId="4" fontId="20" fillId="0" borderId="5" xfId="2" applyNumberFormat="1" applyFont="1" applyBorder="1" applyAlignment="1">
      <alignment horizontal="left" vertical="center" wrapText="1"/>
    </xf>
    <xf numFmtId="0" fontId="15" fillId="0" borderId="5" xfId="2" applyFont="1" applyBorder="1" applyAlignment="1">
      <alignment horizontal="right"/>
    </xf>
    <xf numFmtId="0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right" vertical="center" wrapText="1"/>
    </xf>
    <xf numFmtId="2" fontId="20" fillId="0" borderId="7" xfId="2" applyNumberFormat="1" applyFont="1" applyBorder="1" applyAlignment="1">
      <alignment horizontal="center" vertical="center"/>
    </xf>
    <xf numFmtId="2" fontId="20" fillId="0" borderId="3" xfId="2" applyNumberFormat="1" applyFont="1" applyBorder="1" applyAlignment="1">
      <alignment horizontal="center" vertical="center"/>
    </xf>
    <xf numFmtId="4" fontId="28" fillId="0" borderId="5" xfId="2" applyNumberFormat="1" applyFont="1" applyBorder="1" applyAlignment="1">
      <alignment horizontal="right" vertical="center" wrapText="1"/>
    </xf>
    <xf numFmtId="0" fontId="40" fillId="0" borderId="4" xfId="2" applyFont="1" applyBorder="1" applyAlignment="1">
      <alignment horizontal="right" vertical="center"/>
    </xf>
    <xf numFmtId="0" fontId="20" fillId="0" borderId="5" xfId="2" applyFont="1" applyBorder="1" applyAlignment="1">
      <alignment horizontal="left" vertical="center" wrapText="1"/>
    </xf>
    <xf numFmtId="0" fontId="43" fillId="0" borderId="5" xfId="2" applyFont="1" applyBorder="1" applyAlignment="1">
      <alignment horizontal="right" vertical="center" wrapText="1"/>
    </xf>
    <xf numFmtId="2" fontId="20" fillId="0" borderId="7" xfId="2" applyNumberFormat="1" applyFont="1" applyBorder="1" applyAlignment="1">
      <alignment horizontal="center" vertical="center" wrapText="1"/>
    </xf>
    <xf numFmtId="0" fontId="15" fillId="0" borderId="5" xfId="2" applyFont="1" applyBorder="1" applyAlignment="1">
      <alignment horizontal="right" vertical="center"/>
    </xf>
    <xf numFmtId="0" fontId="40" fillId="0" borderId="7" xfId="2" applyFont="1" applyBorder="1" applyAlignment="1">
      <alignment horizontal="right" vertical="center"/>
    </xf>
    <xf numFmtId="0" fontId="41" fillId="0" borderId="7" xfId="2" applyFont="1" applyBorder="1" applyAlignment="1">
      <alignment horizontal="center" vertical="center"/>
    </xf>
    <xf numFmtId="2" fontId="15" fillId="0" borderId="7" xfId="2" applyNumberFormat="1" applyFont="1" applyBorder="1" applyAlignment="1">
      <alignment horizontal="right" vertical="center" wrapText="1"/>
    </xf>
    <xf numFmtId="4" fontId="9" fillId="0" borderId="7" xfId="2" applyNumberFormat="1" applyBorder="1" applyAlignment="1">
      <alignment horizontal="center"/>
    </xf>
    <xf numFmtId="0" fontId="15" fillId="0" borderId="7" xfId="6" applyFont="1" applyBorder="1" applyAlignment="1">
      <alignment horizontal="right" vertical="center" wrapText="1"/>
    </xf>
    <xf numFmtId="4" fontId="9" fillId="0" borderId="7" xfId="2" applyNumberFormat="1" applyBorder="1" applyAlignment="1">
      <alignment horizontal="center" vertical="center"/>
    </xf>
    <xf numFmtId="0" fontId="15" fillId="0" borderId="7" xfId="2" applyFont="1" applyBorder="1" applyAlignment="1">
      <alignment horizontal="right"/>
    </xf>
    <xf numFmtId="4" fontId="15" fillId="0" borderId="4" xfId="2" applyNumberFormat="1" applyFont="1" applyBorder="1" applyAlignment="1">
      <alignment horizontal="center" vertical="center" wrapText="1"/>
    </xf>
    <xf numFmtId="2" fontId="15" fillId="0" borderId="4" xfId="2" applyNumberFormat="1" applyFont="1" applyBorder="1" applyAlignment="1">
      <alignment horizontal="right" vertical="center"/>
    </xf>
    <xf numFmtId="4" fontId="15" fillId="5" borderId="11" xfId="2" applyNumberFormat="1" applyFont="1" applyFill="1" applyBorder="1" applyAlignment="1">
      <alignment horizontal="center" vertical="center" wrapText="1"/>
    </xf>
    <xf numFmtId="4" fontId="15" fillId="0" borderId="7" xfId="2" applyNumberFormat="1" applyFont="1" applyBorder="1" applyAlignment="1">
      <alignment horizontal="center"/>
    </xf>
    <xf numFmtId="4" fontId="28" fillId="0" borderId="7" xfId="2" applyNumberFormat="1" applyFont="1" applyBorder="1" applyAlignment="1">
      <alignment horizontal="center" vertical="center" wrapText="1"/>
    </xf>
    <xf numFmtId="0" fontId="20" fillId="5" borderId="7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/>
    </xf>
    <xf numFmtId="0" fontId="9" fillId="5" borderId="7" xfId="2" applyFill="1" applyBorder="1"/>
    <xf numFmtId="4" fontId="9" fillId="5" borderId="7" xfId="2" applyNumberFormat="1" applyFill="1" applyBorder="1" applyAlignment="1">
      <alignment horizontal="center"/>
    </xf>
    <xf numFmtId="0" fontId="39" fillId="5" borderId="7" xfId="2" applyFont="1" applyFill="1" applyBorder="1" applyAlignment="1">
      <alignment horizontal="right"/>
    </xf>
    <xf numFmtId="4" fontId="15" fillId="0" borderId="7" xfId="2" applyNumberFormat="1" applyFont="1" applyBorder="1" applyAlignment="1">
      <alignment horizontal="right" vertical="center" wrapText="1"/>
    </xf>
    <xf numFmtId="16" fontId="20" fillId="5" borderId="1" xfId="2" quotePrefix="1" applyNumberFormat="1" applyFont="1" applyFill="1" applyBorder="1" applyAlignment="1">
      <alignment horizontal="center" vertical="center" wrapText="1"/>
    </xf>
    <xf numFmtId="0" fontId="28" fillId="3" borderId="18" xfId="2" applyFont="1" applyFill="1" applyBorder="1" applyAlignment="1">
      <alignment horizontal="right" vertical="center"/>
    </xf>
    <xf numFmtId="164" fontId="9" fillId="0" borderId="0" xfId="1" applyFont="1" applyBorder="1"/>
    <xf numFmtId="17" fontId="20" fillId="5" borderId="1" xfId="2" quotePrefix="1" applyNumberFormat="1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left" vertical="top" wrapText="1"/>
    </xf>
    <xf numFmtId="0" fontId="9" fillId="0" borderId="0" xfId="2" applyAlignment="1">
      <alignment horizontal="center" vertical="center"/>
    </xf>
    <xf numFmtId="0" fontId="15" fillId="0" borderId="7" xfId="0" applyFont="1" applyBorder="1" applyAlignment="1">
      <alignment horizontal="right" vertical="center" wrapText="1"/>
    </xf>
    <xf numFmtId="4" fontId="15" fillId="0" borderId="7" xfId="0" applyNumberFormat="1" applyFont="1" applyBorder="1" applyAlignment="1">
      <alignment horizontal="center" vertical="center"/>
    </xf>
    <xf numFmtId="2" fontId="15" fillId="0" borderId="7" xfId="1" applyNumberFormat="1" applyFont="1" applyFill="1" applyBorder="1" applyAlignment="1">
      <alignment horizontal="righ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right" vertical="center" wrapText="1"/>
    </xf>
    <xf numFmtId="4" fontId="15" fillId="0" borderId="11" xfId="2" applyNumberFormat="1" applyFont="1" applyBorder="1" applyAlignment="1">
      <alignment horizontal="center" vertical="center"/>
    </xf>
    <xf numFmtId="4" fontId="23" fillId="0" borderId="11" xfId="2" applyNumberFormat="1" applyFont="1" applyBorder="1" applyAlignment="1">
      <alignment horizontal="right" vertical="center" wrapText="1"/>
    </xf>
    <xf numFmtId="4" fontId="31" fillId="0" borderId="1" xfId="2" applyNumberFormat="1" applyFont="1" applyBorder="1" applyAlignment="1">
      <alignment horizontal="right" vertical="center" wrapText="1"/>
    </xf>
    <xf numFmtId="0" fontId="47" fillId="0" borderId="0" xfId="2" applyFont="1"/>
    <xf numFmtId="0" fontId="54" fillId="0" borderId="0" xfId="2" applyFont="1"/>
    <xf numFmtId="0" fontId="39" fillId="0" borderId="0" xfId="2" applyFont="1" applyAlignment="1">
      <alignment horizontal="right"/>
    </xf>
    <xf numFmtId="4" fontId="60" fillId="0" borderId="0" xfId="2" applyNumberFormat="1" applyFont="1"/>
    <xf numFmtId="0" fontId="9" fillId="0" borderId="0" xfId="2" applyProtection="1">
      <protection locked="0"/>
    </xf>
    <xf numFmtId="0" fontId="9" fillId="0" borderId="0" xfId="2" applyAlignment="1" applyProtection="1">
      <alignment horizontal="center"/>
      <protection locked="0"/>
    </xf>
    <xf numFmtId="0" fontId="8" fillId="7" borderId="0" xfId="2" applyFont="1" applyFill="1"/>
    <xf numFmtId="0" fontId="9" fillId="8" borderId="0" xfId="2" applyFill="1"/>
    <xf numFmtId="0" fontId="9" fillId="8" borderId="0" xfId="2" applyFill="1" applyAlignment="1">
      <alignment horizontal="center"/>
    </xf>
    <xf numFmtId="164" fontId="9" fillId="8" borderId="0" xfId="1" applyFont="1" applyFill="1"/>
    <xf numFmtId="2" fontId="9" fillId="8" borderId="0" xfId="2" applyNumberFormat="1" applyFill="1"/>
    <xf numFmtId="1" fontId="48" fillId="2" borderId="0" xfId="27" applyNumberFormat="1" applyFont="1" applyFill="1" applyAlignment="1">
      <alignment vertical="center" wrapText="1"/>
    </xf>
    <xf numFmtId="1" fontId="48" fillId="0" borderId="0" xfId="27" applyNumberFormat="1" applyFont="1" applyAlignment="1">
      <alignment vertical="center" wrapText="1"/>
    </xf>
    <xf numFmtId="0" fontId="49" fillId="0" borderId="0" xfId="27" applyFont="1" applyAlignment="1">
      <alignment horizontal="center" vertical="center"/>
    </xf>
    <xf numFmtId="0" fontId="50" fillId="0" borderId="0" xfId="27" applyFont="1" applyAlignment="1">
      <alignment vertical="center"/>
    </xf>
    <xf numFmtId="4" fontId="15" fillId="0" borderId="0" xfId="27" applyNumberFormat="1" applyFont="1" applyAlignment="1">
      <alignment horizontal="center" vertical="center"/>
    </xf>
    <xf numFmtId="2" fontId="50" fillId="0" borderId="0" xfId="27" applyNumberFormat="1" applyFont="1" applyAlignment="1">
      <alignment vertical="center"/>
    </xf>
    <xf numFmtId="0" fontId="51" fillId="0" borderId="0" xfId="27" applyFont="1" applyAlignment="1">
      <alignment vertical="center"/>
    </xf>
    <xf numFmtId="0" fontId="52" fillId="0" borderId="0" xfId="27" applyFont="1" applyAlignment="1">
      <alignment vertical="center"/>
    </xf>
    <xf numFmtId="0" fontId="48" fillId="0" borderId="0" xfId="27" applyFont="1" applyAlignment="1">
      <alignment horizontal="right" vertical="center"/>
    </xf>
    <xf numFmtId="0" fontId="53" fillId="0" borderId="0" xfId="28" applyFont="1" applyAlignment="1">
      <alignment horizontal="left" vertical="center" wrapText="1"/>
    </xf>
    <xf numFmtId="1" fontId="55" fillId="2" borderId="0" xfId="28" applyNumberFormat="1" applyFont="1" applyFill="1" applyAlignment="1">
      <alignment horizontal="left" vertical="center"/>
    </xf>
    <xf numFmtId="4" fontId="55" fillId="0" borderId="0" xfId="28" applyNumberFormat="1" applyFont="1" applyAlignment="1">
      <alignment horizontal="left" vertical="center"/>
    </xf>
    <xf numFmtId="4" fontId="55" fillId="0" borderId="0" xfId="28" applyNumberFormat="1" applyFont="1" applyAlignment="1">
      <alignment horizontal="center" vertical="center"/>
    </xf>
    <xf numFmtId="4" fontId="20" fillId="0" borderId="0" xfId="28" applyNumberFormat="1" applyFont="1" applyAlignment="1">
      <alignment horizontal="center" vertical="center"/>
    </xf>
    <xf numFmtId="4" fontId="56" fillId="0" borderId="0" xfId="28" applyNumberFormat="1" applyFont="1" applyAlignment="1">
      <alignment horizontal="left" vertical="center"/>
    </xf>
    <xf numFmtId="4" fontId="57" fillId="0" borderId="0" xfId="28" applyNumberFormat="1" applyFont="1" applyAlignment="1">
      <alignment horizontal="right" vertical="center"/>
    </xf>
    <xf numFmtId="4" fontId="53" fillId="0" borderId="0" xfId="28" applyNumberFormat="1" applyFont="1" applyAlignment="1">
      <alignment horizontal="center" vertical="center" wrapText="1"/>
    </xf>
    <xf numFmtId="1" fontId="58" fillId="0" borderId="0" xfId="28" applyNumberFormat="1" applyFont="1" applyAlignment="1">
      <alignment horizontal="left" vertical="center" wrapText="1"/>
    </xf>
    <xf numFmtId="49" fontId="58" fillId="2" borderId="0" xfId="28" applyNumberFormat="1" applyFont="1" applyFill="1" applyAlignment="1">
      <alignment horizontal="left" vertical="center"/>
    </xf>
    <xf numFmtId="49" fontId="58" fillId="0" borderId="0" xfId="28" applyNumberFormat="1" applyFont="1" applyAlignment="1">
      <alignment horizontal="left" vertical="center"/>
    </xf>
    <xf numFmtId="49" fontId="57" fillId="0" borderId="0" xfId="28" applyNumberFormat="1" applyFont="1" applyAlignment="1">
      <alignment horizontal="center" vertical="center"/>
    </xf>
    <xf numFmtId="4" fontId="23" fillId="0" borderId="0" xfId="28" applyNumberFormat="1" applyFont="1" applyAlignment="1">
      <alignment horizontal="center" vertical="center"/>
    </xf>
    <xf numFmtId="49" fontId="59" fillId="0" borderId="0" xfId="28" applyNumberFormat="1" applyFont="1" applyAlignment="1">
      <alignment horizontal="left" vertical="center"/>
    </xf>
    <xf numFmtId="1" fontId="58" fillId="0" borderId="0" xfId="28" applyNumberFormat="1" applyFont="1" applyAlignment="1">
      <alignment horizontal="right" vertical="center" wrapText="1"/>
    </xf>
    <xf numFmtId="0" fontId="15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0" fillId="9" borderId="20" xfId="2" applyFont="1" applyFill="1" applyBorder="1" applyAlignment="1">
      <alignment horizontal="center" vertical="center" wrapText="1"/>
    </xf>
    <xf numFmtId="0" fontId="28" fillId="9" borderId="20" xfId="2" applyFont="1" applyFill="1" applyBorder="1" applyAlignment="1">
      <alignment horizontal="right" vertical="center" wrapText="1"/>
    </xf>
    <xf numFmtId="0" fontId="24" fillId="0" borderId="0" xfId="2" applyFont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left" vertical="center"/>
      <protection locked="0"/>
    </xf>
    <xf numFmtId="0" fontId="26" fillId="0" borderId="0" xfId="2" applyFont="1" applyAlignment="1" applyProtection="1">
      <alignment horizontal="right"/>
      <protection locked="0"/>
    </xf>
    <xf numFmtId="0" fontId="24" fillId="0" borderId="0" xfId="2" applyFont="1" applyProtection="1">
      <protection locked="0"/>
    </xf>
    <xf numFmtId="0" fontId="9" fillId="6" borderId="0" xfId="2" applyFill="1" applyAlignment="1" applyProtection="1">
      <alignment horizontal="center"/>
      <protection locked="0"/>
    </xf>
    <xf numFmtId="4" fontId="15" fillId="0" borderId="0" xfId="2" applyNumberFormat="1" applyFont="1" applyAlignment="1" applyProtection="1">
      <alignment horizontal="center" vertical="center"/>
      <protection locked="0"/>
    </xf>
    <xf numFmtId="0" fontId="25" fillId="0" borderId="0" xfId="2" applyFont="1" applyProtection="1">
      <protection locked="0"/>
    </xf>
    <xf numFmtId="0" fontId="62" fillId="0" borderId="0" xfId="0" applyFont="1" applyAlignment="1">
      <alignment horizontal="center"/>
    </xf>
    <xf numFmtId="166" fontId="63" fillId="0" borderId="0" xfId="0" applyNumberFormat="1" applyFont="1" applyAlignment="1">
      <alignment horizontal="left" vertical="top" wrapText="1"/>
    </xf>
    <xf numFmtId="166" fontId="63" fillId="0" borderId="0" xfId="0" applyNumberFormat="1" applyFont="1" applyAlignment="1">
      <alignment horizontal="center" vertical="top" wrapText="1"/>
    </xf>
    <xf numFmtId="0" fontId="63" fillId="0" borderId="0" xfId="0" applyFont="1"/>
    <xf numFmtId="0" fontId="46" fillId="0" borderId="0" xfId="0" applyFont="1"/>
    <xf numFmtId="0" fontId="46" fillId="0" borderId="0" xfId="0" applyFont="1" applyAlignment="1">
      <alignment vertical="center"/>
    </xf>
    <xf numFmtId="0" fontId="62" fillId="0" borderId="0" xfId="0" applyFont="1"/>
    <xf numFmtId="0" fontId="63" fillId="0" borderId="0" xfId="0" applyFont="1" applyAlignment="1">
      <alignment vertical="center"/>
    </xf>
    <xf numFmtId="0" fontId="15" fillId="0" borderId="11" xfId="2" applyFont="1" applyBorder="1" applyAlignment="1">
      <alignment horizontal="right"/>
    </xf>
    <xf numFmtId="0" fontId="20" fillId="0" borderId="11" xfId="2" applyFont="1" applyBorder="1" applyAlignment="1">
      <alignment horizontal="center" vertical="center"/>
    </xf>
    <xf numFmtId="0" fontId="15" fillId="0" borderId="11" xfId="2" applyFont="1" applyBorder="1" applyAlignment="1">
      <alignment horizontal="right" vertical="center" wrapText="1"/>
    </xf>
    <xf numFmtId="2" fontId="15" fillId="0" borderId="11" xfId="2" applyNumberFormat="1" applyFont="1" applyBorder="1" applyAlignment="1">
      <alignment horizontal="right" vertical="center"/>
    </xf>
    <xf numFmtId="4" fontId="28" fillId="0" borderId="11" xfId="2" applyNumberFormat="1" applyFont="1" applyBorder="1" applyAlignment="1">
      <alignment horizontal="center" vertical="center" wrapText="1"/>
    </xf>
    <xf numFmtId="0" fontId="20" fillId="9" borderId="29" xfId="2" applyFont="1" applyFill="1" applyBorder="1" applyAlignment="1">
      <alignment horizontal="center" vertical="center"/>
    </xf>
    <xf numFmtId="0" fontId="20" fillId="9" borderId="19" xfId="2" applyFont="1" applyFill="1" applyBorder="1" applyAlignment="1">
      <alignment horizontal="right" vertical="center" wrapText="1"/>
    </xf>
    <xf numFmtId="0" fontId="20" fillId="9" borderId="19" xfId="2" applyFont="1" applyFill="1" applyBorder="1" applyAlignment="1">
      <alignment horizontal="center" vertical="center" wrapText="1"/>
    </xf>
    <xf numFmtId="0" fontId="20" fillId="9" borderId="19" xfId="2" applyFont="1" applyFill="1" applyBorder="1" applyAlignment="1">
      <alignment horizontal="center" vertical="center"/>
    </xf>
    <xf numFmtId="4" fontId="20" fillId="9" borderId="19" xfId="2" applyNumberFormat="1" applyFont="1" applyFill="1" applyBorder="1" applyAlignment="1">
      <alignment horizontal="center" vertical="center"/>
    </xf>
    <xf numFmtId="4" fontId="31" fillId="9" borderId="19" xfId="2" applyNumberFormat="1" applyFont="1" applyFill="1" applyBorder="1" applyAlignment="1">
      <alignment horizontal="right" vertical="center" wrapText="1"/>
    </xf>
    <xf numFmtId="4" fontId="31" fillId="9" borderId="19" xfId="2" applyNumberFormat="1" applyFont="1" applyFill="1" applyBorder="1" applyAlignment="1">
      <alignment horizontal="center" vertical="center" wrapText="1"/>
    </xf>
    <xf numFmtId="4" fontId="28" fillId="9" borderId="19" xfId="2" applyNumberFormat="1" applyFont="1" applyFill="1" applyBorder="1" applyAlignment="1">
      <alignment horizontal="right" vertical="center"/>
    </xf>
    <xf numFmtId="4" fontId="28" fillId="9" borderId="19" xfId="2" applyNumberFormat="1" applyFont="1" applyFill="1" applyBorder="1" applyAlignment="1">
      <alignment horizontal="right" vertical="center" wrapText="1"/>
    </xf>
    <xf numFmtId="4" fontId="20" fillId="9" borderId="30" xfId="2" applyNumberFormat="1" applyFont="1" applyFill="1" applyBorder="1" applyAlignment="1">
      <alignment horizontal="right" vertical="center" wrapText="1"/>
    </xf>
    <xf numFmtId="0" fontId="20" fillId="9" borderId="6" xfId="2" applyFont="1" applyFill="1" applyBorder="1" applyAlignment="1">
      <alignment horizontal="center" vertical="center"/>
    </xf>
    <xf numFmtId="0" fontId="20" fillId="9" borderId="7" xfId="2" applyFont="1" applyFill="1" applyBorder="1" applyAlignment="1">
      <alignment horizontal="right" vertical="center" wrapText="1"/>
    </xf>
    <xf numFmtId="0" fontId="20" fillId="9" borderId="7" xfId="2" applyFont="1" applyFill="1" applyBorder="1" applyAlignment="1">
      <alignment horizontal="center" vertical="center" wrapText="1"/>
    </xf>
    <xf numFmtId="0" fontId="15" fillId="9" borderId="7" xfId="2" applyFont="1" applyFill="1" applyBorder="1" applyAlignment="1">
      <alignment horizontal="center" vertical="center"/>
    </xf>
    <xf numFmtId="4" fontId="15" fillId="9" borderId="7" xfId="2" applyNumberFormat="1" applyFont="1" applyFill="1" applyBorder="1" applyAlignment="1">
      <alignment horizontal="center" vertical="center"/>
    </xf>
    <xf numFmtId="4" fontId="20" fillId="9" borderId="7" xfId="2" applyNumberFormat="1" applyFont="1" applyFill="1" applyBorder="1" applyAlignment="1">
      <alignment horizontal="right" vertical="center" wrapText="1"/>
    </xf>
    <xf numFmtId="4" fontId="23" fillId="9" borderId="7" xfId="2" applyNumberFormat="1" applyFont="1" applyFill="1" applyBorder="1" applyAlignment="1">
      <alignment horizontal="right" vertical="center"/>
    </xf>
    <xf numFmtId="0" fontId="20" fillId="9" borderId="7" xfId="2" applyFont="1" applyFill="1" applyBorder="1" applyAlignment="1">
      <alignment horizontal="center" vertical="center"/>
    </xf>
    <xf numFmtId="4" fontId="20" fillId="9" borderId="7" xfId="2" applyNumberFormat="1" applyFont="1" applyFill="1" applyBorder="1" applyAlignment="1">
      <alignment horizontal="center" vertical="center"/>
    </xf>
    <xf numFmtId="4" fontId="20" fillId="9" borderId="7" xfId="2" applyNumberFormat="1" applyFont="1" applyFill="1" applyBorder="1" applyAlignment="1">
      <alignment horizontal="center" vertical="center" wrapText="1"/>
    </xf>
    <xf numFmtId="4" fontId="28" fillId="9" borderId="7" xfId="2" applyNumberFormat="1" applyFont="1" applyFill="1" applyBorder="1" applyAlignment="1">
      <alignment horizontal="right" vertical="center"/>
    </xf>
    <xf numFmtId="4" fontId="20" fillId="9" borderId="9" xfId="2" applyNumberFormat="1" applyFont="1" applyFill="1" applyBorder="1" applyAlignment="1">
      <alignment horizontal="right" vertical="center" wrapText="1"/>
    </xf>
    <xf numFmtId="0" fontId="20" fillId="9" borderId="7" xfId="2" applyFont="1" applyFill="1" applyBorder="1" applyAlignment="1">
      <alignment horizontal="right" wrapText="1"/>
    </xf>
    <xf numFmtId="4" fontId="28" fillId="9" borderId="7" xfId="2" applyNumberFormat="1" applyFont="1" applyFill="1" applyBorder="1" applyAlignment="1">
      <alignment horizontal="right" vertical="center" wrapText="1"/>
    </xf>
    <xf numFmtId="0" fontId="15" fillId="9" borderId="7" xfId="2" applyFont="1" applyFill="1" applyBorder="1" applyAlignment="1">
      <alignment horizontal="right" vertical="center"/>
    </xf>
    <xf numFmtId="4" fontId="29" fillId="9" borderId="7" xfId="2" applyNumberFormat="1" applyFont="1" applyFill="1" applyBorder="1" applyAlignment="1">
      <alignment horizontal="right" vertical="center" wrapText="1"/>
    </xf>
    <xf numFmtId="4" fontId="15" fillId="9" borderId="7" xfId="2" applyNumberFormat="1" applyFont="1" applyFill="1" applyBorder="1" applyAlignment="1">
      <alignment horizontal="right" vertical="center" wrapText="1"/>
    </xf>
    <xf numFmtId="4" fontId="15" fillId="9" borderId="9" xfId="2" applyNumberFormat="1" applyFont="1" applyFill="1" applyBorder="1" applyAlignment="1">
      <alignment horizontal="right" vertical="center"/>
    </xf>
    <xf numFmtId="4" fontId="29" fillId="9" borderId="7" xfId="2" applyNumberFormat="1" applyFont="1" applyFill="1" applyBorder="1" applyAlignment="1">
      <alignment horizontal="right" vertical="center"/>
    </xf>
    <xf numFmtId="4" fontId="15" fillId="9" borderId="7" xfId="2" applyNumberFormat="1" applyFont="1" applyFill="1" applyBorder="1" applyAlignment="1">
      <alignment horizontal="right" vertical="center"/>
    </xf>
    <xf numFmtId="0" fontId="20" fillId="9" borderId="31" xfId="2" applyFont="1" applyFill="1" applyBorder="1" applyAlignment="1">
      <alignment horizontal="center" vertical="center"/>
    </xf>
    <xf numFmtId="0" fontId="20" fillId="9" borderId="32" xfId="2" applyFont="1" applyFill="1" applyBorder="1" applyAlignment="1">
      <alignment horizontal="right" vertical="center"/>
    </xf>
    <xf numFmtId="0" fontId="20" fillId="9" borderId="32" xfId="2" applyFont="1" applyFill="1" applyBorder="1" applyAlignment="1">
      <alignment horizontal="center" vertical="center"/>
    </xf>
    <xf numFmtId="4" fontId="20" fillId="9" borderId="32" xfId="2" applyNumberFormat="1" applyFont="1" applyFill="1" applyBorder="1" applyAlignment="1">
      <alignment horizontal="center" vertical="center"/>
    </xf>
    <xf numFmtId="4" fontId="31" fillId="9" borderId="32" xfId="2" applyNumberFormat="1" applyFont="1" applyFill="1" applyBorder="1" applyAlignment="1">
      <alignment horizontal="right" vertical="center"/>
    </xf>
    <xf numFmtId="4" fontId="20" fillId="9" borderId="32" xfId="2" applyNumberFormat="1" applyFont="1" applyFill="1" applyBorder="1" applyAlignment="1">
      <alignment horizontal="right" vertical="center"/>
    </xf>
    <xf numFmtId="4" fontId="23" fillId="9" borderId="32" xfId="2" applyNumberFormat="1" applyFont="1" applyFill="1" applyBorder="1" applyAlignment="1">
      <alignment horizontal="right" vertical="center"/>
    </xf>
    <xf numFmtId="4" fontId="20" fillId="9" borderId="33" xfId="2" applyNumberFormat="1" applyFont="1" applyFill="1" applyBorder="1" applyAlignment="1">
      <alignment horizontal="right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right" vertical="center" wrapText="1"/>
    </xf>
    <xf numFmtId="0" fontId="15" fillId="0" borderId="7" xfId="2" applyFont="1" applyBorder="1" applyAlignment="1">
      <alignment horizontal="center" vertical="center"/>
    </xf>
    <xf numFmtId="4" fontId="31" fillId="0" borderId="7" xfId="2" applyNumberFormat="1" applyFont="1" applyBorder="1" applyAlignment="1">
      <alignment horizontal="right" vertical="center" wrapText="1"/>
    </xf>
    <xf numFmtId="4" fontId="20" fillId="0" borderId="7" xfId="2" applyNumberFormat="1" applyFont="1" applyBorder="1" applyAlignment="1">
      <alignment horizontal="right" vertical="center" wrapText="1"/>
    </xf>
    <xf numFmtId="4" fontId="23" fillId="0" borderId="7" xfId="2" applyNumberFormat="1" applyFont="1" applyBorder="1" applyAlignment="1">
      <alignment horizontal="right" vertical="center"/>
    </xf>
    <xf numFmtId="4" fontId="20" fillId="0" borderId="9" xfId="2" applyNumberFormat="1" applyFont="1" applyBorder="1" applyAlignment="1">
      <alignment horizontal="right" vertical="center"/>
    </xf>
    <xf numFmtId="4" fontId="31" fillId="0" borderId="7" xfId="2" applyNumberFormat="1" applyFont="1" applyBorder="1" applyAlignment="1">
      <alignment horizontal="center" vertical="center" wrapText="1"/>
    </xf>
    <xf numFmtId="4" fontId="38" fillId="0" borderId="7" xfId="2" applyNumberFormat="1" applyFont="1" applyBorder="1" applyAlignment="1">
      <alignment horizontal="right" vertical="center" wrapText="1"/>
    </xf>
    <xf numFmtId="4" fontId="31" fillId="0" borderId="5" xfId="2" applyNumberFormat="1" applyFont="1" applyBorder="1" applyAlignment="1">
      <alignment horizontal="center" vertical="center" wrapText="1"/>
    </xf>
    <xf numFmtId="4" fontId="38" fillId="0" borderId="5" xfId="2" applyNumberFormat="1" applyFont="1" applyBorder="1" applyAlignment="1">
      <alignment horizontal="right" vertical="center" wrapText="1"/>
    </xf>
    <xf numFmtId="4" fontId="36" fillId="0" borderId="5" xfId="2" applyNumberFormat="1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4" fontId="34" fillId="0" borderId="5" xfId="2" applyNumberFormat="1" applyFont="1" applyBorder="1" applyAlignment="1">
      <alignment horizontal="center" vertical="center" wrapText="1"/>
    </xf>
    <xf numFmtId="0" fontId="41" fillId="0" borderId="4" xfId="2" applyFont="1" applyBorder="1" applyAlignment="1">
      <alignment horizontal="left" vertical="center"/>
    </xf>
    <xf numFmtId="4" fontId="45" fillId="0" borderId="7" xfId="2" applyNumberFormat="1" applyFont="1" applyBorder="1" applyAlignment="1">
      <alignment horizontal="center" vertical="center" wrapText="1"/>
    </xf>
    <xf numFmtId="165" fontId="20" fillId="9" borderId="7" xfId="7" applyNumberFormat="1" applyFont="1" applyFill="1" applyBorder="1" applyAlignment="1">
      <alignment horizontal="center" vertical="center"/>
    </xf>
    <xf numFmtId="9" fontId="20" fillId="9" borderId="7" xfId="7" applyFont="1" applyFill="1" applyBorder="1" applyAlignment="1">
      <alignment horizontal="center" vertical="center"/>
    </xf>
    <xf numFmtId="0" fontId="15" fillId="2" borderId="34" xfId="2" applyFont="1" applyFill="1" applyBorder="1" applyAlignment="1">
      <alignment horizontal="center" vertical="center"/>
    </xf>
    <xf numFmtId="0" fontId="15" fillId="0" borderId="35" xfId="2" applyFont="1" applyBorder="1" applyAlignment="1">
      <alignment horizontal="center" vertical="center" wrapText="1"/>
    </xf>
    <xf numFmtId="0" fontId="9" fillId="2" borderId="36" xfId="2" applyFill="1" applyBorder="1" applyAlignment="1">
      <alignment horizontal="center"/>
    </xf>
    <xf numFmtId="0" fontId="20" fillId="3" borderId="0" xfId="2" applyFont="1" applyFill="1" applyAlignment="1">
      <alignment horizontal="center" vertical="center"/>
    </xf>
    <xf numFmtId="0" fontId="20" fillId="3" borderId="0" xfId="2" applyFont="1" applyFill="1" applyAlignment="1">
      <alignment vertical="center"/>
    </xf>
    <xf numFmtId="4" fontId="20" fillId="3" borderId="0" xfId="2" applyNumberFormat="1" applyFont="1" applyFill="1" applyAlignment="1">
      <alignment horizontal="center" vertical="center"/>
    </xf>
    <xf numFmtId="0" fontId="28" fillId="3" borderId="0" xfId="2" applyFont="1" applyFill="1" applyAlignment="1">
      <alignment horizontal="right" vertical="center"/>
    </xf>
    <xf numFmtId="0" fontId="20" fillId="3" borderId="37" xfId="2" applyFont="1" applyFill="1" applyBorder="1" applyAlignment="1">
      <alignment vertical="center"/>
    </xf>
    <xf numFmtId="0" fontId="20" fillId="2" borderId="38" xfId="2" applyFont="1" applyFill="1" applyBorder="1" applyAlignment="1">
      <alignment horizontal="center" vertical="center"/>
    </xf>
    <xf numFmtId="4" fontId="23" fillId="4" borderId="9" xfId="2" applyNumberFormat="1" applyFont="1" applyFill="1" applyBorder="1" applyAlignment="1">
      <alignment horizontal="center" vertical="center" wrapText="1"/>
    </xf>
    <xf numFmtId="2" fontId="20" fillId="2" borderId="38" xfId="2" applyNumberFormat="1" applyFont="1" applyFill="1" applyBorder="1" applyAlignment="1">
      <alignment horizontal="center" vertical="center"/>
    </xf>
    <xf numFmtId="4" fontId="23" fillId="5" borderId="39" xfId="2" applyNumberFormat="1" applyFont="1" applyFill="1" applyBorder="1" applyAlignment="1">
      <alignment horizontal="center" vertical="center" wrapText="1"/>
    </xf>
    <xf numFmtId="2" fontId="20" fillId="2" borderId="40" xfId="2" applyNumberFormat="1" applyFont="1" applyFill="1" applyBorder="1" applyAlignment="1">
      <alignment horizontal="center" vertical="center"/>
    </xf>
    <xf numFmtId="4" fontId="31" fillId="0" borderId="9" xfId="2" applyNumberFormat="1" applyFont="1" applyBorder="1" applyAlignment="1">
      <alignment horizontal="center" vertical="center" wrapText="1"/>
    </xf>
    <xf numFmtId="4" fontId="23" fillId="0" borderId="41" xfId="2" applyNumberFormat="1" applyFont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/>
    </xf>
    <xf numFmtId="4" fontId="23" fillId="0" borderId="9" xfId="2" applyNumberFormat="1" applyFont="1" applyBorder="1" applyAlignment="1">
      <alignment horizontal="center" vertical="center" wrapText="1"/>
    </xf>
    <xf numFmtId="4" fontId="23" fillId="0" borderId="35" xfId="2" applyNumberFormat="1" applyFont="1" applyBorder="1" applyAlignment="1">
      <alignment horizontal="center" vertical="center" wrapText="1"/>
    </xf>
    <xf numFmtId="0" fontId="14" fillId="5" borderId="0" xfId="2" applyFont="1" applyFill="1" applyAlignment="1">
      <alignment horizontal="center" vertical="center"/>
    </xf>
    <xf numFmtId="0" fontId="9" fillId="5" borderId="0" xfId="2" applyFill="1"/>
    <xf numFmtId="4" fontId="9" fillId="5" borderId="0" xfId="2" applyNumberFormat="1" applyFill="1" applyAlignment="1">
      <alignment horizontal="center"/>
    </xf>
    <xf numFmtId="0" fontId="39" fillId="5" borderId="0" xfId="2" applyFont="1" applyFill="1" applyAlignment="1">
      <alignment horizontal="right"/>
    </xf>
    <xf numFmtId="0" fontId="9" fillId="5" borderId="37" xfId="2" applyFill="1" applyBorder="1"/>
    <xf numFmtId="1" fontId="20" fillId="0" borderId="40" xfId="2" applyNumberFormat="1" applyFont="1" applyBorder="1" applyAlignment="1">
      <alignment horizontal="center" vertical="center"/>
    </xf>
    <xf numFmtId="4" fontId="31" fillId="0" borderId="42" xfId="2" applyNumberFormat="1" applyFont="1" applyBorder="1" applyAlignment="1">
      <alignment horizontal="center" vertical="center" wrapText="1"/>
    </xf>
    <xf numFmtId="2" fontId="20" fillId="0" borderId="40" xfId="2" applyNumberFormat="1" applyFont="1" applyBorder="1" applyAlignment="1">
      <alignment horizontal="center" vertical="center"/>
    </xf>
    <xf numFmtId="4" fontId="23" fillId="0" borderId="42" xfId="2" applyNumberFormat="1" applyFont="1" applyBorder="1" applyAlignment="1">
      <alignment horizontal="center" vertical="center" wrapText="1"/>
    </xf>
    <xf numFmtId="0" fontId="20" fillId="0" borderId="40" xfId="2" applyFont="1" applyBorder="1" applyAlignment="1">
      <alignment horizontal="center" vertical="center"/>
    </xf>
    <xf numFmtId="2" fontId="20" fillId="0" borderId="38" xfId="2" applyNumberFormat="1" applyFont="1" applyBorder="1" applyAlignment="1">
      <alignment horizontal="center" vertical="center"/>
    </xf>
    <xf numFmtId="49" fontId="20" fillId="0" borderId="38" xfId="2" applyNumberFormat="1" applyFont="1" applyBorder="1" applyAlignment="1">
      <alignment horizontal="center" vertical="center"/>
    </xf>
    <xf numFmtId="1" fontId="20" fillId="2" borderId="40" xfId="2" applyNumberFormat="1" applyFont="1" applyFill="1" applyBorder="1" applyAlignment="1">
      <alignment horizontal="center" vertical="center"/>
    </xf>
    <xf numFmtId="49" fontId="20" fillId="2" borderId="38" xfId="2" applyNumberFormat="1" applyFont="1" applyFill="1" applyBorder="1" applyAlignment="1">
      <alignment horizontal="center"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40" xfId="2" applyNumberFormat="1" applyFont="1" applyFill="1" applyBorder="1" applyAlignment="1">
      <alignment horizontal="center" vertical="center"/>
    </xf>
    <xf numFmtId="49" fontId="20" fillId="2" borderId="34" xfId="2" applyNumberFormat="1" applyFont="1" applyFill="1" applyBorder="1" applyAlignment="1">
      <alignment horizontal="center" vertical="center"/>
    </xf>
    <xf numFmtId="2" fontId="20" fillId="2" borderId="43" xfId="2" applyNumberFormat="1" applyFont="1" applyFill="1" applyBorder="1" applyAlignment="1">
      <alignment horizontal="center" vertical="center"/>
    </xf>
    <xf numFmtId="0" fontId="9" fillId="2" borderId="36" xfId="2" applyFill="1" applyBorder="1"/>
    <xf numFmtId="2" fontId="20" fillId="2" borderId="6" xfId="2" applyNumberFormat="1" applyFont="1" applyFill="1" applyBorder="1" applyAlignment="1">
      <alignment horizontal="center" vertical="center"/>
    </xf>
    <xf numFmtId="0" fontId="9" fillId="5" borderId="9" xfId="2" applyFill="1" applyBorder="1"/>
    <xf numFmtId="1" fontId="20" fillId="0" borderId="6" xfId="2" applyNumberFormat="1" applyFont="1" applyBorder="1" applyAlignment="1">
      <alignment horizontal="center" vertical="center"/>
    </xf>
    <xf numFmtId="2" fontId="20" fillId="0" borderId="6" xfId="2" applyNumberFormat="1" applyFont="1" applyBorder="1" applyAlignment="1">
      <alignment horizontal="center" vertical="center"/>
    </xf>
    <xf numFmtId="1" fontId="20" fillId="2" borderId="6" xfId="2" applyNumberFormat="1" applyFont="1" applyFill="1" applyBorder="1" applyAlignment="1">
      <alignment horizontal="center" vertical="center"/>
    </xf>
    <xf numFmtId="2" fontId="20" fillId="2" borderId="34" xfId="2" applyNumberFormat="1" applyFont="1" applyFill="1" applyBorder="1" applyAlignment="1">
      <alignment horizontal="center" vertical="center"/>
    </xf>
    <xf numFmtId="4" fontId="20" fillId="4" borderId="44" xfId="0" applyNumberFormat="1" applyFont="1" applyFill="1" applyBorder="1" applyAlignment="1">
      <alignment horizontal="center" vertical="center" wrapText="1"/>
    </xf>
    <xf numFmtId="0" fontId="20" fillId="5" borderId="0" xfId="2" applyFont="1" applyFill="1" applyAlignment="1">
      <alignment horizontal="center" vertical="center"/>
    </xf>
    <xf numFmtId="0" fontId="15" fillId="5" borderId="0" xfId="2" applyFont="1" applyFill="1"/>
    <xf numFmtId="4" fontId="15" fillId="5" borderId="0" xfId="2" applyNumberFormat="1" applyFont="1" applyFill="1" applyAlignment="1">
      <alignment horizontal="center"/>
    </xf>
    <xf numFmtId="0" fontId="23" fillId="5" borderId="0" xfId="2" applyFont="1" applyFill="1" applyAlignment="1">
      <alignment horizontal="right"/>
    </xf>
    <xf numFmtId="0" fontId="15" fillId="5" borderId="37" xfId="2" applyFont="1" applyFill="1" applyBorder="1"/>
    <xf numFmtId="49" fontId="20" fillId="0" borderId="40" xfId="2" applyNumberFormat="1" applyFont="1" applyBorder="1" applyAlignment="1">
      <alignment horizontal="center" vertical="center"/>
    </xf>
    <xf numFmtId="0" fontId="15" fillId="2" borderId="36" xfId="2" applyFont="1" applyFill="1" applyBorder="1"/>
    <xf numFmtId="2" fontId="20" fillId="2" borderId="45" xfId="2" applyNumberFormat="1" applyFont="1" applyFill="1" applyBorder="1" applyAlignment="1">
      <alignment horizontal="center" vertical="center"/>
    </xf>
    <xf numFmtId="4" fontId="23" fillId="0" borderId="46" xfId="2" applyNumberFormat="1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15" fillId="0" borderId="10" xfId="0" applyFont="1" applyBorder="1" applyAlignment="1">
      <alignment horizontal="right" vertical="center" wrapText="1"/>
    </xf>
    <xf numFmtId="0" fontId="15" fillId="0" borderId="2" xfId="2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3" xfId="2" applyFont="1" applyBorder="1" applyAlignment="1">
      <alignment horizontal="right" vertical="center" wrapText="1"/>
    </xf>
    <xf numFmtId="0" fontId="20" fillId="0" borderId="15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4" fontId="15" fillId="0" borderId="15" xfId="2" applyNumberFormat="1" applyFont="1" applyBorder="1" applyAlignment="1">
      <alignment horizontal="center" vertical="center" wrapText="1"/>
    </xf>
    <xf numFmtId="0" fontId="20" fillId="4" borderId="4" xfId="2" applyFont="1" applyFill="1" applyBorder="1" applyAlignment="1">
      <alignment horizontal="center" vertical="center" wrapText="1"/>
    </xf>
    <xf numFmtId="0" fontId="15" fillId="4" borderId="4" xfId="2" applyFont="1" applyFill="1" applyBorder="1" applyAlignment="1">
      <alignment horizontal="right" vertical="center" wrapText="1"/>
    </xf>
    <xf numFmtId="4" fontId="15" fillId="4" borderId="15" xfId="2" applyNumberFormat="1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right" vertical="center"/>
    </xf>
    <xf numFmtId="0" fontId="20" fillId="3" borderId="7" xfId="2" applyFont="1" applyFill="1" applyBorder="1" applyAlignment="1">
      <alignment vertical="center"/>
    </xf>
    <xf numFmtId="4" fontId="20" fillId="3" borderId="7" xfId="2" applyNumberFormat="1" applyFont="1" applyFill="1" applyBorder="1" applyAlignment="1">
      <alignment horizontal="center" vertical="center"/>
    </xf>
    <xf numFmtId="0" fontId="9" fillId="0" borderId="0" xfId="2" applyAlignment="1">
      <alignment wrapText="1"/>
    </xf>
    <xf numFmtId="0" fontId="9" fillId="2" borderId="0" xfId="2" applyFill="1" applyAlignment="1">
      <alignment horizontal="center" wrapText="1"/>
    </xf>
    <xf numFmtId="0" fontId="54" fillId="0" borderId="0" xfId="2" applyFont="1" applyAlignment="1">
      <alignment wrapText="1"/>
    </xf>
    <xf numFmtId="0" fontId="9" fillId="0" borderId="0" xfId="2" applyAlignment="1">
      <alignment horizontal="center" wrapText="1"/>
    </xf>
    <xf numFmtId="164" fontId="9" fillId="0" borderId="0" xfId="1" applyFont="1" applyAlignment="1">
      <alignment wrapText="1"/>
    </xf>
    <xf numFmtId="0" fontId="66" fillId="0" borderId="0" xfId="2" applyFont="1" applyAlignment="1">
      <alignment wrapText="1"/>
    </xf>
    <xf numFmtId="0" fontId="67" fillId="2" borderId="0" xfId="2" applyFont="1" applyFill="1" applyAlignment="1">
      <alignment vertical="center" wrapText="1"/>
    </xf>
    <xf numFmtId="0" fontId="65" fillId="2" borderId="34" xfId="2" applyFont="1" applyFill="1" applyBorder="1" applyAlignment="1">
      <alignment horizontal="center" vertical="center" wrapText="1"/>
    </xf>
    <xf numFmtId="0" fontId="65" fillId="0" borderId="15" xfId="2" applyFont="1" applyBorder="1" applyAlignment="1">
      <alignment horizontal="center" vertical="center" wrapText="1"/>
    </xf>
    <xf numFmtId="0" fontId="65" fillId="0" borderId="4" xfId="2" applyFont="1" applyBorder="1" applyAlignment="1">
      <alignment horizontal="center" vertical="center" wrapText="1"/>
    </xf>
    <xf numFmtId="0" fontId="68" fillId="2" borderId="38" xfId="2" applyFont="1" applyFill="1" applyBorder="1" applyAlignment="1">
      <alignment horizontal="center" vertical="center" wrapText="1"/>
    </xf>
    <xf numFmtId="49" fontId="68" fillId="4" borderId="7" xfId="0" applyNumberFormat="1" applyFont="1" applyFill="1" applyBorder="1" applyAlignment="1">
      <alignment horizontal="center" vertical="center" wrapText="1"/>
    </xf>
    <xf numFmtId="4" fontId="69" fillId="4" borderId="7" xfId="0" applyNumberFormat="1" applyFont="1" applyFill="1" applyBorder="1" applyAlignment="1">
      <alignment horizontal="center" vertical="center" wrapText="1"/>
    </xf>
    <xf numFmtId="4" fontId="65" fillId="4" borderId="5" xfId="2" applyNumberFormat="1" applyFont="1" applyFill="1" applyBorder="1" applyAlignment="1">
      <alignment horizontal="right" vertical="center" wrapText="1"/>
    </xf>
    <xf numFmtId="4" fontId="69" fillId="5" borderId="7" xfId="0" applyNumberFormat="1" applyFont="1" applyFill="1" applyBorder="1" applyAlignment="1">
      <alignment horizontal="center" vertical="center" wrapText="1"/>
    </xf>
    <xf numFmtId="4" fontId="70" fillId="0" borderId="7" xfId="2" applyNumberFormat="1" applyFont="1" applyBorder="1" applyAlignment="1">
      <alignment horizontal="center" vertical="center" wrapText="1"/>
    </xf>
    <xf numFmtId="0" fontId="68" fillId="0" borderId="7" xfId="2" applyFont="1" applyBorder="1" applyAlignment="1">
      <alignment horizontal="center" vertical="center" wrapText="1"/>
    </xf>
    <xf numFmtId="4" fontId="71" fillId="0" borderId="7" xfId="0" applyNumberFormat="1" applyFont="1" applyBorder="1" applyAlignment="1">
      <alignment horizontal="center" vertical="center" wrapText="1"/>
    </xf>
    <xf numFmtId="2" fontId="68" fillId="2" borderId="43" xfId="2" applyNumberFormat="1" applyFont="1" applyFill="1" applyBorder="1" applyAlignment="1">
      <alignment horizontal="center" vertical="center" wrapText="1"/>
    </xf>
    <xf numFmtId="1" fontId="68" fillId="2" borderId="6" xfId="2" applyNumberFormat="1" applyFont="1" applyFill="1" applyBorder="1" applyAlignment="1">
      <alignment horizontal="center" vertical="center" wrapText="1"/>
    </xf>
    <xf numFmtId="0" fontId="65" fillId="5" borderId="0" xfId="2" applyFont="1" applyFill="1" applyAlignment="1">
      <alignment wrapText="1"/>
    </xf>
    <xf numFmtId="17" fontId="68" fillId="5" borderId="1" xfId="2" quotePrefix="1" applyNumberFormat="1" applyFont="1" applyFill="1" applyBorder="1" applyAlignment="1">
      <alignment horizontal="center" vertical="center" wrapText="1"/>
    </xf>
    <xf numFmtId="0" fontId="68" fillId="0" borderId="7" xfId="2" applyFont="1" applyBorder="1" applyAlignment="1">
      <alignment horizontal="left" vertical="top" wrapText="1"/>
    </xf>
    <xf numFmtId="0" fontId="53" fillId="0" borderId="0" xfId="2" applyFont="1" applyAlignment="1">
      <alignment wrapText="1"/>
    </xf>
    <xf numFmtId="0" fontId="68" fillId="9" borderId="29" xfId="2" applyFont="1" applyFill="1" applyBorder="1" applyAlignment="1">
      <alignment horizontal="center" vertical="center" wrapText="1"/>
    </xf>
    <xf numFmtId="0" fontId="68" fillId="9" borderId="19" xfId="2" applyFont="1" applyFill="1" applyBorder="1" applyAlignment="1">
      <alignment horizontal="right" vertical="center" wrapText="1"/>
    </xf>
    <xf numFmtId="0" fontId="68" fillId="9" borderId="19" xfId="2" applyFont="1" applyFill="1" applyBorder="1" applyAlignment="1">
      <alignment horizontal="center" vertical="center" wrapText="1"/>
    </xf>
    <xf numFmtId="4" fontId="70" fillId="9" borderId="19" xfId="2" applyNumberFormat="1" applyFont="1" applyFill="1" applyBorder="1" applyAlignment="1">
      <alignment horizontal="right" vertical="center" wrapText="1"/>
    </xf>
    <xf numFmtId="4" fontId="70" fillId="9" borderId="19" xfId="2" applyNumberFormat="1" applyFont="1" applyFill="1" applyBorder="1" applyAlignment="1">
      <alignment horizontal="center" vertical="center" wrapText="1"/>
    </xf>
    <xf numFmtId="0" fontId="65" fillId="4" borderId="16" xfId="2" applyFont="1" applyFill="1" applyBorder="1" applyAlignment="1">
      <alignment horizontal="right" vertical="center" wrapText="1"/>
    </xf>
    <xf numFmtId="2" fontId="65" fillId="4" borderId="17" xfId="2" applyNumberFormat="1" applyFont="1" applyFill="1" applyBorder="1" applyAlignment="1">
      <alignment horizontal="right" vertical="center" wrapText="1"/>
    </xf>
    <xf numFmtId="0" fontId="9" fillId="7" borderId="0" xfId="2" applyFill="1" applyAlignment="1">
      <alignment wrapText="1"/>
    </xf>
    <xf numFmtId="2" fontId="68" fillId="2" borderId="7" xfId="2" applyNumberFormat="1" applyFont="1" applyFill="1" applyBorder="1" applyAlignment="1">
      <alignment horizontal="center" vertical="center" wrapText="1"/>
    </xf>
    <xf numFmtId="0" fontId="72" fillId="0" borderId="0" xfId="2" applyFont="1" applyAlignment="1">
      <alignment horizontal="center" vertical="center" wrapText="1"/>
    </xf>
    <xf numFmtId="0" fontId="73" fillId="0" borderId="0" xfId="2" applyFont="1" applyAlignment="1">
      <alignment wrapText="1"/>
    </xf>
    <xf numFmtId="166" fontId="63" fillId="0" borderId="0" xfId="0" applyNumberFormat="1" applyFont="1" applyAlignment="1">
      <alignment horizontal="left" vertical="top" wrapText="1"/>
    </xf>
    <xf numFmtId="0" fontId="63" fillId="0" borderId="0" xfId="0" applyFont="1" applyAlignment="1">
      <alignment horizontal="left" vertical="top" wrapText="1"/>
    </xf>
    <xf numFmtId="0" fontId="63" fillId="0" borderId="0" xfId="0" applyFont="1"/>
    <xf numFmtId="1" fontId="58" fillId="0" borderId="0" xfId="28" quotePrefix="1" applyNumberFormat="1" applyFont="1" applyAlignment="1">
      <alignment horizontal="left" vertical="center" wrapText="1"/>
    </xf>
    <xf numFmtId="0" fontId="63" fillId="0" borderId="0" xfId="0" applyFont="1" applyAlignment="1">
      <alignment horizontal="left"/>
    </xf>
    <xf numFmtId="49" fontId="58" fillId="0" borderId="0" xfId="28" applyNumberFormat="1" applyFont="1" applyAlignment="1">
      <alignment horizontal="left" vertical="top" wrapText="1"/>
    </xf>
    <xf numFmtId="49" fontId="58" fillId="0" borderId="0" xfId="28" applyNumberFormat="1" applyFont="1" applyAlignment="1">
      <alignment horizontal="left" vertical="center" wrapText="1"/>
    </xf>
    <xf numFmtId="49" fontId="58" fillId="0" borderId="0" xfId="28" applyNumberFormat="1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8" fillId="0" borderId="0" xfId="2" applyFont="1"/>
    <xf numFmtId="0" fontId="23" fillId="0" borderId="0" xfId="2" applyFont="1" applyAlignment="1">
      <alignment horizontal="center" vertical="center" wrapText="1"/>
    </xf>
    <xf numFmtId="0" fontId="20" fillId="9" borderId="21" xfId="2" applyFont="1" applyFill="1" applyBorder="1" applyAlignment="1">
      <alignment horizontal="center" vertical="center" wrapText="1"/>
    </xf>
    <xf numFmtId="0" fontId="18" fillId="9" borderId="26" xfId="2" applyFont="1" applyFill="1" applyBorder="1" applyAlignment="1">
      <alignment horizontal="center"/>
    </xf>
    <xf numFmtId="0" fontId="20" fillId="9" borderId="22" xfId="2" applyFont="1" applyFill="1" applyBorder="1" applyAlignment="1">
      <alignment horizontal="center" vertical="center"/>
    </xf>
    <xf numFmtId="0" fontId="18" fillId="9" borderId="27" xfId="2" applyFont="1" applyFill="1" applyBorder="1"/>
    <xf numFmtId="0" fontId="20" fillId="9" borderId="27" xfId="2" applyFont="1" applyFill="1" applyBorder="1" applyAlignment="1">
      <alignment horizontal="center" vertical="center"/>
    </xf>
    <xf numFmtId="0" fontId="20" fillId="9" borderId="22" xfId="2" applyFont="1" applyFill="1" applyBorder="1" applyAlignment="1">
      <alignment horizontal="center" vertical="center" wrapText="1"/>
    </xf>
    <xf numFmtId="4" fontId="20" fillId="9" borderId="22" xfId="2" applyNumberFormat="1" applyFont="1" applyFill="1" applyBorder="1" applyAlignment="1">
      <alignment horizontal="center" vertical="center" wrapText="1"/>
    </xf>
    <xf numFmtId="4" fontId="20" fillId="9" borderId="27" xfId="2" applyNumberFormat="1" applyFont="1" applyFill="1" applyBorder="1" applyAlignment="1">
      <alignment horizontal="center" vertical="center" wrapText="1"/>
    </xf>
    <xf numFmtId="0" fontId="20" fillId="9" borderId="23" xfId="2" applyFont="1" applyFill="1" applyBorder="1" applyAlignment="1">
      <alignment horizontal="center" vertical="center" wrapText="1"/>
    </xf>
    <xf numFmtId="0" fontId="18" fillId="9" borderId="24" xfId="2" applyFont="1" applyFill="1" applyBorder="1"/>
    <xf numFmtId="0" fontId="28" fillId="9" borderId="23" xfId="2" applyFont="1" applyFill="1" applyBorder="1" applyAlignment="1">
      <alignment horizontal="center" vertical="center" wrapText="1"/>
    </xf>
    <xf numFmtId="0" fontId="26" fillId="9" borderId="24" xfId="2" applyFont="1" applyFill="1" applyBorder="1" applyAlignment="1">
      <alignment horizontal="center"/>
    </xf>
    <xf numFmtId="0" fontId="20" fillId="9" borderId="25" xfId="2" applyFont="1" applyFill="1" applyBorder="1" applyAlignment="1">
      <alignment horizontal="center" vertical="center" wrapText="1"/>
    </xf>
    <xf numFmtId="0" fontId="18" fillId="9" borderId="28" xfId="2" applyFont="1" applyFill="1" applyBorder="1"/>
    <xf numFmtId="49" fontId="58" fillId="2" borderId="0" xfId="28" applyNumberFormat="1" applyFont="1" applyFill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6" fillId="0" borderId="0" xfId="3" applyFont="1" applyAlignment="1">
      <alignment horizontal="right" wrapText="1"/>
    </xf>
    <xf numFmtId="0" fontId="10" fillId="0" borderId="0" xfId="2" applyFont="1" applyAlignment="1">
      <alignment horizontal="left" vertical="center"/>
    </xf>
    <xf numFmtId="0" fontId="11" fillId="0" borderId="0" xfId="2" applyFont="1"/>
    <xf numFmtId="0" fontId="12" fillId="0" borderId="0" xfId="3" applyFont="1" applyAlignment="1">
      <alignment horizontal="right" wrapText="1"/>
    </xf>
    <xf numFmtId="0" fontId="13" fillId="0" borderId="0" xfId="3" applyFont="1" applyAlignment="1">
      <alignment horizontal="right" wrapText="1"/>
    </xf>
    <xf numFmtId="0" fontId="74" fillId="10" borderId="21" xfId="2" applyFont="1" applyFill="1" applyBorder="1" applyAlignment="1">
      <alignment horizontal="center" vertical="center" wrapText="1"/>
    </xf>
    <xf numFmtId="0" fontId="74" fillId="10" borderId="22" xfId="2" applyFont="1" applyFill="1" applyBorder="1" applyAlignment="1">
      <alignment horizontal="center" vertical="center" wrapText="1"/>
    </xf>
    <xf numFmtId="0" fontId="74" fillId="10" borderId="23" xfId="2" applyFont="1" applyFill="1" applyBorder="1" applyAlignment="1">
      <alignment horizontal="center" vertical="center" wrapText="1"/>
    </xf>
    <xf numFmtId="0" fontId="75" fillId="10" borderId="24" xfId="2" applyFont="1" applyFill="1" applyBorder="1" applyAlignment="1">
      <alignment wrapText="1"/>
    </xf>
    <xf numFmtId="0" fontId="75" fillId="10" borderId="26" xfId="2" applyFont="1" applyFill="1" applyBorder="1" applyAlignment="1">
      <alignment horizontal="center" wrapText="1"/>
    </xf>
    <xf numFmtId="0" fontId="75" fillId="10" borderId="27" xfId="2" applyFont="1" applyFill="1" applyBorder="1" applyAlignment="1">
      <alignment wrapText="1"/>
    </xf>
    <xf numFmtId="0" fontId="74" fillId="10" borderId="20" xfId="2" applyFont="1" applyFill="1" applyBorder="1" applyAlignment="1">
      <alignment horizontal="center" vertical="center" wrapText="1"/>
    </xf>
  </cellXfs>
  <cellStyles count="35">
    <cellStyle name="Excel Built-in Normal" xfId="5"/>
    <cellStyle name="Excel Built-in Normal 2" xfId="14"/>
    <cellStyle name="Звичайний" xfId="0" builtinId="0"/>
    <cellStyle name="Звичайний 2" xfId="3"/>
    <cellStyle name="Звичайний 2 2" xfId="11"/>
    <cellStyle name="Звичайний 3 10" xfId="9"/>
    <cellStyle name="Звичайний 3 10 2" xfId="20"/>
    <cellStyle name="Звичайний 3 10 3" xfId="26"/>
    <cellStyle name="Звичайний 3 10 4" xfId="28"/>
    <cellStyle name="Звичайний 3 10 4 2" xfId="30"/>
    <cellStyle name="Звичайний 3 10 4 3" xfId="32"/>
    <cellStyle name="Звичайний 3 10 4 4" xfId="34"/>
    <cellStyle name="Обычный 2" xfId="13"/>
    <cellStyle name="Обычный 2 12" xfId="8"/>
    <cellStyle name="Обычный 2 12 2" xfId="19"/>
    <cellStyle name="Обычный 2 12 3" xfId="25"/>
    <cellStyle name="Обычный 2 12 4" xfId="27"/>
    <cellStyle name="Обычный 2 12 4 2" xfId="29"/>
    <cellStyle name="Обычный 2 12 4 3" xfId="31"/>
    <cellStyle name="Обычный 2 12 4 4" xfId="33"/>
    <cellStyle name="Обычный 2 2" xfId="4"/>
    <cellStyle name="Обычный 2 2 2" xfId="12"/>
    <cellStyle name="Обычный 2 2 3" xfId="6"/>
    <cellStyle name="Обычный 2 2 3 2" xfId="16"/>
    <cellStyle name="Обычный 2 3" xfId="21"/>
    <cellStyle name="Обычный 3 3" xfId="2"/>
    <cellStyle name="Обычный 3 3 2" xfId="10"/>
    <cellStyle name="Процентный 2" xfId="7"/>
    <cellStyle name="Процентный 2 2" xfId="17"/>
    <cellStyle name="Процентный 2 2 2" xfId="24"/>
    <cellStyle name="Процентный 3" xfId="18"/>
    <cellStyle name="Финансовый 2" xfId="15"/>
    <cellStyle name="Финансовый 2 2" xfId="22"/>
    <cellStyle name="Финансовый 2 3" xfId="23"/>
    <cellStyle name="Фінансовий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AppData\Local\Temp\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leonora\Downloads\STL\&#1055;&#1041;&#1060;%20&#1043;&#1088;&#1091;&#1087;\4.%20&#1044;&#1043;&#1058;5\&#1040;&#1042;&#1056;%20&#1044;&#1043;070317\&#1040;&#1042;&#1056;%203_08.2017_&#1044;&#1043;0703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knysh\AppData\Local\Temp\&#1074;&#1091;&#1083;.&#1042;&#1086;&#1089;&#1082;&#1088;&#1077;&#1089;&#1077;&#1085;&#1089;&#1100;&#1082;&#1072;%207,%20&#1073;&#1091;&#1076;.1%20-%20&#1074;&#1085;&#1091;&#1090;&#1088;&#1110;&#1096;&#1085;&#1110;%20&#1110;&#1085;&#1078;.&#1089;&#1080;&#1089;&#1090;&#1077;&#1084;&#1080;%20-%20&#1079;&#1074;&#1077;&#1076;&#1077;&#1085;&#1072;%20&#1087;&#1088;&#1086;&#1087;&#1086;&#1079;&#1080;&#1094;&#1110;&#1103;%20&#1058;&#1056;&#1045;&#1050;&#1057;_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Users/Admin/AppData/Local/Temp/!!!%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as1/koshtorys/&#1089;&#1082;&#1072;&#1085;-&#1082;&#1086;&#1087;&#1080;&#1080;/&#1055;&#1086;&#1079;&#1085;&#1103;&#1082;&#1080;/&#1044;&#1054;&#1052;%204/&#1041;&#1102;&#1076;&#1078;&#1077;&#1090;%20&#1043;&#1045;&#1053;&#1055;&#1054;&#1044;&#1056;&#1071;&#1044;/&#1041;&#1102;&#1076;&#1078;&#1077;&#1090;%20&#1055;&#1047;&#1053;_4%20&#1050;&#1054;&#1056;&#1048;&#1043;&#1059;&#1042;&#1040;&#1053;&#1053;&#1071;%20(12.02.18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L\&#1055;&#1041;&#1060;%20&#1043;&#1088;&#1091;&#1087;\7.%20Svitlopark\&#1040;&#1042;&#1056;_&#1057;&#1055;160818_Svitlopark\&#1040;&#1082;&#1090;&#1080;%202_&#1078;&#1073;123_1,04_SvitloPark_06.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41;&#1060;%20&#1043;&#1088;&#1091;&#1087;\&#1053;&#1072;%20&#1087;&#1086;&#1076;&#1087;&#1080;&#1089;&#1100;%20&#1087;&#1083;&#1086;&#1097;&#1072;&#1076;&#1082;&#1077;\&#1040;&#1082;&#1090;%2039_&#1084;&#1086;&#1085;&#1086;&#1083;&#1080;&#1090;_1.2018_&#1044;&#1043;070317_&#1044;&#1043;&#1058;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ig-fs02/Documents%20and%20Settings/user/&#1056;&#1072;&#1073;&#1086;&#1095;&#1080;&#1081;%20&#1089;&#1090;&#1086;&#1083;/&#1053;&#1040;&#1058;&#1040;&#1051;&#1030;&#1071;/&#1053;&#1040;&#1058;&#1040;&#1051;&#1048;&#1071;/&#1055;&#1056;&#1048;&#1050;&#1051;&#1040;&#1044;&#1048;%20&#1041;&#1070;&#1044;&#1046;&#1045;&#1058;&#1030;&#1042;/&#1047;&#1084;.6_&#1041;&#1102;&#1076;&#1078;&#1077;&#1090;%20&#1044;&#1043;&#1058;&#8470;3_18.11%20(version%2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leonora\Downloads\Documents%20and%20Settings\Admin\&#1052;&#1086;&#1080;%20&#1076;&#1086;&#1082;&#1091;&#1084;&#1077;&#1085;&#1090;&#1099;\Downloads\&#1053;&#1086;&#1074;&#1072;&#1103;%20&#1087;&#1072;&#1087;&#1082;&#1072;\&#1040;&#1082;&#1090;%2074_&#1082;&#1083;&#1072;&#1076;&#1082;&#1072;_05.2018_&#1044;&#1043;070317_&#1044;&#1043;&#1058;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L\&#1055;&#1041;&#1060;%20&#1043;&#1088;&#1091;&#1087;\7.%20Svitlopark\&#1055;&#1086;&#1075;&#1086;&#1076;&#1078;&#1077;&#1085;&#1085;&#1103;\&#1055;&#1086;&#1082;&#1088;&#1110;&#1074;&#1083;&#1103;\&#1058;&#1054;&#1042;%20&#1055;&#1041;&#1060;%20&#1043;&#1056;&#1059;&#1055;_&#1044;&#1062;_2%20848%20243,91%20&#1075;&#1088;&#1085;_10.06.2019_&#1082;&#1088;&#1086;&#1074;&#1083;&#1103;%20&#1076;.3_SvitloPa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 xml:space="preserve">Дріт сталевий Ø1,2 мм (Рах.КИФ369 від 30.05.17 р.) 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к-С"/>
      <sheetName val="ВК+ВКН"/>
      <sheetName val="Опалення"/>
    </sheetNames>
    <sheetDataSet>
      <sheetData sheetId="0"/>
      <sheetData sheetId="1">
        <row r="13">
          <cell r="I13">
            <v>18559.86</v>
          </cell>
        </row>
      </sheetData>
      <sheetData sheetId="2">
        <row r="33">
          <cell r="I33">
            <v>614920.59120000002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 xml:space="preserve">Дріт сталевий Ø1,2 мм 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 xml:space="preserve">Дріт сталевий Ø1,2 мм (Рах.КИФ369 від 30.05.17 р.) 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 refreshError="1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 xml:space="preserve">Мембрана дренажна </v>
          </cell>
        </row>
        <row r="49">
          <cell r="B49" t="str">
            <v xml:space="preserve"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 xml:space="preserve"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 xml:space="preserve"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 refreshError="1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 xml:space="preserve">Праймер бітумний 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5"/>
  <sheetViews>
    <sheetView tabSelected="1" view="pageBreakPreview" zoomScaleSheetLayoutView="100" workbookViewId="0">
      <selection activeCell="H25" sqref="H25"/>
    </sheetView>
  </sheetViews>
  <sheetFormatPr defaultColWidth="12.5546875" defaultRowHeight="14.4"/>
  <cols>
    <col min="1" max="1" width="7.44140625" style="316" customWidth="1"/>
    <col min="2" max="2" width="53.44140625" style="315" customWidth="1"/>
    <col min="3" max="3" width="7.5546875" style="315" customWidth="1"/>
    <col min="4" max="4" width="11.109375" style="315" customWidth="1"/>
    <col min="5" max="5" width="11.44140625" style="317" customWidth="1"/>
    <col min="6" max="6" width="15.88671875" style="315" customWidth="1"/>
    <col min="7" max="16384" width="12.5546875" style="315"/>
  </cols>
  <sheetData>
    <row r="1" spans="1:6" ht="21">
      <c r="A1" s="348" t="s">
        <v>212</v>
      </c>
      <c r="B1" s="349"/>
      <c r="C1" s="349"/>
      <c r="D1" s="349"/>
      <c r="E1" s="349"/>
      <c r="F1" s="349"/>
    </row>
    <row r="2" spans="1:6" ht="15" thickBot="1">
      <c r="A2" s="321"/>
      <c r="B2" s="338"/>
      <c r="C2" s="338"/>
      <c r="D2" s="338"/>
      <c r="E2" s="320"/>
      <c r="F2" s="338"/>
    </row>
    <row r="3" spans="1:6" ht="25.5" customHeight="1">
      <c r="A3" s="382" t="s">
        <v>3</v>
      </c>
      <c r="B3" s="383" t="s">
        <v>4</v>
      </c>
      <c r="C3" s="383" t="s">
        <v>6</v>
      </c>
      <c r="D3" s="383" t="s">
        <v>8</v>
      </c>
      <c r="E3" s="384" t="s">
        <v>9</v>
      </c>
      <c r="F3" s="385"/>
    </row>
    <row r="4" spans="1:6" ht="15" thickBot="1">
      <c r="A4" s="386"/>
      <c r="B4" s="387"/>
      <c r="C4" s="387"/>
      <c r="D4" s="387"/>
      <c r="E4" s="388" t="s">
        <v>12</v>
      </c>
      <c r="F4" s="388" t="s">
        <v>13</v>
      </c>
    </row>
    <row r="5" spans="1:6" s="318" customFormat="1">
      <c r="A5" s="322" t="s">
        <v>15</v>
      </c>
      <c r="B5" s="323">
        <v>2</v>
      </c>
      <c r="C5" s="323">
        <v>3</v>
      </c>
      <c r="D5" s="323">
        <v>4</v>
      </c>
      <c r="E5" s="324">
        <v>5</v>
      </c>
      <c r="F5" s="324">
        <v>6</v>
      </c>
    </row>
    <row r="6" spans="1:6">
      <c r="A6" s="325"/>
      <c r="B6" s="326" t="s">
        <v>192</v>
      </c>
      <c r="C6" s="344"/>
      <c r="D6" s="345"/>
      <c r="E6" s="327"/>
      <c r="F6" s="328"/>
    </row>
    <row r="7" spans="1:6" s="319" customFormat="1">
      <c r="A7" s="333"/>
      <c r="B7" s="336" t="s">
        <v>211</v>
      </c>
      <c r="C7" s="335"/>
      <c r="D7" s="335"/>
      <c r="E7" s="329"/>
      <c r="F7" s="335"/>
    </row>
    <row r="8" spans="1:6" s="319" customFormat="1" ht="26.4">
      <c r="A8" s="334">
        <v>1</v>
      </c>
      <c r="B8" s="337" t="s">
        <v>193</v>
      </c>
      <c r="C8" s="331" t="s">
        <v>125</v>
      </c>
      <c r="D8" s="347">
        <v>3.75</v>
      </c>
      <c r="E8" s="332">
        <v>1260</v>
      </c>
      <c r="F8" s="330">
        <f>D8*E8</f>
        <v>4725</v>
      </c>
    </row>
    <row r="9" spans="1:6" s="319" customFormat="1" ht="26.4">
      <c r="A9" s="334">
        <v>2</v>
      </c>
      <c r="B9" s="337" t="s">
        <v>194</v>
      </c>
      <c r="C9" s="331" t="s">
        <v>19</v>
      </c>
      <c r="D9" s="347">
        <v>148.15</v>
      </c>
      <c r="E9" s="332">
        <v>21</v>
      </c>
      <c r="F9" s="330">
        <f t="shared" ref="F9:F23" si="0">D9*E9</f>
        <v>3111.15</v>
      </c>
    </row>
    <row r="10" spans="1:6" s="319" customFormat="1" ht="39.6">
      <c r="A10" s="334">
        <v>3</v>
      </c>
      <c r="B10" s="337" t="s">
        <v>195</v>
      </c>
      <c r="C10" s="331" t="s">
        <v>205</v>
      </c>
      <c r="D10" s="347">
        <v>4</v>
      </c>
      <c r="E10" s="332">
        <v>168</v>
      </c>
      <c r="F10" s="330">
        <f t="shared" si="0"/>
        <v>672</v>
      </c>
    </row>
    <row r="11" spans="1:6" s="319" customFormat="1" ht="26.4">
      <c r="A11" s="334">
        <v>4</v>
      </c>
      <c r="B11" s="337" t="s">
        <v>208</v>
      </c>
      <c r="C11" s="331"/>
      <c r="D11" s="347">
        <v>4</v>
      </c>
      <c r="E11" s="332">
        <v>126</v>
      </c>
      <c r="F11" s="330">
        <f t="shared" si="0"/>
        <v>504</v>
      </c>
    </row>
    <row r="12" spans="1:6" s="319" customFormat="1" ht="16.95" customHeight="1">
      <c r="A12" s="334">
        <v>5</v>
      </c>
      <c r="B12" s="337" t="s">
        <v>196</v>
      </c>
      <c r="C12" s="331" t="s">
        <v>205</v>
      </c>
      <c r="D12" s="347">
        <v>8</v>
      </c>
      <c r="E12" s="332">
        <v>249</v>
      </c>
      <c r="F12" s="330">
        <f t="shared" si="0"/>
        <v>1992</v>
      </c>
    </row>
    <row r="13" spans="1:6" s="319" customFormat="1">
      <c r="A13" s="334">
        <v>6</v>
      </c>
      <c r="B13" s="337" t="s">
        <v>207</v>
      </c>
      <c r="C13" s="331" t="s">
        <v>25</v>
      </c>
      <c r="D13" s="347">
        <v>45</v>
      </c>
      <c r="E13" s="332">
        <v>101</v>
      </c>
      <c r="F13" s="330">
        <f t="shared" si="0"/>
        <v>4545</v>
      </c>
    </row>
    <row r="14" spans="1:6" s="319" customFormat="1">
      <c r="A14" s="334">
        <v>7</v>
      </c>
      <c r="B14" s="337" t="s">
        <v>209</v>
      </c>
      <c r="C14" s="331" t="s">
        <v>18</v>
      </c>
      <c r="D14" s="347">
        <v>2.58</v>
      </c>
      <c r="E14" s="332">
        <v>126</v>
      </c>
      <c r="F14" s="330">
        <f t="shared" si="0"/>
        <v>325.08</v>
      </c>
    </row>
    <row r="15" spans="1:6" s="319" customFormat="1">
      <c r="A15" s="334">
        <v>8</v>
      </c>
      <c r="B15" s="337" t="s">
        <v>210</v>
      </c>
      <c r="C15" s="331" t="s">
        <v>18</v>
      </c>
      <c r="D15" s="347">
        <v>7.99</v>
      </c>
      <c r="E15" s="332">
        <v>353</v>
      </c>
      <c r="F15" s="330">
        <f t="shared" si="0"/>
        <v>2820.4700000000003</v>
      </c>
    </row>
    <row r="16" spans="1:6" s="319" customFormat="1" ht="26.4">
      <c r="A16" s="334">
        <v>9</v>
      </c>
      <c r="B16" s="337" t="s">
        <v>197</v>
      </c>
      <c r="C16" s="331" t="s">
        <v>18</v>
      </c>
      <c r="D16" s="347">
        <v>9.41</v>
      </c>
      <c r="E16" s="332">
        <v>353</v>
      </c>
      <c r="F16" s="330">
        <f t="shared" si="0"/>
        <v>3321.73</v>
      </c>
    </row>
    <row r="17" spans="1:6" s="319" customFormat="1">
      <c r="A17" s="334">
        <v>10</v>
      </c>
      <c r="B17" s="337" t="s">
        <v>198</v>
      </c>
      <c r="C17" s="331" t="s">
        <v>18</v>
      </c>
      <c r="D17" s="347">
        <v>10.79</v>
      </c>
      <c r="E17" s="332">
        <v>42</v>
      </c>
      <c r="F17" s="330">
        <f t="shared" si="0"/>
        <v>453.17999999999995</v>
      </c>
    </row>
    <row r="18" spans="1:6" s="319" customFormat="1" ht="16.95" customHeight="1">
      <c r="A18" s="334">
        <v>11</v>
      </c>
      <c r="B18" s="337" t="s">
        <v>199</v>
      </c>
      <c r="C18" s="331" t="s">
        <v>19</v>
      </c>
      <c r="D18" s="347">
        <v>147.44</v>
      </c>
      <c r="E18" s="332">
        <v>42</v>
      </c>
      <c r="F18" s="330">
        <f t="shared" si="0"/>
        <v>6192.48</v>
      </c>
    </row>
    <row r="19" spans="1:6" s="319" customFormat="1" ht="25.2" customHeight="1">
      <c r="A19" s="334">
        <v>12</v>
      </c>
      <c r="B19" s="337" t="s">
        <v>200</v>
      </c>
      <c r="C19" s="331" t="s">
        <v>125</v>
      </c>
      <c r="D19" s="347">
        <v>3.13</v>
      </c>
      <c r="E19" s="332">
        <v>2520</v>
      </c>
      <c r="F19" s="330">
        <f t="shared" si="0"/>
        <v>7887.5999999999995</v>
      </c>
    </row>
    <row r="20" spans="1:6" s="319" customFormat="1" ht="26.4">
      <c r="A20" s="334">
        <v>13</v>
      </c>
      <c r="B20" s="337" t="s">
        <v>201</v>
      </c>
      <c r="C20" s="331" t="s">
        <v>206</v>
      </c>
      <c r="D20" s="347">
        <v>18.2</v>
      </c>
      <c r="E20" s="332">
        <v>101</v>
      </c>
      <c r="F20" s="330">
        <f t="shared" si="0"/>
        <v>1838.1999999999998</v>
      </c>
    </row>
    <row r="21" spans="1:6" s="319" customFormat="1" ht="17.399999999999999" customHeight="1">
      <c r="A21" s="334">
        <v>14</v>
      </c>
      <c r="B21" s="337" t="s">
        <v>202</v>
      </c>
      <c r="C21" s="331" t="s">
        <v>18</v>
      </c>
      <c r="D21" s="347">
        <v>3.77</v>
      </c>
      <c r="E21" s="332">
        <v>210</v>
      </c>
      <c r="F21" s="330">
        <f t="shared" si="0"/>
        <v>791.7</v>
      </c>
    </row>
    <row r="22" spans="1:6" s="319" customFormat="1" ht="26.4">
      <c r="A22" s="334">
        <v>15</v>
      </c>
      <c r="B22" s="337" t="s">
        <v>203</v>
      </c>
      <c r="C22" s="331" t="s">
        <v>18</v>
      </c>
      <c r="D22" s="347">
        <v>14.63</v>
      </c>
      <c r="E22" s="332">
        <v>126</v>
      </c>
      <c r="F22" s="330">
        <f t="shared" si="0"/>
        <v>1843.38</v>
      </c>
    </row>
    <row r="23" spans="1:6" s="319" customFormat="1" ht="27" thickBot="1">
      <c r="A23" s="334">
        <v>16</v>
      </c>
      <c r="B23" s="337" t="s">
        <v>204</v>
      </c>
      <c r="C23" s="331" t="s">
        <v>205</v>
      </c>
      <c r="D23" s="347">
        <v>8</v>
      </c>
      <c r="E23" s="332">
        <v>126</v>
      </c>
      <c r="F23" s="330">
        <f t="shared" si="0"/>
        <v>1008</v>
      </c>
    </row>
    <row r="24" spans="1:6">
      <c r="A24" s="339"/>
      <c r="B24" s="340" t="s">
        <v>136</v>
      </c>
      <c r="C24" s="341" t="s">
        <v>137</v>
      </c>
      <c r="D24" s="341"/>
      <c r="E24" s="342"/>
      <c r="F24" s="343">
        <f>SUM(F6:F23)</f>
        <v>42030.969999999994</v>
      </c>
    </row>
    <row r="25" spans="1:6">
      <c r="D25" s="346"/>
    </row>
  </sheetData>
  <autoFilter ref="A5:F24"/>
  <mergeCells count="6">
    <mergeCell ref="A1:F1"/>
    <mergeCell ref="A3:A4"/>
    <mergeCell ref="B3:B4"/>
    <mergeCell ref="C3:C4"/>
    <mergeCell ref="D3:D4"/>
    <mergeCell ref="E3:F3"/>
  </mergeCells>
  <printOptions horizontalCentered="1"/>
  <pageMargins left="0.78740157480314965" right="0.19685039370078741" top="0.31496062992125984" bottom="0.19685039370078741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40"/>
  <sheetViews>
    <sheetView view="pageBreakPreview" zoomScaleNormal="80" zoomScaleSheetLayoutView="100" workbookViewId="0">
      <selection activeCell="M394" sqref="M394"/>
    </sheetView>
  </sheetViews>
  <sheetFormatPr defaultColWidth="12.5546875" defaultRowHeight="15" customHeight="1"/>
  <cols>
    <col min="1" max="1" width="7.44140625" style="2" customWidth="1"/>
    <col min="2" max="2" width="53.44140625" style="1" customWidth="1"/>
    <col min="3" max="3" width="7.44140625" style="3" customWidth="1"/>
    <col min="4" max="4" width="7.5546875" style="1" customWidth="1"/>
    <col min="5" max="5" width="8.44140625" style="4" customWidth="1"/>
    <col min="6" max="6" width="11.109375" style="1" customWidth="1"/>
    <col min="7" max="7" width="11.44140625" style="132" customWidth="1"/>
    <col min="8" max="8" width="15.88671875" style="1" customWidth="1"/>
    <col min="9" max="9" width="11.88671875" style="133" customWidth="1"/>
    <col min="10" max="10" width="13.5546875" style="133" customWidth="1"/>
    <col min="11" max="11" width="19.88671875" style="1" customWidth="1"/>
    <col min="12" max="12" width="13.88671875" style="1" customWidth="1"/>
    <col min="13" max="13" width="17.88671875" style="1" customWidth="1"/>
    <col min="14" max="16384" width="12.5546875" style="1"/>
  </cols>
  <sheetData>
    <row r="1" spans="1:11" ht="15.6">
      <c r="A1" s="378" t="s">
        <v>0</v>
      </c>
      <c r="B1" s="379"/>
      <c r="C1" s="379"/>
      <c r="D1" s="379"/>
      <c r="E1" s="379"/>
      <c r="F1" s="379"/>
      <c r="G1" s="380" t="s">
        <v>189</v>
      </c>
      <c r="H1" s="380"/>
      <c r="I1" s="380"/>
      <c r="J1" s="380"/>
      <c r="K1" s="380"/>
    </row>
    <row r="2" spans="1:11" ht="15" customHeight="1">
      <c r="A2" s="378" t="s">
        <v>174</v>
      </c>
      <c r="B2" s="379"/>
      <c r="C2" s="379"/>
      <c r="D2" s="379"/>
      <c r="E2" s="379"/>
      <c r="F2" s="379"/>
      <c r="G2" s="381"/>
      <c r="H2" s="381"/>
      <c r="I2" s="381"/>
      <c r="J2" s="381"/>
      <c r="K2" s="381"/>
    </row>
    <row r="3" spans="1:11" ht="15" customHeight="1">
      <c r="G3" s="377"/>
      <c r="H3" s="377"/>
      <c r="I3" s="377"/>
      <c r="J3" s="377"/>
      <c r="K3" s="377"/>
    </row>
    <row r="4" spans="1:11" ht="15.75" customHeight="1">
      <c r="A4" s="376"/>
      <c r="B4" s="359"/>
      <c r="C4" s="359"/>
      <c r="D4" s="359"/>
      <c r="E4" s="359"/>
      <c r="F4" s="359"/>
      <c r="G4" s="377"/>
      <c r="H4" s="377"/>
      <c r="I4" s="377"/>
      <c r="J4" s="377"/>
      <c r="K4" s="377"/>
    </row>
    <row r="5" spans="1:11" ht="7.5" customHeight="1">
      <c r="A5" s="7"/>
      <c r="B5" s="5"/>
      <c r="C5" s="8"/>
      <c r="D5" s="5"/>
      <c r="E5" s="9"/>
      <c r="F5" s="5"/>
      <c r="G5" s="10"/>
      <c r="H5" s="11"/>
      <c r="I5" s="12"/>
      <c r="J5" s="12"/>
      <c r="K5" s="11"/>
    </row>
    <row r="6" spans="1:11" ht="18" customHeight="1">
      <c r="A6" s="358" t="s">
        <v>191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5" customHeight="1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30.75" customHeight="1">
      <c r="A8" s="360" t="s">
        <v>2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1" ht="15" customHeight="1" thickBot="1">
      <c r="A9" s="13"/>
      <c r="B9" s="6"/>
      <c r="C9" s="14"/>
      <c r="D9" s="6"/>
      <c r="F9" s="6"/>
      <c r="G9" s="15"/>
      <c r="H9" s="6"/>
      <c r="I9" s="16"/>
      <c r="J9" s="16"/>
      <c r="K9" s="17"/>
    </row>
    <row r="10" spans="1:11" ht="33.75" customHeight="1">
      <c r="A10" s="361" t="s">
        <v>3</v>
      </c>
      <c r="B10" s="363" t="s">
        <v>4</v>
      </c>
      <c r="C10" s="363" t="s">
        <v>5</v>
      </c>
      <c r="D10" s="366" t="s">
        <v>6</v>
      </c>
      <c r="E10" s="367" t="s">
        <v>7</v>
      </c>
      <c r="F10" s="363" t="s">
        <v>8</v>
      </c>
      <c r="G10" s="369" t="s">
        <v>9</v>
      </c>
      <c r="H10" s="370"/>
      <c r="I10" s="371" t="s">
        <v>10</v>
      </c>
      <c r="J10" s="372"/>
      <c r="K10" s="373" t="s">
        <v>11</v>
      </c>
    </row>
    <row r="11" spans="1:11" ht="25.5" customHeight="1" thickBot="1">
      <c r="A11" s="362"/>
      <c r="B11" s="364"/>
      <c r="C11" s="365"/>
      <c r="D11" s="364"/>
      <c r="E11" s="368"/>
      <c r="F11" s="364"/>
      <c r="G11" s="168" t="s">
        <v>12</v>
      </c>
      <c r="H11" s="168" t="s">
        <v>13</v>
      </c>
      <c r="I11" s="169" t="s">
        <v>12</v>
      </c>
      <c r="J11" s="169" t="s">
        <v>14</v>
      </c>
      <c r="K11" s="374"/>
    </row>
    <row r="12" spans="1:11" s="22" customFormat="1" ht="15" customHeight="1">
      <c r="A12" s="247" t="s">
        <v>15</v>
      </c>
      <c r="B12" s="300">
        <v>2</v>
      </c>
      <c r="C12" s="306"/>
      <c r="D12" s="307">
        <v>3</v>
      </c>
      <c r="E12" s="308"/>
      <c r="F12" s="300">
        <v>4</v>
      </c>
      <c r="G12" s="166">
        <v>5</v>
      </c>
      <c r="H12" s="166">
        <v>6</v>
      </c>
      <c r="I12" s="167">
        <v>7</v>
      </c>
      <c r="J12" s="167">
        <v>10</v>
      </c>
      <c r="K12" s="248">
        <v>11</v>
      </c>
    </row>
    <row r="13" spans="1:11" ht="15" hidden="1" customHeight="1">
      <c r="A13" s="249"/>
      <c r="B13" s="301" t="s">
        <v>26</v>
      </c>
      <c r="C13" s="301"/>
      <c r="D13" s="313"/>
      <c r="E13" s="314"/>
      <c r="F13" s="313"/>
      <c r="G13" s="39"/>
      <c r="H13" s="251"/>
      <c r="I13" s="40"/>
      <c r="J13" s="253"/>
      <c r="K13" s="254"/>
    </row>
    <row r="14" spans="1:11" ht="15" hidden="1" customHeight="1">
      <c r="A14" s="255"/>
      <c r="B14" s="24" t="s">
        <v>16</v>
      </c>
      <c r="C14" s="309"/>
      <c r="D14" s="310"/>
      <c r="E14" s="311"/>
      <c r="F14" s="312"/>
      <c r="G14" s="29"/>
      <c r="H14" s="51"/>
      <c r="I14" s="36"/>
      <c r="J14" s="52"/>
      <c r="K14" s="256"/>
    </row>
    <row r="15" spans="1:11" ht="25.5" hidden="1" customHeight="1">
      <c r="A15" s="257"/>
      <c r="B15" s="53" t="s">
        <v>27</v>
      </c>
      <c r="C15" s="53"/>
      <c r="D15" s="54"/>
      <c r="E15" s="55"/>
      <c r="F15" s="56"/>
      <c r="G15" s="57"/>
      <c r="H15" s="58"/>
      <c r="I15" s="59"/>
      <c r="J15" s="60"/>
      <c r="K15" s="258"/>
    </row>
    <row r="16" spans="1:11" ht="15" hidden="1" customHeight="1">
      <c r="A16" s="259" t="s">
        <v>15</v>
      </c>
      <c r="B16" s="61" t="s">
        <v>28</v>
      </c>
      <c r="C16" s="62" t="s">
        <v>29</v>
      </c>
      <c r="D16" s="63" t="s">
        <v>30</v>
      </c>
      <c r="E16" s="64"/>
      <c r="F16" s="65">
        <f>97.35+62.57+44.38</f>
        <v>204.29999999999998</v>
      </c>
      <c r="G16" s="32">
        <v>180</v>
      </c>
      <c r="H16" s="235">
        <f>F16*G16</f>
        <v>36774</v>
      </c>
      <c r="I16" s="33"/>
      <c r="J16" s="66"/>
      <c r="K16" s="260">
        <f>H16+J16</f>
        <v>36774</v>
      </c>
    </row>
    <row r="17" spans="1:12" s="45" customFormat="1" ht="15" hidden="1" customHeight="1">
      <c r="A17" s="259"/>
      <c r="B17" s="41" t="s">
        <v>31</v>
      </c>
      <c r="C17" s="62" t="s">
        <v>29</v>
      </c>
      <c r="D17" s="67" t="s">
        <v>25</v>
      </c>
      <c r="E17" s="64">
        <v>0.02</v>
      </c>
      <c r="F17" s="68">
        <f>E17*F16</f>
        <v>4.0859999999999994</v>
      </c>
      <c r="G17" s="32"/>
      <c r="H17" s="69"/>
      <c r="I17" s="33">
        <v>288.47499999999997</v>
      </c>
      <c r="J17" s="43">
        <f>F17*I17</f>
        <v>1178.7088499999998</v>
      </c>
      <c r="K17" s="261">
        <f>H17+J17</f>
        <v>1178.7088499999998</v>
      </c>
      <c r="L17" s="1"/>
    </row>
    <row r="18" spans="1:12" s="45" customFormat="1" ht="15" hidden="1" customHeight="1">
      <c r="A18" s="262">
        <f>A16+1</f>
        <v>2</v>
      </c>
      <c r="B18" s="61" t="s">
        <v>32</v>
      </c>
      <c r="C18" s="38" t="s">
        <v>20</v>
      </c>
      <c r="D18" s="63" t="s">
        <v>30</v>
      </c>
      <c r="E18" s="64"/>
      <c r="F18" s="65">
        <f>F16</f>
        <v>204.29999999999998</v>
      </c>
      <c r="G18" s="32">
        <v>200</v>
      </c>
      <c r="H18" s="235">
        <f>F18*G18</f>
        <v>40860</v>
      </c>
      <c r="I18" s="33"/>
      <c r="J18" s="66"/>
      <c r="K18" s="260">
        <f>H18+J18</f>
        <v>40860</v>
      </c>
      <c r="L18" s="1"/>
    </row>
    <row r="19" spans="1:12" s="44" customFormat="1" ht="25.5" hidden="1" customHeight="1">
      <c r="A19" s="259"/>
      <c r="B19" s="70" t="s">
        <v>172</v>
      </c>
      <c r="C19" s="38" t="s">
        <v>20</v>
      </c>
      <c r="D19" s="71" t="s">
        <v>21</v>
      </c>
      <c r="E19" s="64">
        <v>0.35</v>
      </c>
      <c r="F19" s="72">
        <f>F18*E19</f>
        <v>71.504999999999995</v>
      </c>
      <c r="G19" s="32"/>
      <c r="H19" s="236"/>
      <c r="I19" s="33">
        <v>122.50221999999999</v>
      </c>
      <c r="J19" s="73">
        <f>F19*I19</f>
        <v>8759.5212410999993</v>
      </c>
      <c r="K19" s="263">
        <f>H19+J19</f>
        <v>8759.5212410999993</v>
      </c>
      <c r="L19" s="1"/>
    </row>
    <row r="20" spans="1:12" s="44" customFormat="1" ht="15" hidden="1" customHeight="1">
      <c r="A20" s="259"/>
      <c r="B20" s="74" t="s">
        <v>34</v>
      </c>
      <c r="C20" s="38" t="s">
        <v>20</v>
      </c>
      <c r="D20" s="71" t="s">
        <v>21</v>
      </c>
      <c r="E20" s="64">
        <v>0.15</v>
      </c>
      <c r="F20" s="72">
        <f>F18*E20</f>
        <v>30.644999999999996</v>
      </c>
      <c r="G20" s="32"/>
      <c r="H20" s="236"/>
      <c r="I20" s="33">
        <v>37.450000000000003</v>
      </c>
      <c r="J20" s="73">
        <f>F20*I20</f>
        <v>1147.65525</v>
      </c>
      <c r="K20" s="263">
        <f>H20+J20</f>
        <v>1147.65525</v>
      </c>
      <c r="L20" s="1"/>
    </row>
    <row r="21" spans="1:12" s="45" customFormat="1" ht="15" hidden="1" customHeight="1">
      <c r="A21" s="257"/>
      <c r="B21" s="76"/>
      <c r="C21" s="77"/>
      <c r="D21" s="78"/>
      <c r="E21" s="79"/>
      <c r="F21" s="80"/>
      <c r="G21" s="32"/>
      <c r="H21" s="81"/>
      <c r="I21" s="33"/>
      <c r="J21" s="82"/>
      <c r="K21" s="264"/>
      <c r="L21" s="1"/>
    </row>
    <row r="22" spans="1:12" s="45" customFormat="1" ht="15" hidden="1" customHeight="1">
      <c r="A22" s="257"/>
      <c r="B22" s="53" t="s">
        <v>35</v>
      </c>
      <c r="C22" s="265"/>
      <c r="D22" s="266"/>
      <c r="E22" s="267"/>
      <c r="F22" s="266"/>
      <c r="G22" s="57"/>
      <c r="H22" s="266"/>
      <c r="I22" s="59"/>
      <c r="J22" s="268"/>
      <c r="K22" s="269"/>
      <c r="L22" s="1"/>
    </row>
    <row r="23" spans="1:12" s="45" customFormat="1" ht="15" hidden="1" customHeight="1">
      <c r="A23" s="270">
        <f>A18+1</f>
        <v>3</v>
      </c>
      <c r="B23" s="83" t="s">
        <v>36</v>
      </c>
      <c r="C23" s="19" t="s">
        <v>20</v>
      </c>
      <c r="D23" s="19" t="s">
        <v>30</v>
      </c>
      <c r="E23" s="69"/>
      <c r="F23" s="84">
        <v>199.95</v>
      </c>
      <c r="G23" s="32">
        <v>50</v>
      </c>
      <c r="H23" s="237">
        <f>F23*G23</f>
        <v>9997.5</v>
      </c>
      <c r="I23" s="33"/>
      <c r="J23" s="43"/>
      <c r="K23" s="271">
        <f t="shared" ref="K23:K30" si="0">H23+J23</f>
        <v>9997.5</v>
      </c>
      <c r="L23" s="1"/>
    </row>
    <row r="24" spans="1:12" s="44" customFormat="1" ht="15" hidden="1" customHeight="1">
      <c r="A24" s="272"/>
      <c r="B24" s="85" t="s">
        <v>37</v>
      </c>
      <c r="C24" s="19" t="s">
        <v>20</v>
      </c>
      <c r="D24" s="41" t="s">
        <v>19</v>
      </c>
      <c r="E24" s="21">
        <v>0.15</v>
      </c>
      <c r="F24" s="68">
        <f>E24*F23</f>
        <v>29.992499999999996</v>
      </c>
      <c r="G24" s="32"/>
      <c r="H24" s="238"/>
      <c r="I24" s="33">
        <v>37.81</v>
      </c>
      <c r="J24" s="43">
        <f>F24*I24</f>
        <v>1134.016425</v>
      </c>
      <c r="K24" s="273">
        <f t="shared" si="0"/>
        <v>1134.016425</v>
      </c>
      <c r="L24" s="1"/>
    </row>
    <row r="25" spans="1:12" s="45" customFormat="1" ht="15" customHeight="1">
      <c r="A25" s="274">
        <f>A23+1</f>
        <v>4</v>
      </c>
      <c r="B25" s="86" t="s">
        <v>38</v>
      </c>
      <c r="C25" s="69" t="s">
        <v>190</v>
      </c>
      <c r="D25" s="19" t="s">
        <v>30</v>
      </c>
      <c r="E25" s="69"/>
      <c r="F25" s="69">
        <f>F23</f>
        <v>199.95</v>
      </c>
      <c r="G25" s="32">
        <v>200</v>
      </c>
      <c r="H25" s="237">
        <f>F25*G25</f>
        <v>39990</v>
      </c>
      <c r="I25" s="33"/>
      <c r="J25" s="43"/>
      <c r="K25" s="271">
        <f t="shared" si="0"/>
        <v>39990</v>
      </c>
      <c r="L25" s="137"/>
    </row>
    <row r="26" spans="1:12" s="44" customFormat="1" ht="15" customHeight="1">
      <c r="A26" s="275"/>
      <c r="B26" s="87" t="s">
        <v>39</v>
      </c>
      <c r="C26" s="69" t="s">
        <v>190</v>
      </c>
      <c r="D26" s="41" t="s">
        <v>19</v>
      </c>
      <c r="E26" s="21">
        <v>5</v>
      </c>
      <c r="F26" s="34">
        <f>E26*F25</f>
        <v>999.75</v>
      </c>
      <c r="G26" s="32"/>
      <c r="H26" s="239"/>
      <c r="I26" s="33"/>
      <c r="J26" s="43">
        <f>F26*I26</f>
        <v>0</v>
      </c>
      <c r="K26" s="273">
        <f t="shared" si="0"/>
        <v>0</v>
      </c>
      <c r="L26" s="1"/>
    </row>
    <row r="27" spans="1:12" s="45" customFormat="1" ht="15" customHeight="1">
      <c r="A27" s="275"/>
      <c r="B27" s="88" t="s">
        <v>40</v>
      </c>
      <c r="C27" s="69" t="s">
        <v>190</v>
      </c>
      <c r="D27" s="88" t="s">
        <v>41</v>
      </c>
      <c r="E27" s="89">
        <v>1.05</v>
      </c>
      <c r="F27" s="34">
        <f>E27*F25</f>
        <v>209.94749999999999</v>
      </c>
      <c r="G27" s="32"/>
      <c r="H27" s="240"/>
      <c r="I27" s="33"/>
      <c r="J27" s="90">
        <f>F27*I27</f>
        <v>0</v>
      </c>
      <c r="K27" s="261">
        <f t="shared" si="0"/>
        <v>0</v>
      </c>
      <c r="L27" s="1"/>
    </row>
    <row r="28" spans="1:12" s="45" customFormat="1" ht="15" hidden="1" customHeight="1">
      <c r="A28" s="274">
        <f>A25+1</f>
        <v>5</v>
      </c>
      <c r="B28" s="61" t="s">
        <v>32</v>
      </c>
      <c r="C28" s="38" t="s">
        <v>20</v>
      </c>
      <c r="D28" s="38" t="s">
        <v>30</v>
      </c>
      <c r="E28" s="64"/>
      <c r="F28" s="97">
        <f>F23</f>
        <v>199.95</v>
      </c>
      <c r="G28" s="241">
        <v>200</v>
      </c>
      <c r="H28" s="235">
        <f>F28*G28</f>
        <v>39990</v>
      </c>
      <c r="I28" s="33"/>
      <c r="J28" s="66"/>
      <c r="K28" s="260">
        <f t="shared" si="0"/>
        <v>39990</v>
      </c>
      <c r="L28" s="1"/>
    </row>
    <row r="29" spans="1:12" s="44" customFormat="1" ht="15" hidden="1" customHeight="1">
      <c r="A29" s="275"/>
      <c r="B29" s="74" t="s">
        <v>173</v>
      </c>
      <c r="C29" s="19" t="s">
        <v>20</v>
      </c>
      <c r="D29" s="70" t="s">
        <v>21</v>
      </c>
      <c r="E29" s="64">
        <v>0.35</v>
      </c>
      <c r="F29" s="68">
        <f>E29*F28</f>
        <v>69.982499999999987</v>
      </c>
      <c r="G29" s="32"/>
      <c r="H29" s="236"/>
      <c r="I29" s="33">
        <v>122.50221999999999</v>
      </c>
      <c r="J29" s="73">
        <f>F29*I29</f>
        <v>8573.0116111499974</v>
      </c>
      <c r="K29" s="263">
        <f t="shared" si="0"/>
        <v>8573.0116111499974</v>
      </c>
      <c r="L29" s="1"/>
    </row>
    <row r="30" spans="1:12" s="44" customFormat="1" ht="15" hidden="1" customHeight="1">
      <c r="A30" s="276"/>
      <c r="B30" s="98" t="s">
        <v>37</v>
      </c>
      <c r="C30" s="19" t="s">
        <v>20</v>
      </c>
      <c r="D30" s="41" t="s">
        <v>19</v>
      </c>
      <c r="E30" s="21">
        <v>0.15</v>
      </c>
      <c r="F30" s="68">
        <f>E30*F28</f>
        <v>29.992499999999996</v>
      </c>
      <c r="G30" s="32"/>
      <c r="H30" s="238"/>
      <c r="I30" s="33">
        <v>37.81</v>
      </c>
      <c r="J30" s="43">
        <f>F30*I30</f>
        <v>1134.016425</v>
      </c>
      <c r="K30" s="273">
        <f t="shared" si="0"/>
        <v>1134.016425</v>
      </c>
      <c r="L30" s="1"/>
    </row>
    <row r="31" spans="1:12" s="45" customFormat="1" ht="15" hidden="1" customHeight="1">
      <c r="A31" s="276"/>
      <c r="B31" s="98"/>
      <c r="C31" s="20"/>
      <c r="D31" s="41"/>
      <c r="E31" s="21"/>
      <c r="F31" s="68"/>
      <c r="G31" s="32"/>
      <c r="H31" s="43"/>
      <c r="I31" s="33"/>
      <c r="J31" s="43"/>
      <c r="K31" s="273"/>
      <c r="L31" s="1"/>
    </row>
    <row r="32" spans="1:12" s="45" customFormat="1" ht="15" hidden="1" customHeight="1">
      <c r="A32" s="257"/>
      <c r="B32" s="53" t="s">
        <v>49</v>
      </c>
      <c r="C32" s="265"/>
      <c r="D32" s="266"/>
      <c r="E32" s="267"/>
      <c r="F32" s="266"/>
      <c r="G32" s="57"/>
      <c r="H32" s="266"/>
      <c r="I32" s="59"/>
      <c r="J32" s="268"/>
      <c r="K32" s="269"/>
      <c r="L32" s="1"/>
    </row>
    <row r="33" spans="1:12" s="45" customFormat="1" ht="15" hidden="1" customHeight="1">
      <c r="A33" s="277">
        <f>A28+1</f>
        <v>6</v>
      </c>
      <c r="B33" s="83" t="s">
        <v>50</v>
      </c>
      <c r="C33" s="19" t="s">
        <v>20</v>
      </c>
      <c r="D33" s="19" t="s">
        <v>30</v>
      </c>
      <c r="E33" s="69"/>
      <c r="F33" s="84">
        <f>62.11+77.37+15.47</f>
        <v>154.95000000000002</v>
      </c>
      <c r="G33" s="32">
        <v>50</v>
      </c>
      <c r="H33" s="237">
        <f>F33*G33</f>
        <v>7747.5000000000009</v>
      </c>
      <c r="I33" s="33"/>
      <c r="J33" s="43"/>
      <c r="K33" s="271">
        <f t="shared" ref="K33:K44" si="1">H33+J33</f>
        <v>7747.5000000000009</v>
      </c>
      <c r="L33" s="1"/>
    </row>
    <row r="34" spans="1:12" s="44" customFormat="1" ht="15" hidden="1" customHeight="1">
      <c r="A34" s="259"/>
      <c r="B34" s="85" t="s">
        <v>37</v>
      </c>
      <c r="C34" s="19" t="s">
        <v>20</v>
      </c>
      <c r="D34" s="41" t="s">
        <v>19</v>
      </c>
      <c r="E34" s="21">
        <v>0.15</v>
      </c>
      <c r="F34" s="68">
        <f>E34*F33</f>
        <v>23.242500000000003</v>
      </c>
      <c r="G34" s="32"/>
      <c r="H34" s="238"/>
      <c r="I34" s="33">
        <v>37.81</v>
      </c>
      <c r="J34" s="43">
        <f>F34*I34</f>
        <v>878.79892500000017</v>
      </c>
      <c r="K34" s="273">
        <f t="shared" si="1"/>
        <v>878.79892500000017</v>
      </c>
      <c r="L34" s="1"/>
    </row>
    <row r="35" spans="1:12" s="45" customFormat="1" ht="15" hidden="1" customHeight="1">
      <c r="A35" s="277">
        <f>A33+1</f>
        <v>7</v>
      </c>
      <c r="B35" s="243" t="s">
        <v>42</v>
      </c>
      <c r="C35" s="19" t="s">
        <v>17</v>
      </c>
      <c r="D35" s="18" t="s">
        <v>30</v>
      </c>
      <c r="E35" s="64"/>
      <c r="F35" s="92">
        <f>F33</f>
        <v>154.95000000000002</v>
      </c>
      <c r="G35" s="32">
        <v>280</v>
      </c>
      <c r="H35" s="237">
        <f>F35*G35</f>
        <v>43386.000000000007</v>
      </c>
      <c r="I35" s="33"/>
      <c r="J35" s="93"/>
      <c r="K35" s="271">
        <f t="shared" si="1"/>
        <v>43386.000000000007</v>
      </c>
      <c r="L35" s="35"/>
    </row>
    <row r="36" spans="1:12" s="44" customFormat="1" ht="15" hidden="1" customHeight="1">
      <c r="A36" s="257"/>
      <c r="B36" s="94" t="s">
        <v>43</v>
      </c>
      <c r="C36" s="19" t="s">
        <v>17</v>
      </c>
      <c r="D36" s="67" t="s">
        <v>19</v>
      </c>
      <c r="E36" s="64">
        <v>13</v>
      </c>
      <c r="F36" s="68">
        <f>E36*F35</f>
        <v>2014.3500000000001</v>
      </c>
      <c r="G36" s="32"/>
      <c r="H36" s="238"/>
      <c r="I36" s="33">
        <v>6.67</v>
      </c>
      <c r="J36" s="43">
        <f>F36*I36</f>
        <v>13435.7145</v>
      </c>
      <c r="K36" s="261">
        <f t="shared" si="1"/>
        <v>13435.7145</v>
      </c>
      <c r="L36" s="1"/>
    </row>
    <row r="37" spans="1:12" s="45" customFormat="1" ht="15" hidden="1" customHeight="1">
      <c r="A37" s="262">
        <f>A35+1</f>
        <v>8</v>
      </c>
      <c r="B37" s="83" t="s">
        <v>44</v>
      </c>
      <c r="C37" s="19" t="s">
        <v>20</v>
      </c>
      <c r="D37" s="18" t="s">
        <v>30</v>
      </c>
      <c r="E37" s="64"/>
      <c r="F37" s="92">
        <f>F35</f>
        <v>154.95000000000002</v>
      </c>
      <c r="G37" s="32">
        <v>50</v>
      </c>
      <c r="H37" s="237">
        <f>F37*G37</f>
        <v>7747.5000000000009</v>
      </c>
      <c r="I37" s="33"/>
      <c r="J37" s="93"/>
      <c r="K37" s="271">
        <f t="shared" si="1"/>
        <v>7747.5000000000009</v>
      </c>
      <c r="L37" s="1"/>
    </row>
    <row r="38" spans="1:12" s="44" customFormat="1" ht="15" hidden="1" customHeight="1">
      <c r="A38" s="257"/>
      <c r="B38" s="85" t="s">
        <v>45</v>
      </c>
      <c r="C38" s="19" t="s">
        <v>20</v>
      </c>
      <c r="D38" s="67" t="s">
        <v>19</v>
      </c>
      <c r="E38" s="64">
        <v>0.15</v>
      </c>
      <c r="F38" s="68">
        <f>E38*F37</f>
        <v>23.242500000000003</v>
      </c>
      <c r="G38" s="32"/>
      <c r="H38" s="238"/>
      <c r="I38" s="33">
        <v>28.087</v>
      </c>
      <c r="J38" s="43">
        <f>F38*I38</f>
        <v>652.81209750000005</v>
      </c>
      <c r="K38" s="261">
        <f t="shared" si="1"/>
        <v>652.81209750000005</v>
      </c>
      <c r="L38" s="1"/>
    </row>
    <row r="39" spans="1:12" s="45" customFormat="1" ht="15" hidden="1" customHeight="1">
      <c r="A39" s="262">
        <f>A37+1</f>
        <v>9</v>
      </c>
      <c r="B39" s="95" t="s">
        <v>187</v>
      </c>
      <c r="C39" s="19" t="s">
        <v>20</v>
      </c>
      <c r="D39" s="18" t="s">
        <v>30</v>
      </c>
      <c r="E39" s="64"/>
      <c r="F39" s="92">
        <f>F33</f>
        <v>154.95000000000002</v>
      </c>
      <c r="G39" s="32">
        <v>250</v>
      </c>
      <c r="H39" s="237">
        <f>F39*G39</f>
        <v>38737.500000000007</v>
      </c>
      <c r="I39" s="33"/>
      <c r="J39" s="43"/>
      <c r="K39" s="271">
        <f t="shared" si="1"/>
        <v>38737.500000000007</v>
      </c>
      <c r="L39" s="1"/>
    </row>
    <row r="40" spans="1:12" s="44" customFormat="1" ht="15" hidden="1" customHeight="1">
      <c r="A40" s="257"/>
      <c r="B40" s="96" t="s">
        <v>46</v>
      </c>
      <c r="C40" s="19" t="s">
        <v>20</v>
      </c>
      <c r="D40" s="67" t="s">
        <v>19</v>
      </c>
      <c r="E40" s="64">
        <v>4</v>
      </c>
      <c r="F40" s="34">
        <f>E40*F39</f>
        <v>619.80000000000007</v>
      </c>
      <c r="G40" s="32"/>
      <c r="H40" s="242"/>
      <c r="I40" s="33">
        <v>4.9960000000000004</v>
      </c>
      <c r="J40" s="43">
        <f>F40*I40</f>
        <v>3096.5208000000007</v>
      </c>
      <c r="K40" s="273">
        <f t="shared" si="1"/>
        <v>3096.5208000000007</v>
      </c>
      <c r="L40" s="1"/>
    </row>
    <row r="41" spans="1:12" s="45" customFormat="1" ht="15" hidden="1" customHeight="1">
      <c r="A41" s="257"/>
      <c r="B41" s="85" t="s">
        <v>47</v>
      </c>
      <c r="C41" s="19" t="s">
        <v>20</v>
      </c>
      <c r="D41" s="67" t="s">
        <v>19</v>
      </c>
      <c r="E41" s="64">
        <v>1.8</v>
      </c>
      <c r="F41" s="34">
        <f>E41*F39</f>
        <v>278.91000000000003</v>
      </c>
      <c r="G41" s="32"/>
      <c r="H41" s="42"/>
      <c r="I41" s="33">
        <v>56.645999999999994</v>
      </c>
      <c r="J41" s="43">
        <f>F41*I41</f>
        <v>15799.13586</v>
      </c>
      <c r="K41" s="273">
        <f t="shared" si="1"/>
        <v>15799.13586</v>
      </c>
      <c r="L41" s="1"/>
    </row>
    <row r="42" spans="1:12" s="45" customFormat="1" ht="15" hidden="1" customHeight="1">
      <c r="A42" s="262">
        <f>A39+1</f>
        <v>10</v>
      </c>
      <c r="B42" s="61" t="s">
        <v>32</v>
      </c>
      <c r="C42" s="19" t="s">
        <v>20</v>
      </c>
      <c r="D42" s="38" t="s">
        <v>30</v>
      </c>
      <c r="E42" s="64"/>
      <c r="F42" s="97">
        <f>F33</f>
        <v>154.95000000000002</v>
      </c>
      <c r="G42" s="241">
        <v>200</v>
      </c>
      <c r="H42" s="235">
        <f>F42*G42</f>
        <v>30990.000000000004</v>
      </c>
      <c r="I42" s="33"/>
      <c r="J42" s="66"/>
      <c r="K42" s="260">
        <f t="shared" si="1"/>
        <v>30990.000000000004</v>
      </c>
      <c r="L42" s="1"/>
    </row>
    <row r="43" spans="1:12" s="44" customFormat="1" ht="15" hidden="1" customHeight="1">
      <c r="A43" s="257"/>
      <c r="B43" s="74" t="s">
        <v>173</v>
      </c>
      <c r="C43" s="19" t="s">
        <v>20</v>
      </c>
      <c r="D43" s="70" t="s">
        <v>21</v>
      </c>
      <c r="E43" s="64">
        <v>0.35</v>
      </c>
      <c r="F43" s="68">
        <f>E43*F42</f>
        <v>54.232500000000002</v>
      </c>
      <c r="G43" s="32"/>
      <c r="H43" s="236"/>
      <c r="I43" s="33">
        <v>122.50221999999999</v>
      </c>
      <c r="J43" s="73">
        <f>F43*I43</f>
        <v>6643.6016461500003</v>
      </c>
      <c r="K43" s="263">
        <f t="shared" si="1"/>
        <v>6643.6016461500003</v>
      </c>
      <c r="L43" s="1"/>
    </row>
    <row r="44" spans="1:12" s="44" customFormat="1" ht="15" hidden="1" customHeight="1">
      <c r="A44" s="278"/>
      <c r="B44" s="98" t="s">
        <v>37</v>
      </c>
      <c r="C44" s="19" t="s">
        <v>20</v>
      </c>
      <c r="D44" s="41" t="s">
        <v>19</v>
      </c>
      <c r="E44" s="21">
        <v>0.15</v>
      </c>
      <c r="F44" s="68">
        <f>E44*F42</f>
        <v>23.242500000000003</v>
      </c>
      <c r="G44" s="32"/>
      <c r="H44" s="238"/>
      <c r="I44" s="33">
        <v>37.81</v>
      </c>
      <c r="J44" s="43">
        <f>F44*I44</f>
        <v>878.79892500000017</v>
      </c>
      <c r="K44" s="273">
        <f t="shared" si="1"/>
        <v>878.79892500000017</v>
      </c>
      <c r="L44" s="1"/>
    </row>
    <row r="45" spans="1:12" s="45" customFormat="1" ht="15" hidden="1" customHeight="1">
      <c r="A45" s="279"/>
      <c r="B45" s="99"/>
      <c r="C45" s="100"/>
      <c r="D45" s="70"/>
      <c r="E45" s="21"/>
      <c r="F45" s="101"/>
      <c r="G45" s="32"/>
      <c r="H45" s="73"/>
      <c r="I45" s="33"/>
      <c r="J45" s="73"/>
      <c r="K45" s="263"/>
      <c r="L45" s="1"/>
    </row>
    <row r="46" spans="1:12" s="45" customFormat="1" ht="15" hidden="1" customHeight="1">
      <c r="A46" s="23"/>
      <c r="B46" s="24" t="s">
        <v>22</v>
      </c>
      <c r="C46" s="25"/>
      <c r="D46" s="26"/>
      <c r="E46" s="27"/>
      <c r="F46" s="28"/>
      <c r="G46" s="29"/>
      <c r="H46" s="29" t="str">
        <f>IF(ISBLANK(G46),"",G46*F46)</f>
        <v/>
      </c>
      <c r="I46" s="36"/>
      <c r="J46" s="30" t="str">
        <f>IF(ISBLANK(I46),"",I46*F46)</f>
        <v/>
      </c>
      <c r="K46" s="31"/>
      <c r="L46" s="1"/>
    </row>
    <row r="47" spans="1:12" s="45" customFormat="1" ht="15" hidden="1" customHeight="1">
      <c r="A47" s="257"/>
      <c r="B47" s="53" t="s">
        <v>51</v>
      </c>
      <c r="C47" s="265"/>
      <c r="D47" s="266"/>
      <c r="E47" s="267"/>
      <c r="F47" s="266"/>
      <c r="G47" s="57"/>
      <c r="H47" s="266"/>
      <c r="I47" s="59"/>
      <c r="J47" s="268"/>
      <c r="K47" s="269"/>
      <c r="L47" s="1"/>
    </row>
    <row r="48" spans="1:12" s="45" customFormat="1" ht="15" hidden="1" customHeight="1">
      <c r="A48" s="262">
        <f>A42+1</f>
        <v>11</v>
      </c>
      <c r="B48" s="61" t="s">
        <v>52</v>
      </c>
      <c r="C48" s="38" t="s">
        <v>20</v>
      </c>
      <c r="D48" s="38" t="s">
        <v>30</v>
      </c>
      <c r="E48" s="102"/>
      <c r="F48" s="97">
        <f>26.98+41</f>
        <v>67.98</v>
      </c>
      <c r="G48" s="32">
        <v>250</v>
      </c>
      <c r="H48" s="235">
        <f>F48*G48</f>
        <v>16995</v>
      </c>
      <c r="I48" s="33"/>
      <c r="J48" s="66"/>
      <c r="K48" s="260">
        <f t="shared" ref="K48:K56" si="2">H48+J48</f>
        <v>16995</v>
      </c>
      <c r="L48" s="1"/>
    </row>
    <row r="49" spans="1:12" s="44" customFormat="1" ht="15" hidden="1" customHeight="1">
      <c r="A49" s="279"/>
      <c r="B49" s="74" t="s">
        <v>53</v>
      </c>
      <c r="C49" s="38" t="s">
        <v>20</v>
      </c>
      <c r="D49" s="70" t="s">
        <v>19</v>
      </c>
      <c r="E49" s="102">
        <v>1.8</v>
      </c>
      <c r="F49" s="68">
        <f>E49*F48</f>
        <v>122.364</v>
      </c>
      <c r="G49" s="32"/>
      <c r="H49" s="236"/>
      <c r="I49" s="33">
        <v>8.7200000000000006</v>
      </c>
      <c r="J49" s="73">
        <f>F49*I49</f>
        <v>1067.0140800000001</v>
      </c>
      <c r="K49" s="263">
        <f t="shared" si="2"/>
        <v>1067.0140800000001</v>
      </c>
      <c r="L49" s="1"/>
    </row>
    <row r="50" spans="1:12" s="44" customFormat="1" ht="15" hidden="1" customHeight="1">
      <c r="A50" s="279"/>
      <c r="B50" s="74" t="s">
        <v>54</v>
      </c>
      <c r="C50" s="38" t="s">
        <v>20</v>
      </c>
      <c r="D50" s="70" t="s">
        <v>19</v>
      </c>
      <c r="E50" s="102">
        <v>1.8</v>
      </c>
      <c r="F50" s="68">
        <f>E50*F48</f>
        <v>122.364</v>
      </c>
      <c r="G50" s="32"/>
      <c r="H50" s="236"/>
      <c r="I50" s="33">
        <v>18.690000000000001</v>
      </c>
      <c r="J50" s="73">
        <f>F50*I50</f>
        <v>2286.9831600000002</v>
      </c>
      <c r="K50" s="263">
        <f t="shared" si="2"/>
        <v>2286.9831600000002</v>
      </c>
      <c r="L50" s="1"/>
    </row>
    <row r="51" spans="1:12" s="44" customFormat="1" ht="15" hidden="1" customHeight="1">
      <c r="A51" s="279"/>
      <c r="B51" s="74" t="s">
        <v>34</v>
      </c>
      <c r="C51" s="38" t="s">
        <v>20</v>
      </c>
      <c r="D51" s="70" t="s">
        <v>21</v>
      </c>
      <c r="E51" s="102">
        <v>0.15</v>
      </c>
      <c r="F51" s="68">
        <f>E51*F48</f>
        <v>10.197000000000001</v>
      </c>
      <c r="G51" s="32"/>
      <c r="H51" s="236"/>
      <c r="I51" s="33">
        <v>37.450000000000003</v>
      </c>
      <c r="J51" s="73">
        <f>F51*I51</f>
        <v>381.87765000000007</v>
      </c>
      <c r="K51" s="263">
        <f t="shared" si="2"/>
        <v>381.87765000000007</v>
      </c>
      <c r="L51" s="1"/>
    </row>
    <row r="52" spans="1:12" s="44" customFormat="1" ht="15" hidden="1" customHeight="1">
      <c r="A52" s="279"/>
      <c r="B52" s="74" t="s">
        <v>55</v>
      </c>
      <c r="C52" s="38" t="s">
        <v>20</v>
      </c>
      <c r="D52" s="70" t="s">
        <v>56</v>
      </c>
      <c r="E52" s="102">
        <v>0.1</v>
      </c>
      <c r="F52" s="68">
        <f>E52*F48</f>
        <v>6.7980000000000009</v>
      </c>
      <c r="G52" s="32"/>
      <c r="H52" s="236"/>
      <c r="I52" s="33">
        <v>19.260000000000002</v>
      </c>
      <c r="J52" s="73">
        <f>F52*I52</f>
        <v>130.92948000000004</v>
      </c>
      <c r="K52" s="263">
        <f t="shared" si="2"/>
        <v>130.92948000000004</v>
      </c>
      <c r="L52" s="1"/>
    </row>
    <row r="53" spans="1:12" s="44" customFormat="1" ht="15" hidden="1" customHeight="1">
      <c r="A53" s="279"/>
      <c r="B53" s="74" t="s">
        <v>57</v>
      </c>
      <c r="C53" s="38" t="s">
        <v>20</v>
      </c>
      <c r="D53" s="70" t="s">
        <v>58</v>
      </c>
      <c r="E53" s="102">
        <v>1.1000000000000001</v>
      </c>
      <c r="F53" s="68">
        <f>E53*F48</f>
        <v>74.778000000000006</v>
      </c>
      <c r="G53" s="32"/>
      <c r="H53" s="236"/>
      <c r="I53" s="33">
        <v>3.1240000000000001</v>
      </c>
      <c r="J53" s="73">
        <f>F53*I53</f>
        <v>233.60647200000002</v>
      </c>
      <c r="K53" s="263">
        <f t="shared" si="2"/>
        <v>233.60647200000002</v>
      </c>
      <c r="L53" s="1"/>
    </row>
    <row r="54" spans="1:12" s="45" customFormat="1" ht="15" hidden="1" customHeight="1">
      <c r="A54" s="280">
        <f>A48+1</f>
        <v>12</v>
      </c>
      <c r="B54" s="61" t="s">
        <v>59</v>
      </c>
      <c r="C54" s="38" t="s">
        <v>20</v>
      </c>
      <c r="D54" s="38" t="s">
        <v>30</v>
      </c>
      <c r="E54" s="102"/>
      <c r="F54" s="97">
        <f>F48</f>
        <v>67.98</v>
      </c>
      <c r="G54" s="241">
        <v>200</v>
      </c>
      <c r="H54" s="235">
        <f>F54*G54</f>
        <v>13596</v>
      </c>
      <c r="I54" s="33"/>
      <c r="J54" s="66"/>
      <c r="K54" s="260">
        <f t="shared" si="2"/>
        <v>13596</v>
      </c>
      <c r="L54" s="1"/>
    </row>
    <row r="55" spans="1:12" s="44" customFormat="1" ht="25.5" hidden="1" customHeight="1">
      <c r="A55" s="279"/>
      <c r="B55" s="103" t="s">
        <v>60</v>
      </c>
      <c r="C55" s="38" t="s">
        <v>20</v>
      </c>
      <c r="D55" s="70" t="s">
        <v>21</v>
      </c>
      <c r="E55" s="104">
        <v>0.35</v>
      </c>
      <c r="F55" s="68">
        <f>E55*F54</f>
        <v>23.792999999999999</v>
      </c>
      <c r="G55" s="32"/>
      <c r="H55" s="236"/>
      <c r="I55" s="33">
        <v>122.50221999999999</v>
      </c>
      <c r="J55" s="73">
        <f>F55*I55</f>
        <v>2914.6953204599999</v>
      </c>
      <c r="K55" s="263">
        <f t="shared" si="2"/>
        <v>2914.6953204599999</v>
      </c>
      <c r="L55" s="1"/>
    </row>
    <row r="56" spans="1:12" s="44" customFormat="1" ht="15" hidden="1" customHeight="1">
      <c r="A56" s="279"/>
      <c r="B56" s="105" t="s">
        <v>34</v>
      </c>
      <c r="C56" s="38" t="s">
        <v>20</v>
      </c>
      <c r="D56" s="70" t="s">
        <v>21</v>
      </c>
      <c r="E56" s="102">
        <v>0.15</v>
      </c>
      <c r="F56" s="68">
        <f>E56*F54</f>
        <v>10.197000000000001</v>
      </c>
      <c r="G56" s="32"/>
      <c r="H56" s="236"/>
      <c r="I56" s="33">
        <v>37.450000000000003</v>
      </c>
      <c r="J56" s="73">
        <f>F56*I56</f>
        <v>381.87765000000007</v>
      </c>
      <c r="K56" s="263">
        <f t="shared" si="2"/>
        <v>381.87765000000007</v>
      </c>
      <c r="L56" s="1"/>
    </row>
    <row r="57" spans="1:12" s="45" customFormat="1" ht="15" hidden="1" customHeight="1">
      <c r="A57" s="281"/>
      <c r="B57" s="76"/>
      <c r="C57" s="77"/>
      <c r="D57" s="76"/>
      <c r="E57" s="106"/>
      <c r="F57" s="107"/>
      <c r="G57" s="32"/>
      <c r="H57" s="81"/>
      <c r="I57" s="33"/>
      <c r="J57" s="82"/>
      <c r="K57" s="264"/>
      <c r="L57" s="1"/>
    </row>
    <row r="58" spans="1:12" s="45" customFormat="1" ht="15" hidden="1" customHeight="1">
      <c r="A58" s="257"/>
      <c r="B58" s="53" t="s">
        <v>61</v>
      </c>
      <c r="C58" s="53"/>
      <c r="D58" s="54"/>
      <c r="E58" s="55"/>
      <c r="F58" s="56"/>
      <c r="G58" s="57"/>
      <c r="H58" s="58"/>
      <c r="I58" s="59"/>
      <c r="J58" s="60"/>
      <c r="K58" s="258"/>
      <c r="L58" s="1"/>
    </row>
    <row r="59" spans="1:12" s="45" customFormat="1" ht="15" hidden="1" customHeight="1">
      <c r="A59" s="277">
        <f>A54+1</f>
        <v>13</v>
      </c>
      <c r="B59" s="61" t="s">
        <v>188</v>
      </c>
      <c r="C59" s="62" t="s">
        <v>29</v>
      </c>
      <c r="D59" s="63" t="s">
        <v>30</v>
      </c>
      <c r="E59" s="64"/>
      <c r="F59" s="65">
        <f>534.41+196.7</f>
        <v>731.1099999999999</v>
      </c>
      <c r="G59" s="32">
        <v>180</v>
      </c>
      <c r="H59" s="235">
        <f>F59*G59</f>
        <v>131599.79999999999</v>
      </c>
      <c r="I59" s="33"/>
      <c r="J59" s="66"/>
      <c r="K59" s="260">
        <f>H59+J59</f>
        <v>131599.79999999999</v>
      </c>
      <c r="L59" s="1"/>
    </row>
    <row r="60" spans="1:12" s="45" customFormat="1" ht="15" hidden="1" customHeight="1">
      <c r="A60" s="259"/>
      <c r="B60" s="41" t="s">
        <v>31</v>
      </c>
      <c r="C60" s="62" t="s">
        <v>29</v>
      </c>
      <c r="D60" s="67" t="s">
        <v>25</v>
      </c>
      <c r="E60" s="64">
        <v>0.02</v>
      </c>
      <c r="F60" s="68">
        <f>E60*F59</f>
        <v>14.622199999999998</v>
      </c>
      <c r="G60" s="32"/>
      <c r="H60" s="69"/>
      <c r="I60" s="33">
        <v>288.47499999999997</v>
      </c>
      <c r="J60" s="43">
        <f>F60*I60</f>
        <v>4218.1391449999992</v>
      </c>
      <c r="K60" s="261">
        <f>H60+J60</f>
        <v>4218.1391449999992</v>
      </c>
      <c r="L60" s="1"/>
    </row>
    <row r="61" spans="1:12" s="45" customFormat="1" ht="15" hidden="1" customHeight="1">
      <c r="A61" s="262">
        <f>A59+1</f>
        <v>14</v>
      </c>
      <c r="B61" s="61" t="s">
        <v>59</v>
      </c>
      <c r="C61" s="38" t="s">
        <v>20</v>
      </c>
      <c r="D61" s="63" t="s">
        <v>30</v>
      </c>
      <c r="E61" s="64"/>
      <c r="F61" s="65">
        <f>F59</f>
        <v>731.1099999999999</v>
      </c>
      <c r="G61" s="32">
        <v>200</v>
      </c>
      <c r="H61" s="235">
        <f>F61*G61</f>
        <v>146221.99999999997</v>
      </c>
      <c r="I61" s="33"/>
      <c r="J61" s="66"/>
      <c r="K61" s="260">
        <f>H61+J61</f>
        <v>146221.99999999997</v>
      </c>
      <c r="L61" s="1"/>
    </row>
    <row r="62" spans="1:12" s="44" customFormat="1" ht="25.5" hidden="1" customHeight="1">
      <c r="A62" s="259"/>
      <c r="B62" s="70" t="s">
        <v>33</v>
      </c>
      <c r="C62" s="38" t="s">
        <v>20</v>
      </c>
      <c r="D62" s="71" t="s">
        <v>21</v>
      </c>
      <c r="E62" s="64">
        <v>0.35</v>
      </c>
      <c r="F62" s="72">
        <f>F61*E62</f>
        <v>255.88849999999994</v>
      </c>
      <c r="G62" s="32"/>
      <c r="H62" s="236"/>
      <c r="I62" s="33">
        <v>122.50221999999999</v>
      </c>
      <c r="J62" s="73">
        <f>F62*I62</f>
        <v>31346.90932246999</v>
      </c>
      <c r="K62" s="263">
        <f>H62+J62</f>
        <v>31346.90932246999</v>
      </c>
      <c r="L62" s="1"/>
    </row>
    <row r="63" spans="1:12" s="44" customFormat="1" ht="15" hidden="1" customHeight="1">
      <c r="A63" s="259"/>
      <c r="B63" s="74" t="s">
        <v>34</v>
      </c>
      <c r="C63" s="38" t="s">
        <v>20</v>
      </c>
      <c r="D63" s="71" t="s">
        <v>21</v>
      </c>
      <c r="E63" s="64">
        <v>0.15</v>
      </c>
      <c r="F63" s="72">
        <f>F61*E63</f>
        <v>109.66649999999998</v>
      </c>
      <c r="G63" s="32"/>
      <c r="H63" s="236"/>
      <c r="I63" s="33">
        <v>37.450000000000003</v>
      </c>
      <c r="J63" s="73">
        <f>F63*I63</f>
        <v>4107.0104249999995</v>
      </c>
      <c r="K63" s="263">
        <f>H63+J63</f>
        <v>4107.0104249999995</v>
      </c>
      <c r="L63" s="1"/>
    </row>
    <row r="64" spans="1:12" s="45" customFormat="1" ht="15" hidden="1" customHeight="1">
      <c r="A64" s="257"/>
      <c r="B64" s="76"/>
      <c r="C64" s="77"/>
      <c r="D64" s="78"/>
      <c r="E64" s="79"/>
      <c r="F64" s="80"/>
      <c r="G64" s="32"/>
      <c r="H64" s="81"/>
      <c r="I64" s="33"/>
      <c r="J64" s="82"/>
      <c r="K64" s="264"/>
      <c r="L64" s="1"/>
    </row>
    <row r="65" spans="1:12" s="45" customFormat="1" ht="15" hidden="1" customHeight="1">
      <c r="A65" s="282"/>
      <c r="B65" s="53" t="s">
        <v>62</v>
      </c>
      <c r="C65" s="53"/>
      <c r="D65" s="54"/>
      <c r="E65" s="108"/>
      <c r="F65" s="56"/>
      <c r="G65" s="57"/>
      <c r="H65" s="58"/>
      <c r="I65" s="59"/>
      <c r="J65" s="60"/>
      <c r="K65" s="258"/>
      <c r="L65" s="1"/>
    </row>
    <row r="66" spans="1:12" s="45" customFormat="1" ht="15" hidden="1" customHeight="1">
      <c r="A66" s="262">
        <f>A61+1</f>
        <v>15</v>
      </c>
      <c r="B66" s="61" t="s">
        <v>63</v>
      </c>
      <c r="C66" s="38" t="s">
        <v>17</v>
      </c>
      <c r="D66" s="38" t="s">
        <v>30</v>
      </c>
      <c r="E66" s="102"/>
      <c r="F66" s="97">
        <v>170.62</v>
      </c>
      <c r="G66" s="32">
        <v>250</v>
      </c>
      <c r="H66" s="235">
        <f>F66*G66</f>
        <v>42655</v>
      </c>
      <c r="I66" s="33"/>
      <c r="J66" s="66"/>
      <c r="K66" s="260">
        <f t="shared" ref="K66:K77" si="3">H66+J66</f>
        <v>42655</v>
      </c>
      <c r="L66" s="1"/>
    </row>
    <row r="67" spans="1:12" s="44" customFormat="1" ht="15" hidden="1" customHeight="1">
      <c r="A67" s="259"/>
      <c r="B67" s="103" t="s">
        <v>64</v>
      </c>
      <c r="C67" s="38" t="s">
        <v>17</v>
      </c>
      <c r="D67" s="70" t="s">
        <v>56</v>
      </c>
      <c r="E67" s="102">
        <v>0.4</v>
      </c>
      <c r="F67" s="37">
        <f>F66*E67</f>
        <v>68.248000000000005</v>
      </c>
      <c r="G67" s="32"/>
      <c r="H67" s="244"/>
      <c r="I67" s="33">
        <v>16.05</v>
      </c>
      <c r="J67" s="73">
        <f>F67*I67</f>
        <v>1095.3804000000002</v>
      </c>
      <c r="K67" s="263">
        <f t="shared" si="3"/>
        <v>1095.3804000000002</v>
      </c>
      <c r="L67" s="1"/>
    </row>
    <row r="68" spans="1:12" s="44" customFormat="1" ht="15" hidden="1" customHeight="1">
      <c r="A68" s="283"/>
      <c r="B68" s="103" t="s">
        <v>65</v>
      </c>
      <c r="C68" s="38" t="s">
        <v>17</v>
      </c>
      <c r="D68" s="70" t="s">
        <v>56</v>
      </c>
      <c r="E68" s="102">
        <v>0.4</v>
      </c>
      <c r="F68" s="37">
        <f>F66*E68</f>
        <v>68.248000000000005</v>
      </c>
      <c r="G68" s="32"/>
      <c r="H68" s="244"/>
      <c r="I68" s="33">
        <v>16.77</v>
      </c>
      <c r="J68" s="73">
        <f>F68*I68</f>
        <v>1144.5189600000001</v>
      </c>
      <c r="K68" s="263">
        <f t="shared" si="3"/>
        <v>1144.5189600000001</v>
      </c>
      <c r="L68" s="1"/>
    </row>
    <row r="69" spans="1:12" s="44" customFormat="1" ht="15" hidden="1" customHeight="1">
      <c r="A69" s="279"/>
      <c r="B69" s="103" t="s">
        <v>66</v>
      </c>
      <c r="C69" s="38" t="s">
        <v>17</v>
      </c>
      <c r="D69" s="70" t="s">
        <v>19</v>
      </c>
      <c r="E69" s="102">
        <v>25</v>
      </c>
      <c r="F69" s="37">
        <f>F66*E69</f>
        <v>4265.5</v>
      </c>
      <c r="G69" s="32"/>
      <c r="H69" s="244"/>
      <c r="I69" s="33">
        <v>4.9960000000000004</v>
      </c>
      <c r="J69" s="73">
        <f>F69*I69</f>
        <v>21310.438000000002</v>
      </c>
      <c r="K69" s="263">
        <f t="shared" si="3"/>
        <v>21310.438000000002</v>
      </c>
      <c r="L69" s="1"/>
    </row>
    <row r="70" spans="1:12" s="44" customFormat="1" ht="17.399999999999999" hidden="1" customHeight="1">
      <c r="A70" s="279"/>
      <c r="B70" s="103" t="s">
        <v>67</v>
      </c>
      <c r="C70" s="38" t="s">
        <v>17</v>
      </c>
      <c r="D70" s="70" t="s">
        <v>19</v>
      </c>
      <c r="E70" s="102">
        <v>0.3</v>
      </c>
      <c r="F70" s="37">
        <f>F66*E70</f>
        <v>51.186</v>
      </c>
      <c r="G70" s="32"/>
      <c r="H70" s="244"/>
      <c r="I70" s="33">
        <v>70.739999999999995</v>
      </c>
      <c r="J70" s="73">
        <f>F70*I70</f>
        <v>3620.8976399999997</v>
      </c>
      <c r="K70" s="263">
        <f t="shared" si="3"/>
        <v>3620.8976399999997</v>
      </c>
      <c r="L70" s="1"/>
    </row>
    <row r="71" spans="1:12" s="44" customFormat="1" ht="15" hidden="1" customHeight="1">
      <c r="A71" s="279"/>
      <c r="B71" s="103" t="s">
        <v>68</v>
      </c>
      <c r="C71" s="38" t="s">
        <v>17</v>
      </c>
      <c r="D71" s="70" t="s">
        <v>41</v>
      </c>
      <c r="E71" s="102">
        <v>0.1</v>
      </c>
      <c r="F71" s="37">
        <f>F66*E71</f>
        <v>17.062000000000001</v>
      </c>
      <c r="G71" s="32"/>
      <c r="H71" s="244"/>
      <c r="I71" s="33">
        <v>19.170000000000002</v>
      </c>
      <c r="J71" s="73">
        <f>F71*I71</f>
        <v>327.07854000000003</v>
      </c>
      <c r="K71" s="263">
        <f t="shared" si="3"/>
        <v>327.07854000000003</v>
      </c>
      <c r="L71" s="1"/>
    </row>
    <row r="72" spans="1:12" s="45" customFormat="1" ht="15" hidden="1" customHeight="1">
      <c r="A72" s="277">
        <f>A66+1</f>
        <v>16</v>
      </c>
      <c r="B72" s="61" t="s">
        <v>69</v>
      </c>
      <c r="C72" s="38" t="s">
        <v>23</v>
      </c>
      <c r="D72" s="38" t="s">
        <v>30</v>
      </c>
      <c r="E72" s="109"/>
      <c r="F72" s="97">
        <f>F66</f>
        <v>170.62</v>
      </c>
      <c r="G72" s="32">
        <v>1000</v>
      </c>
      <c r="H72" s="235">
        <f>F72*G72</f>
        <v>170620</v>
      </c>
      <c r="I72" s="33"/>
      <c r="J72" s="66"/>
      <c r="K72" s="260">
        <f t="shared" si="3"/>
        <v>170620</v>
      </c>
      <c r="L72" s="1"/>
    </row>
    <row r="73" spans="1:12" s="45" customFormat="1" ht="15" hidden="1" customHeight="1">
      <c r="A73" s="279"/>
      <c r="B73" s="105" t="s">
        <v>70</v>
      </c>
      <c r="C73" s="38" t="s">
        <v>23</v>
      </c>
      <c r="D73" s="70" t="s">
        <v>41</v>
      </c>
      <c r="E73" s="109">
        <v>1.1000000000000001</v>
      </c>
      <c r="F73" s="37">
        <f>F72*E73</f>
        <v>187.68200000000002</v>
      </c>
      <c r="G73" s="32"/>
      <c r="H73" s="110"/>
      <c r="I73" s="33">
        <v>874.16317000000004</v>
      </c>
      <c r="J73" s="73">
        <f>F73*I73</f>
        <v>164064.69207194002</v>
      </c>
      <c r="K73" s="263">
        <f t="shared" si="3"/>
        <v>164064.69207194002</v>
      </c>
      <c r="L73" s="1"/>
    </row>
    <row r="74" spans="1:12" s="44" customFormat="1" ht="15" hidden="1" customHeight="1">
      <c r="A74" s="279"/>
      <c r="B74" s="105" t="s">
        <v>34</v>
      </c>
      <c r="C74" s="38" t="s">
        <v>23</v>
      </c>
      <c r="D74" s="70" t="s">
        <v>21</v>
      </c>
      <c r="E74" s="109">
        <v>0.15</v>
      </c>
      <c r="F74" s="37">
        <f>F72*E74</f>
        <v>25.593</v>
      </c>
      <c r="G74" s="32"/>
      <c r="H74" s="244"/>
      <c r="I74" s="33">
        <v>37.450000000000003</v>
      </c>
      <c r="J74" s="73">
        <f>F74*I74</f>
        <v>958.45785000000012</v>
      </c>
      <c r="K74" s="263">
        <f t="shared" si="3"/>
        <v>958.45785000000012</v>
      </c>
      <c r="L74" s="1"/>
    </row>
    <row r="75" spans="1:12" s="44" customFormat="1" ht="15" hidden="1" customHeight="1">
      <c r="A75" s="279"/>
      <c r="B75" s="105" t="s">
        <v>71</v>
      </c>
      <c r="C75" s="38" t="s">
        <v>23</v>
      </c>
      <c r="D75" s="70" t="s">
        <v>19</v>
      </c>
      <c r="E75" s="109">
        <v>7.6</v>
      </c>
      <c r="F75" s="37">
        <f>F72*E75</f>
        <v>1296.712</v>
      </c>
      <c r="G75" s="32"/>
      <c r="H75" s="244"/>
      <c r="I75" s="33">
        <v>7.6</v>
      </c>
      <c r="J75" s="73">
        <f>F75*I75</f>
        <v>9855.011199999999</v>
      </c>
      <c r="K75" s="263">
        <f t="shared" si="3"/>
        <v>9855.011199999999</v>
      </c>
      <c r="L75" s="1"/>
    </row>
    <row r="76" spans="1:12" s="45" customFormat="1" ht="15" hidden="1" customHeight="1">
      <c r="A76" s="279"/>
      <c r="B76" s="105" t="s">
        <v>72</v>
      </c>
      <c r="C76" s="38" t="s">
        <v>23</v>
      </c>
      <c r="D76" s="70" t="s">
        <v>56</v>
      </c>
      <c r="E76" s="109">
        <v>11</v>
      </c>
      <c r="F76" s="37">
        <f>F72*E76</f>
        <v>1876.8200000000002</v>
      </c>
      <c r="G76" s="32"/>
      <c r="H76" s="110"/>
      <c r="I76" s="33">
        <v>1.3007599999999999</v>
      </c>
      <c r="J76" s="73">
        <f>F76*I76</f>
        <v>2441.2923832000001</v>
      </c>
      <c r="K76" s="263">
        <f t="shared" si="3"/>
        <v>2441.2923832000001</v>
      </c>
      <c r="L76" s="1"/>
    </row>
    <row r="77" spans="1:12" s="44" customFormat="1" ht="15" hidden="1" customHeight="1">
      <c r="A77" s="279"/>
      <c r="B77" s="105" t="s">
        <v>73</v>
      </c>
      <c r="C77" s="38" t="s">
        <v>23</v>
      </c>
      <c r="D77" s="70" t="s">
        <v>19</v>
      </c>
      <c r="E77" s="109">
        <v>0.4</v>
      </c>
      <c r="F77" s="37">
        <f>F72*E77</f>
        <v>68.248000000000005</v>
      </c>
      <c r="G77" s="32"/>
      <c r="H77" s="244"/>
      <c r="I77" s="33">
        <v>123.5</v>
      </c>
      <c r="J77" s="73">
        <f>F77*I77</f>
        <v>8428.6280000000006</v>
      </c>
      <c r="K77" s="263">
        <f t="shared" si="3"/>
        <v>8428.6280000000006</v>
      </c>
      <c r="L77" s="1"/>
    </row>
    <row r="78" spans="1:12" s="45" customFormat="1" ht="15" hidden="1" customHeight="1">
      <c r="A78" s="279"/>
      <c r="B78" s="105"/>
      <c r="C78" s="75"/>
      <c r="D78" s="70"/>
      <c r="E78" s="109"/>
      <c r="F78" s="37"/>
      <c r="G78" s="32"/>
      <c r="H78" s="110"/>
      <c r="I78" s="33"/>
      <c r="J78" s="73"/>
      <c r="K78" s="263"/>
      <c r="L78" s="1"/>
    </row>
    <row r="79" spans="1:12" s="45" customFormat="1" ht="15" hidden="1" customHeight="1">
      <c r="A79" s="284"/>
      <c r="B79" s="111" t="s">
        <v>74</v>
      </c>
      <c r="C79" s="112"/>
      <c r="D79" s="113"/>
      <c r="E79" s="114"/>
      <c r="F79" s="113"/>
      <c r="G79" s="57"/>
      <c r="H79" s="113"/>
      <c r="I79" s="59"/>
      <c r="J79" s="115"/>
      <c r="K79" s="285"/>
      <c r="L79" s="1"/>
    </row>
    <row r="80" spans="1:12" s="45" customFormat="1" ht="15" hidden="1" customHeight="1">
      <c r="A80" s="277">
        <f>A72+1</f>
        <v>17</v>
      </c>
      <c r="B80" s="61" t="s">
        <v>52</v>
      </c>
      <c r="C80" s="38" t="s">
        <v>20</v>
      </c>
      <c r="D80" s="38" t="s">
        <v>30</v>
      </c>
      <c r="E80" s="102"/>
      <c r="F80" s="97">
        <f>161.76+164.62+56.06</f>
        <v>382.44</v>
      </c>
      <c r="G80" s="32">
        <v>250</v>
      </c>
      <c r="H80" s="235">
        <f>F80*G80</f>
        <v>95610</v>
      </c>
      <c r="I80" s="33"/>
      <c r="J80" s="66"/>
      <c r="K80" s="260">
        <f t="shared" ref="K80:K88" si="4">H80+J80</f>
        <v>95610</v>
      </c>
      <c r="L80" s="1"/>
    </row>
    <row r="81" spans="1:15" s="44" customFormat="1" ht="15" hidden="1" customHeight="1">
      <c r="A81" s="279"/>
      <c r="B81" s="74" t="s">
        <v>53</v>
      </c>
      <c r="C81" s="38" t="s">
        <v>20</v>
      </c>
      <c r="D81" s="70" t="s">
        <v>19</v>
      </c>
      <c r="E81" s="102">
        <v>1.8</v>
      </c>
      <c r="F81" s="101">
        <f>E81*F80</f>
        <v>688.39200000000005</v>
      </c>
      <c r="G81" s="32"/>
      <c r="H81" s="236"/>
      <c r="I81" s="33">
        <v>8.7200000000000006</v>
      </c>
      <c r="J81" s="73">
        <f>F81*I81</f>
        <v>6002.7782400000006</v>
      </c>
      <c r="K81" s="263">
        <f t="shared" si="4"/>
        <v>6002.7782400000006</v>
      </c>
      <c r="L81" s="1"/>
    </row>
    <row r="82" spans="1:15" s="44" customFormat="1" ht="15" hidden="1" customHeight="1">
      <c r="A82" s="279"/>
      <c r="B82" s="74" t="s">
        <v>54</v>
      </c>
      <c r="C82" s="38" t="s">
        <v>20</v>
      </c>
      <c r="D82" s="70" t="s">
        <v>19</v>
      </c>
      <c r="E82" s="102">
        <v>1.8</v>
      </c>
      <c r="F82" s="101">
        <f>E82*F80</f>
        <v>688.39200000000005</v>
      </c>
      <c r="G82" s="32"/>
      <c r="H82" s="236"/>
      <c r="I82" s="33">
        <v>18.690000000000001</v>
      </c>
      <c r="J82" s="73">
        <f>F82*I82</f>
        <v>12866.046480000003</v>
      </c>
      <c r="K82" s="263">
        <f t="shared" si="4"/>
        <v>12866.046480000003</v>
      </c>
      <c r="L82" s="1"/>
    </row>
    <row r="83" spans="1:15" s="44" customFormat="1" ht="15" hidden="1" customHeight="1">
      <c r="A83" s="279"/>
      <c r="B83" s="74" t="s">
        <v>34</v>
      </c>
      <c r="C83" s="38" t="s">
        <v>20</v>
      </c>
      <c r="D83" s="70" t="s">
        <v>21</v>
      </c>
      <c r="E83" s="102">
        <v>0.15</v>
      </c>
      <c r="F83" s="101">
        <f>E83*F80</f>
        <v>57.366</v>
      </c>
      <c r="G83" s="32"/>
      <c r="H83" s="236"/>
      <c r="I83" s="33">
        <v>37.450000000000003</v>
      </c>
      <c r="J83" s="73">
        <f>F83*I83</f>
        <v>2148.3567000000003</v>
      </c>
      <c r="K83" s="263">
        <f t="shared" si="4"/>
        <v>2148.3567000000003</v>
      </c>
      <c r="L83" s="1"/>
    </row>
    <row r="84" spans="1:15" s="44" customFormat="1" ht="15" hidden="1" customHeight="1">
      <c r="A84" s="279"/>
      <c r="B84" s="74" t="s">
        <v>55</v>
      </c>
      <c r="C84" s="38" t="s">
        <v>20</v>
      </c>
      <c r="D84" s="70" t="s">
        <v>56</v>
      </c>
      <c r="E84" s="102">
        <v>0.1</v>
      </c>
      <c r="F84" s="101">
        <f>E84*F80</f>
        <v>38.244</v>
      </c>
      <c r="G84" s="32"/>
      <c r="H84" s="236"/>
      <c r="I84" s="33">
        <v>19.260000000000002</v>
      </c>
      <c r="J84" s="73">
        <f>F84*I84</f>
        <v>736.57944000000009</v>
      </c>
      <c r="K84" s="263">
        <f t="shared" si="4"/>
        <v>736.57944000000009</v>
      </c>
      <c r="L84" s="1"/>
    </row>
    <row r="85" spans="1:15" s="44" customFormat="1" ht="15" hidden="1" customHeight="1">
      <c r="A85" s="279"/>
      <c r="B85" s="74" t="s">
        <v>57</v>
      </c>
      <c r="C85" s="38" t="s">
        <v>20</v>
      </c>
      <c r="D85" s="70" t="s">
        <v>58</v>
      </c>
      <c r="E85" s="102">
        <v>1.1000000000000001</v>
      </c>
      <c r="F85" s="101">
        <f>E85*F80</f>
        <v>420.68400000000003</v>
      </c>
      <c r="G85" s="32"/>
      <c r="H85" s="236"/>
      <c r="I85" s="33">
        <v>3.1240000000000001</v>
      </c>
      <c r="J85" s="73">
        <f>F85*I85</f>
        <v>1314.2168160000001</v>
      </c>
      <c r="K85" s="263">
        <f t="shared" si="4"/>
        <v>1314.2168160000001</v>
      </c>
      <c r="L85" s="1"/>
    </row>
    <row r="86" spans="1:15" s="45" customFormat="1" ht="15" hidden="1" customHeight="1">
      <c r="A86" s="279">
        <f>A80+1</f>
        <v>18</v>
      </c>
      <c r="B86" s="61" t="s">
        <v>59</v>
      </c>
      <c r="C86" s="38" t="s">
        <v>20</v>
      </c>
      <c r="D86" s="38" t="s">
        <v>30</v>
      </c>
      <c r="E86" s="102"/>
      <c r="F86" s="97">
        <f>F80</f>
        <v>382.44</v>
      </c>
      <c r="G86" s="32">
        <v>200</v>
      </c>
      <c r="H86" s="235">
        <f>F86*G86</f>
        <v>76488</v>
      </c>
      <c r="I86" s="33"/>
      <c r="J86" s="66"/>
      <c r="K86" s="260">
        <f t="shared" si="4"/>
        <v>76488</v>
      </c>
      <c r="L86" s="1"/>
    </row>
    <row r="87" spans="1:15" s="44" customFormat="1" ht="25.5" hidden="1" customHeight="1">
      <c r="A87" s="279"/>
      <c r="B87" s="103" t="s">
        <v>60</v>
      </c>
      <c r="C87" s="38" t="s">
        <v>20</v>
      </c>
      <c r="D87" s="70" t="s">
        <v>21</v>
      </c>
      <c r="E87" s="104">
        <v>0.35</v>
      </c>
      <c r="F87" s="101">
        <f>E87*F86</f>
        <v>133.85399999999998</v>
      </c>
      <c r="G87" s="32"/>
      <c r="H87" s="236"/>
      <c r="I87" s="33">
        <v>122.50221999999999</v>
      </c>
      <c r="J87" s="73">
        <f>F87*I87</f>
        <v>16397.412155879996</v>
      </c>
      <c r="K87" s="263">
        <f t="shared" si="4"/>
        <v>16397.412155879996</v>
      </c>
      <c r="L87" s="1"/>
    </row>
    <row r="88" spans="1:15" s="44" customFormat="1" ht="15" hidden="1" customHeight="1">
      <c r="A88" s="279"/>
      <c r="B88" s="105" t="s">
        <v>34</v>
      </c>
      <c r="C88" s="38" t="s">
        <v>20</v>
      </c>
      <c r="D88" s="70" t="s">
        <v>21</v>
      </c>
      <c r="E88" s="102">
        <v>0.15</v>
      </c>
      <c r="F88" s="101">
        <f>E88*F86</f>
        <v>57.366</v>
      </c>
      <c r="G88" s="32"/>
      <c r="H88" s="236"/>
      <c r="I88" s="33">
        <v>37.450000000000003</v>
      </c>
      <c r="J88" s="73">
        <f>F88*I88</f>
        <v>2148.3567000000003</v>
      </c>
      <c r="K88" s="263">
        <f t="shared" si="4"/>
        <v>2148.3567000000003</v>
      </c>
      <c r="L88" s="1"/>
    </row>
    <row r="89" spans="1:15" s="45" customFormat="1" ht="15" hidden="1" customHeight="1">
      <c r="A89" s="279"/>
      <c r="B89" s="70"/>
      <c r="C89" s="38"/>
      <c r="D89" s="70"/>
      <c r="E89" s="79"/>
      <c r="F89" s="37"/>
      <c r="G89" s="32"/>
      <c r="H89" s="116"/>
      <c r="I89" s="33"/>
      <c r="J89" s="73"/>
      <c r="K89" s="263"/>
      <c r="L89" s="1"/>
    </row>
    <row r="90" spans="1:15" s="45" customFormat="1" ht="15" hidden="1" customHeight="1">
      <c r="A90" s="284"/>
      <c r="B90" s="70"/>
      <c r="C90" s="38"/>
      <c r="D90" s="70"/>
      <c r="E90" s="79"/>
      <c r="F90" s="37"/>
      <c r="G90" s="32"/>
      <c r="H90" s="116"/>
      <c r="I90" s="33"/>
      <c r="J90" s="73"/>
      <c r="K90" s="263"/>
      <c r="L90" s="1"/>
    </row>
    <row r="91" spans="1:15" s="45" customFormat="1" ht="15" hidden="1" customHeight="1">
      <c r="A91" s="23"/>
      <c r="B91" s="24" t="s">
        <v>75</v>
      </c>
      <c r="C91" s="25"/>
      <c r="D91" s="26"/>
      <c r="E91" s="27"/>
      <c r="F91" s="28"/>
      <c r="G91" s="29"/>
      <c r="H91" s="29" t="str">
        <f>IF(ISBLANK(G91),"",G91*F91)</f>
        <v/>
      </c>
      <c r="I91" s="36"/>
      <c r="J91" s="30" t="str">
        <f>IF(ISBLANK(I91),"",I91*F91)</f>
        <v/>
      </c>
      <c r="K91" s="31"/>
      <c r="L91" s="1"/>
    </row>
    <row r="92" spans="1:15" s="45" customFormat="1" ht="25.5" hidden="1" customHeight="1">
      <c r="A92" s="282"/>
      <c r="B92" s="53" t="s">
        <v>76</v>
      </c>
      <c r="C92" s="265"/>
      <c r="D92" s="266"/>
      <c r="E92" s="267"/>
      <c r="F92" s="266"/>
      <c r="G92" s="57"/>
      <c r="H92" s="266"/>
      <c r="I92" s="59"/>
      <c r="J92" s="268"/>
      <c r="K92" s="269"/>
      <c r="L92" s="1"/>
    </row>
    <row r="93" spans="1:15" s="140" customFormat="1" ht="15" hidden="1" customHeight="1">
      <c r="A93" s="286">
        <f>A86+1</f>
        <v>19</v>
      </c>
      <c r="B93" s="61" t="s">
        <v>77</v>
      </c>
      <c r="C93" s="38" t="s">
        <v>23</v>
      </c>
      <c r="D93" s="38" t="s">
        <v>30</v>
      </c>
      <c r="E93" s="64"/>
      <c r="F93" s="97">
        <f>327.16</f>
        <v>327.16000000000003</v>
      </c>
      <c r="G93" s="32">
        <v>670</v>
      </c>
      <c r="H93" s="235">
        <f>F93*G93</f>
        <v>219197.2</v>
      </c>
      <c r="I93" s="33"/>
      <c r="J93" s="66"/>
      <c r="K93" s="260">
        <f t="shared" ref="K93:K107" si="5">H93+J93</f>
        <v>219197.2</v>
      </c>
      <c r="L93" s="141"/>
      <c r="M93" s="139"/>
      <c r="N93" s="139"/>
      <c r="O93" s="138"/>
    </row>
    <row r="94" spans="1:15" s="140" customFormat="1" ht="15" hidden="1" customHeight="1">
      <c r="A94" s="287"/>
      <c r="B94" s="105" t="s">
        <v>24</v>
      </c>
      <c r="C94" s="38" t="s">
        <v>23</v>
      </c>
      <c r="D94" s="70" t="s">
        <v>41</v>
      </c>
      <c r="E94" s="64">
        <v>1.1000000000000001</v>
      </c>
      <c r="F94" s="37">
        <v>315.63400000000007</v>
      </c>
      <c r="G94" s="32"/>
      <c r="H94" s="110"/>
      <c r="I94" s="33">
        <v>401.24249999999995</v>
      </c>
      <c r="J94" s="73">
        <f t="shared" ref="J94:J99" si="6">F94*I94</f>
        <v>126645.77524500001</v>
      </c>
      <c r="K94" s="263">
        <f t="shared" si="5"/>
        <v>126645.77524500001</v>
      </c>
      <c r="L94" s="141"/>
    </row>
    <row r="95" spans="1:15" s="140" customFormat="1" ht="15" hidden="1" customHeight="1">
      <c r="A95" s="287"/>
      <c r="B95" s="105" t="s">
        <v>78</v>
      </c>
      <c r="C95" s="38" t="s">
        <v>23</v>
      </c>
      <c r="D95" s="70" t="s">
        <v>41</v>
      </c>
      <c r="E95" s="64">
        <v>1.1000000000000001</v>
      </c>
      <c r="F95" s="37">
        <v>44.242000000000004</v>
      </c>
      <c r="G95" s="32"/>
      <c r="H95" s="110"/>
      <c r="I95" s="33">
        <v>874.16317000000004</v>
      </c>
      <c r="J95" s="73">
        <f t="shared" si="6"/>
        <v>38674.726967140006</v>
      </c>
      <c r="K95" s="263">
        <f t="shared" si="5"/>
        <v>38674.726967140006</v>
      </c>
      <c r="L95" s="138"/>
    </row>
    <row r="96" spans="1:15" s="44" customFormat="1" ht="15" hidden="1" customHeight="1">
      <c r="A96" s="287"/>
      <c r="B96" s="105" t="s">
        <v>34</v>
      </c>
      <c r="C96" s="38" t="s">
        <v>23</v>
      </c>
      <c r="D96" s="70" t="s">
        <v>21</v>
      </c>
      <c r="E96" s="64">
        <v>0.15</v>
      </c>
      <c r="F96" s="37">
        <v>49.074000000000005</v>
      </c>
      <c r="G96" s="32"/>
      <c r="H96" s="244"/>
      <c r="I96" s="33">
        <v>37.450000000000003</v>
      </c>
      <c r="J96" s="73">
        <f t="shared" si="6"/>
        <v>1837.8213000000003</v>
      </c>
      <c r="K96" s="263">
        <f t="shared" si="5"/>
        <v>1837.8213000000003</v>
      </c>
      <c r="L96" s="1"/>
    </row>
    <row r="97" spans="1:12" s="44" customFormat="1" ht="15" hidden="1" customHeight="1">
      <c r="A97" s="284"/>
      <c r="B97" s="105" t="s">
        <v>71</v>
      </c>
      <c r="C97" s="38" t="s">
        <v>23</v>
      </c>
      <c r="D97" s="70" t="s">
        <v>19</v>
      </c>
      <c r="E97" s="64">
        <v>7.6</v>
      </c>
      <c r="F97" s="37">
        <v>2486.4160000000002</v>
      </c>
      <c r="G97" s="32"/>
      <c r="H97" s="244"/>
      <c r="I97" s="33">
        <v>7.6</v>
      </c>
      <c r="J97" s="73">
        <f t="shared" si="6"/>
        <v>18896.761600000002</v>
      </c>
      <c r="K97" s="263">
        <f t="shared" si="5"/>
        <v>18896.761600000002</v>
      </c>
      <c r="L97" s="1"/>
    </row>
    <row r="98" spans="1:12" s="45" customFormat="1" ht="15" hidden="1" customHeight="1">
      <c r="A98" s="284"/>
      <c r="B98" s="105" t="s">
        <v>72</v>
      </c>
      <c r="C98" s="38" t="s">
        <v>23</v>
      </c>
      <c r="D98" s="70" t="s">
        <v>56</v>
      </c>
      <c r="E98" s="64">
        <v>11</v>
      </c>
      <c r="F98" s="37">
        <v>3598.76</v>
      </c>
      <c r="G98" s="32"/>
      <c r="H98" s="110"/>
      <c r="I98" s="33">
        <v>1.3007599999999999</v>
      </c>
      <c r="J98" s="73">
        <f t="shared" si="6"/>
        <v>4681.1230575999998</v>
      </c>
      <c r="K98" s="263">
        <f t="shared" si="5"/>
        <v>4681.1230575999998</v>
      </c>
      <c r="L98" s="1"/>
    </row>
    <row r="99" spans="1:12" s="44" customFormat="1" ht="15" hidden="1" customHeight="1">
      <c r="A99" s="284"/>
      <c r="B99" s="105" t="s">
        <v>73</v>
      </c>
      <c r="C99" s="38" t="s">
        <v>23</v>
      </c>
      <c r="D99" s="70" t="s">
        <v>19</v>
      </c>
      <c r="E99" s="64">
        <v>0.4</v>
      </c>
      <c r="F99" s="37">
        <v>130.864</v>
      </c>
      <c r="G99" s="32"/>
      <c r="H99" s="244"/>
      <c r="I99" s="33">
        <v>123.5</v>
      </c>
      <c r="J99" s="73">
        <f t="shared" si="6"/>
        <v>16161.704</v>
      </c>
      <c r="K99" s="263">
        <f t="shared" si="5"/>
        <v>16161.704</v>
      </c>
      <c r="L99" s="1"/>
    </row>
    <row r="100" spans="1:12" s="45" customFormat="1" ht="25.5" hidden="1" customHeight="1">
      <c r="A100" s="288">
        <f>A93+1</f>
        <v>20</v>
      </c>
      <c r="B100" s="61" t="s">
        <v>79</v>
      </c>
      <c r="C100" s="38" t="s">
        <v>29</v>
      </c>
      <c r="D100" s="38" t="s">
        <v>30</v>
      </c>
      <c r="E100" s="64"/>
      <c r="F100" s="97">
        <v>327.16000000000003</v>
      </c>
      <c r="G100" s="32">
        <v>250</v>
      </c>
      <c r="H100" s="235">
        <f>F100*G100</f>
        <v>81790</v>
      </c>
      <c r="I100" s="33"/>
      <c r="J100" s="66"/>
      <c r="K100" s="260">
        <f t="shared" si="5"/>
        <v>81790</v>
      </c>
      <c r="L100" s="1"/>
    </row>
    <row r="101" spans="1:12" s="44" customFormat="1" ht="15" hidden="1" customHeight="1">
      <c r="A101" s="284"/>
      <c r="B101" s="105" t="s">
        <v>80</v>
      </c>
      <c r="C101" s="38" t="s">
        <v>29</v>
      </c>
      <c r="D101" s="70" t="s">
        <v>81</v>
      </c>
      <c r="E101" s="64">
        <f>499*0.085*1.02/1000</f>
        <v>4.3263300000000011E-2</v>
      </c>
      <c r="F101" s="37">
        <f>F100*E101</f>
        <v>14.154021228000005</v>
      </c>
      <c r="G101" s="32"/>
      <c r="H101" s="244"/>
      <c r="I101" s="33">
        <v>5473.05</v>
      </c>
      <c r="J101" s="73">
        <f t="shared" ref="J101:J107" si="7">F101*I101</f>
        <v>77465.665881905428</v>
      </c>
      <c r="K101" s="263">
        <f t="shared" si="5"/>
        <v>77465.665881905428</v>
      </c>
      <c r="L101" s="1"/>
    </row>
    <row r="102" spans="1:12" s="44" customFormat="1" ht="15" hidden="1" customHeight="1">
      <c r="A102" s="284"/>
      <c r="B102" s="105" t="s">
        <v>82</v>
      </c>
      <c r="C102" s="38" t="s">
        <v>29</v>
      </c>
      <c r="D102" s="70" t="s">
        <v>81</v>
      </c>
      <c r="E102" s="64">
        <f>1792*0.8*0.085*1.02/1000</f>
        <v>0.12429312000000003</v>
      </c>
      <c r="F102" s="37">
        <f>F100*E102</f>
        <v>40.663737139200016</v>
      </c>
      <c r="G102" s="32"/>
      <c r="H102" s="244"/>
      <c r="I102" s="33">
        <v>823.63</v>
      </c>
      <c r="J102" s="73">
        <f t="shared" si="7"/>
        <v>33491.873819959306</v>
      </c>
      <c r="K102" s="263">
        <f t="shared" si="5"/>
        <v>33491.873819959306</v>
      </c>
      <c r="L102" s="1"/>
    </row>
    <row r="103" spans="1:12" s="45" customFormat="1" ht="15" hidden="1" customHeight="1">
      <c r="A103" s="284"/>
      <c r="B103" s="105" t="s">
        <v>83</v>
      </c>
      <c r="C103" s="38" t="s">
        <v>29</v>
      </c>
      <c r="D103" s="70" t="s">
        <v>81</v>
      </c>
      <c r="E103" s="64">
        <f>1792*0.2*0.85*1.02/1000</f>
        <v>0.31073280000000003</v>
      </c>
      <c r="F103" s="37">
        <f>F100*E103</f>
        <v>101.65934284800002</v>
      </c>
      <c r="G103" s="32"/>
      <c r="H103" s="110"/>
      <c r="I103" s="33">
        <v>374.49299999999999</v>
      </c>
      <c r="J103" s="73">
        <f t="shared" si="7"/>
        <v>38070.712281176071</v>
      </c>
      <c r="K103" s="263">
        <f t="shared" si="5"/>
        <v>38070.712281176071</v>
      </c>
      <c r="L103" s="1"/>
    </row>
    <row r="104" spans="1:12" s="45" customFormat="1" ht="15" hidden="1" customHeight="1">
      <c r="A104" s="284"/>
      <c r="B104" s="105" t="s">
        <v>84</v>
      </c>
      <c r="C104" s="38" t="s">
        <v>29</v>
      </c>
      <c r="D104" s="70" t="s">
        <v>41</v>
      </c>
      <c r="E104" s="64">
        <v>1.1000000000000001</v>
      </c>
      <c r="F104" s="37">
        <f>F100*E104</f>
        <v>359.87600000000003</v>
      </c>
      <c r="G104" s="32"/>
      <c r="H104" s="110"/>
      <c r="I104" s="33">
        <v>115.91449999999999</v>
      </c>
      <c r="J104" s="73">
        <f t="shared" si="7"/>
        <v>41714.846601999998</v>
      </c>
      <c r="K104" s="263">
        <f t="shared" si="5"/>
        <v>41714.846601999998</v>
      </c>
      <c r="L104" s="1"/>
    </row>
    <row r="105" spans="1:12" s="44" customFormat="1" ht="15" hidden="1" customHeight="1">
      <c r="A105" s="284"/>
      <c r="B105" s="105" t="s">
        <v>85</v>
      </c>
      <c r="C105" s="38" t="s">
        <v>29</v>
      </c>
      <c r="D105" s="70" t="s">
        <v>81</v>
      </c>
      <c r="E105" s="64">
        <f>0.21/1000</f>
        <v>2.0999999999999998E-4</v>
      </c>
      <c r="F105" s="37">
        <f>F100*E105</f>
        <v>6.8703600000000004E-2</v>
      </c>
      <c r="G105" s="32"/>
      <c r="H105" s="244"/>
      <c r="I105" s="33">
        <v>56431.8</v>
      </c>
      <c r="J105" s="73">
        <f t="shared" si="7"/>
        <v>3877.0678144800004</v>
      </c>
      <c r="K105" s="263">
        <f t="shared" si="5"/>
        <v>3877.0678144800004</v>
      </c>
      <c r="L105" s="1"/>
    </row>
    <row r="106" spans="1:12" s="45" customFormat="1" ht="15" hidden="1" customHeight="1">
      <c r="A106" s="284"/>
      <c r="B106" s="105" t="s">
        <v>86</v>
      </c>
      <c r="C106" s="38" t="s">
        <v>29</v>
      </c>
      <c r="D106" s="70" t="s">
        <v>56</v>
      </c>
      <c r="E106" s="64">
        <v>4</v>
      </c>
      <c r="F106" s="37">
        <f>F100*E106</f>
        <v>1308.6400000000001</v>
      </c>
      <c r="G106" s="32"/>
      <c r="H106" s="110"/>
      <c r="I106" s="33">
        <v>0.67135999999999996</v>
      </c>
      <c r="J106" s="73">
        <f t="shared" si="7"/>
        <v>878.56855040000005</v>
      </c>
      <c r="K106" s="263">
        <f t="shared" si="5"/>
        <v>878.56855040000005</v>
      </c>
      <c r="L106" s="1"/>
    </row>
    <row r="107" spans="1:12" s="44" customFormat="1" ht="15" hidden="1" customHeight="1">
      <c r="A107" s="284"/>
      <c r="B107" s="105" t="s">
        <v>87</v>
      </c>
      <c r="C107" s="38" t="s">
        <v>29</v>
      </c>
      <c r="D107" s="70" t="s">
        <v>58</v>
      </c>
      <c r="E107" s="64"/>
      <c r="F107" s="37">
        <f>F100</f>
        <v>327.16000000000003</v>
      </c>
      <c r="G107" s="32"/>
      <c r="H107" s="244"/>
      <c r="I107" s="33">
        <v>7.0979999999999999</v>
      </c>
      <c r="J107" s="73">
        <f t="shared" si="7"/>
        <v>2322.1816800000001</v>
      </c>
      <c r="K107" s="263">
        <f t="shared" si="5"/>
        <v>2322.1816800000001</v>
      </c>
      <c r="L107" s="1"/>
    </row>
    <row r="108" spans="1:12" s="45" customFormat="1" ht="15" hidden="1" customHeight="1">
      <c r="A108" s="284"/>
      <c r="B108" s="105"/>
      <c r="C108" s="75"/>
      <c r="D108" s="70"/>
      <c r="E108" s="64"/>
      <c r="F108" s="37"/>
      <c r="G108" s="32"/>
      <c r="H108" s="110"/>
      <c r="I108" s="33"/>
      <c r="J108" s="73"/>
      <c r="K108" s="263"/>
      <c r="L108" s="1"/>
    </row>
    <row r="109" spans="1:12" s="45" customFormat="1" ht="15" hidden="1" customHeight="1">
      <c r="A109" s="282"/>
      <c r="B109" s="117" t="s">
        <v>88</v>
      </c>
      <c r="C109" s="265"/>
      <c r="D109" s="266"/>
      <c r="E109" s="267"/>
      <c r="F109" s="266"/>
      <c r="G109" s="57"/>
      <c r="H109" s="266"/>
      <c r="I109" s="59"/>
      <c r="J109" s="268"/>
      <c r="K109" s="269"/>
      <c r="L109" s="1"/>
    </row>
    <row r="110" spans="1:12" s="45" customFormat="1" ht="15" hidden="1" customHeight="1">
      <c r="A110" s="288">
        <f>A100+1</f>
        <v>21</v>
      </c>
      <c r="B110" s="61" t="s">
        <v>77</v>
      </c>
      <c r="C110" s="38" t="s">
        <v>23</v>
      </c>
      <c r="D110" s="38" t="s">
        <v>30</v>
      </c>
      <c r="E110" s="102"/>
      <c r="F110" s="97">
        <v>52.89</v>
      </c>
      <c r="G110" s="32">
        <v>670</v>
      </c>
      <c r="H110" s="235">
        <f>F110*G110</f>
        <v>35436.300000000003</v>
      </c>
      <c r="I110" s="33"/>
      <c r="J110" s="66"/>
      <c r="K110" s="260">
        <f t="shared" ref="K110:K131" si="8">H110+J110</f>
        <v>35436.300000000003</v>
      </c>
      <c r="L110" s="1"/>
    </row>
    <row r="111" spans="1:12" s="45" customFormat="1" ht="15" hidden="1" customHeight="1">
      <c r="A111" s="284"/>
      <c r="B111" s="105" t="s">
        <v>24</v>
      </c>
      <c r="C111" s="38" t="s">
        <v>23</v>
      </c>
      <c r="D111" s="70" t="s">
        <v>41</v>
      </c>
      <c r="E111" s="102">
        <v>1.1000000000000001</v>
      </c>
      <c r="F111" s="37">
        <f>F110*E111</f>
        <v>58.179000000000002</v>
      </c>
      <c r="G111" s="32"/>
      <c r="H111" s="110"/>
      <c r="I111" s="33">
        <v>401.24249999999995</v>
      </c>
      <c r="J111" s="73">
        <f>F111*I111</f>
        <v>23343.887407499999</v>
      </c>
      <c r="K111" s="263">
        <f t="shared" si="8"/>
        <v>23343.887407499999</v>
      </c>
      <c r="L111" s="1"/>
    </row>
    <row r="112" spans="1:12" s="44" customFormat="1" ht="15" hidden="1" customHeight="1">
      <c r="A112" s="284"/>
      <c r="B112" s="105" t="s">
        <v>34</v>
      </c>
      <c r="C112" s="38" t="s">
        <v>23</v>
      </c>
      <c r="D112" s="70" t="s">
        <v>21</v>
      </c>
      <c r="E112" s="102">
        <v>0.2</v>
      </c>
      <c r="F112" s="37">
        <f>F110*E112</f>
        <v>10.578000000000001</v>
      </c>
      <c r="G112" s="32"/>
      <c r="H112" s="244"/>
      <c r="I112" s="33">
        <v>37.450000000000003</v>
      </c>
      <c r="J112" s="73">
        <f>F112*I112</f>
        <v>396.14610000000005</v>
      </c>
      <c r="K112" s="263">
        <f t="shared" si="8"/>
        <v>396.14610000000005</v>
      </c>
      <c r="L112" s="1"/>
    </row>
    <row r="113" spans="1:12" s="44" customFormat="1" ht="15" hidden="1" customHeight="1">
      <c r="A113" s="284"/>
      <c r="B113" s="105" t="s">
        <v>71</v>
      </c>
      <c r="C113" s="38" t="s">
        <v>23</v>
      </c>
      <c r="D113" s="70" t="s">
        <v>19</v>
      </c>
      <c r="E113" s="102">
        <v>7.6</v>
      </c>
      <c r="F113" s="37">
        <f>F110*E113</f>
        <v>401.964</v>
      </c>
      <c r="G113" s="32"/>
      <c r="H113" s="244"/>
      <c r="I113" s="33">
        <v>7.6</v>
      </c>
      <c r="J113" s="73">
        <f>F113*I113</f>
        <v>3054.9263999999998</v>
      </c>
      <c r="K113" s="263">
        <f t="shared" si="8"/>
        <v>3054.9263999999998</v>
      </c>
      <c r="L113" s="1"/>
    </row>
    <row r="114" spans="1:12" s="45" customFormat="1" ht="15" hidden="1" customHeight="1">
      <c r="A114" s="284"/>
      <c r="B114" s="105" t="s">
        <v>72</v>
      </c>
      <c r="C114" s="38" t="s">
        <v>23</v>
      </c>
      <c r="D114" s="70" t="s">
        <v>56</v>
      </c>
      <c r="E114" s="102">
        <v>11</v>
      </c>
      <c r="F114" s="37">
        <f>F110*E114</f>
        <v>581.79</v>
      </c>
      <c r="G114" s="32"/>
      <c r="H114" s="110"/>
      <c r="I114" s="33">
        <v>1.3007599999999999</v>
      </c>
      <c r="J114" s="73">
        <f>F114*I114</f>
        <v>756.76916039999992</v>
      </c>
      <c r="K114" s="263">
        <f t="shared" si="8"/>
        <v>756.76916039999992</v>
      </c>
      <c r="L114" s="1"/>
    </row>
    <row r="115" spans="1:12" s="44" customFormat="1" ht="15" hidden="1" customHeight="1">
      <c r="A115" s="284"/>
      <c r="B115" s="105" t="s">
        <v>73</v>
      </c>
      <c r="C115" s="38" t="s">
        <v>23</v>
      </c>
      <c r="D115" s="70" t="s">
        <v>19</v>
      </c>
      <c r="E115" s="102">
        <v>0.4</v>
      </c>
      <c r="F115" s="37">
        <f>F110*E115</f>
        <v>21.156000000000002</v>
      </c>
      <c r="G115" s="32"/>
      <c r="H115" s="244"/>
      <c r="I115" s="33">
        <v>123.5</v>
      </c>
      <c r="J115" s="73">
        <f>F115*I115</f>
        <v>2612.7660000000001</v>
      </c>
      <c r="K115" s="263">
        <f t="shared" si="8"/>
        <v>2612.7660000000001</v>
      </c>
      <c r="L115" s="1"/>
    </row>
    <row r="116" spans="1:12" s="45" customFormat="1" ht="15" hidden="1" customHeight="1">
      <c r="A116" s="288">
        <f>A110+1</f>
        <v>22</v>
      </c>
      <c r="B116" s="61" t="s">
        <v>89</v>
      </c>
      <c r="C116" s="38" t="s">
        <v>29</v>
      </c>
      <c r="D116" s="38" t="s">
        <v>30</v>
      </c>
      <c r="E116" s="102"/>
      <c r="F116" s="97">
        <f>F110</f>
        <v>52.89</v>
      </c>
      <c r="G116" s="32">
        <v>100</v>
      </c>
      <c r="H116" s="235">
        <f>F116*G116</f>
        <v>5289</v>
      </c>
      <c r="I116" s="33"/>
      <c r="J116" s="66"/>
      <c r="K116" s="260">
        <f t="shared" si="8"/>
        <v>5289</v>
      </c>
      <c r="L116" s="1"/>
    </row>
    <row r="117" spans="1:12" s="44" customFormat="1" ht="15" hidden="1" customHeight="1">
      <c r="A117" s="284"/>
      <c r="B117" s="105" t="s">
        <v>34</v>
      </c>
      <c r="C117" s="38" t="s">
        <v>29</v>
      </c>
      <c r="D117" s="70" t="s">
        <v>21</v>
      </c>
      <c r="E117" s="102">
        <v>0.2</v>
      </c>
      <c r="F117" s="37">
        <f>F116*E117</f>
        <v>10.578000000000001</v>
      </c>
      <c r="G117" s="32"/>
      <c r="H117" s="244"/>
      <c r="I117" s="33">
        <v>37.450000000000003</v>
      </c>
      <c r="J117" s="73">
        <f>F117*I117</f>
        <v>396.14610000000005</v>
      </c>
      <c r="K117" s="263">
        <f t="shared" si="8"/>
        <v>396.14610000000005</v>
      </c>
      <c r="L117" s="1"/>
    </row>
    <row r="118" spans="1:12" s="44" customFormat="1" ht="15" hidden="1" customHeight="1">
      <c r="A118" s="284"/>
      <c r="B118" s="105" t="s">
        <v>90</v>
      </c>
      <c r="C118" s="38" t="s">
        <v>29</v>
      </c>
      <c r="D118" s="70" t="s">
        <v>19</v>
      </c>
      <c r="E118" s="102">
        <v>4.8</v>
      </c>
      <c r="F118" s="37">
        <f>F116*E118</f>
        <v>253.87199999999999</v>
      </c>
      <c r="G118" s="32"/>
      <c r="H118" s="244"/>
      <c r="I118" s="33">
        <v>20.329999999999998</v>
      </c>
      <c r="J118" s="73">
        <f>F118*I118</f>
        <v>5161.2177599999995</v>
      </c>
      <c r="K118" s="263">
        <f t="shared" si="8"/>
        <v>5161.2177599999995</v>
      </c>
      <c r="L118" s="1"/>
    </row>
    <row r="119" spans="1:12" s="45" customFormat="1" ht="25.5" hidden="1" customHeight="1">
      <c r="A119" s="288">
        <f>A116+1</f>
        <v>23</v>
      </c>
      <c r="B119" s="61" t="s">
        <v>79</v>
      </c>
      <c r="C119" s="38" t="s">
        <v>29</v>
      </c>
      <c r="D119" s="38" t="s">
        <v>30</v>
      </c>
      <c r="E119" s="102"/>
      <c r="F119" s="97">
        <f>F110</f>
        <v>52.89</v>
      </c>
      <c r="G119" s="32">
        <v>250</v>
      </c>
      <c r="H119" s="235">
        <f>F119*G119</f>
        <v>13222.5</v>
      </c>
      <c r="I119" s="33"/>
      <c r="J119" s="66"/>
      <c r="K119" s="260">
        <f t="shared" si="8"/>
        <v>13222.5</v>
      </c>
      <c r="L119" s="1"/>
    </row>
    <row r="120" spans="1:12" s="44" customFormat="1" ht="15" hidden="1" customHeight="1">
      <c r="A120" s="284"/>
      <c r="B120" s="105" t="s">
        <v>80</v>
      </c>
      <c r="C120" s="38" t="s">
        <v>29</v>
      </c>
      <c r="D120" s="70" t="s">
        <v>81</v>
      </c>
      <c r="E120" s="102">
        <f>(499*0.085*1.02)/1000</f>
        <v>4.3263300000000011E-2</v>
      </c>
      <c r="F120" s="37">
        <f>F119*E120</f>
        <v>2.2881959370000007</v>
      </c>
      <c r="G120" s="32"/>
      <c r="H120" s="244"/>
      <c r="I120" s="33">
        <v>5473.05</v>
      </c>
      <c r="J120" s="73">
        <f t="shared" ref="J120:J126" si="9">F120*I120</f>
        <v>12523.410772997855</v>
      </c>
      <c r="K120" s="263">
        <f t="shared" si="8"/>
        <v>12523.410772997855</v>
      </c>
      <c r="L120" s="1"/>
    </row>
    <row r="121" spans="1:12" s="44" customFormat="1" ht="15" hidden="1" customHeight="1">
      <c r="A121" s="284"/>
      <c r="B121" s="105" t="s">
        <v>82</v>
      </c>
      <c r="C121" s="38" t="s">
        <v>29</v>
      </c>
      <c r="D121" s="70" t="s">
        <v>81</v>
      </c>
      <c r="E121" s="102">
        <f>(1792*0.8*0.085*1.02)/1000</f>
        <v>0.12429312000000003</v>
      </c>
      <c r="F121" s="37">
        <f>F119*E121</f>
        <v>6.5738631168000019</v>
      </c>
      <c r="G121" s="32"/>
      <c r="H121" s="244"/>
      <c r="I121" s="33">
        <v>823.63</v>
      </c>
      <c r="J121" s="73">
        <f t="shared" si="9"/>
        <v>5414.4308788899853</v>
      </c>
      <c r="K121" s="263">
        <f t="shared" si="8"/>
        <v>5414.4308788899853</v>
      </c>
      <c r="L121" s="1"/>
    </row>
    <row r="122" spans="1:12" s="45" customFormat="1" ht="15" hidden="1" customHeight="1">
      <c r="A122" s="284"/>
      <c r="B122" s="105" t="s">
        <v>83</v>
      </c>
      <c r="C122" s="38" t="s">
        <v>29</v>
      </c>
      <c r="D122" s="70" t="s">
        <v>81</v>
      </c>
      <c r="E122" s="102">
        <f>(1792*0.2*0.085*1.02)/1000</f>
        <v>3.1073280000000009E-2</v>
      </c>
      <c r="F122" s="37">
        <f>F119*E122</f>
        <v>1.6434657792000005</v>
      </c>
      <c r="G122" s="32"/>
      <c r="H122" s="110"/>
      <c r="I122" s="33">
        <v>374.49299999999999</v>
      </c>
      <c r="J122" s="73">
        <f t="shared" si="9"/>
        <v>615.46643004994576</v>
      </c>
      <c r="K122" s="263">
        <f t="shared" si="8"/>
        <v>615.46643004994576</v>
      </c>
      <c r="L122" s="1"/>
    </row>
    <row r="123" spans="1:12" s="45" customFormat="1" ht="15" hidden="1" customHeight="1">
      <c r="A123" s="284"/>
      <c r="B123" s="105" t="s">
        <v>84</v>
      </c>
      <c r="C123" s="38" t="s">
        <v>29</v>
      </c>
      <c r="D123" s="70" t="s">
        <v>41</v>
      </c>
      <c r="E123" s="102">
        <v>1.1000000000000001</v>
      </c>
      <c r="F123" s="37">
        <f>F119*E123</f>
        <v>58.179000000000002</v>
      </c>
      <c r="G123" s="32"/>
      <c r="H123" s="110"/>
      <c r="I123" s="33">
        <v>115.91449999999999</v>
      </c>
      <c r="J123" s="73">
        <f t="shared" si="9"/>
        <v>6743.7896954999997</v>
      </c>
      <c r="K123" s="263">
        <f t="shared" si="8"/>
        <v>6743.7896954999997</v>
      </c>
      <c r="L123" s="1"/>
    </row>
    <row r="124" spans="1:12" s="44" customFormat="1" ht="15" hidden="1" customHeight="1">
      <c r="A124" s="284"/>
      <c r="B124" s="105" t="s">
        <v>85</v>
      </c>
      <c r="C124" s="38" t="s">
        <v>29</v>
      </c>
      <c r="D124" s="70" t="s">
        <v>81</v>
      </c>
      <c r="E124" s="102">
        <f>0.21/1000</f>
        <v>2.0999999999999998E-4</v>
      </c>
      <c r="F124" s="37">
        <f>F119*E124</f>
        <v>1.1106899999999999E-2</v>
      </c>
      <c r="G124" s="32"/>
      <c r="H124" s="244"/>
      <c r="I124" s="33">
        <v>56431.8</v>
      </c>
      <c r="J124" s="73">
        <f t="shared" si="9"/>
        <v>626.78235942000003</v>
      </c>
      <c r="K124" s="263">
        <f t="shared" si="8"/>
        <v>626.78235942000003</v>
      </c>
      <c r="L124" s="1"/>
    </row>
    <row r="125" spans="1:12" s="45" customFormat="1" ht="15" hidden="1" customHeight="1">
      <c r="A125" s="284"/>
      <c r="B125" s="105" t="s">
        <v>86</v>
      </c>
      <c r="C125" s="38" t="s">
        <v>29</v>
      </c>
      <c r="D125" s="70" t="s">
        <v>56</v>
      </c>
      <c r="E125" s="102">
        <v>4</v>
      </c>
      <c r="F125" s="37">
        <f>F119*E125</f>
        <v>211.56</v>
      </c>
      <c r="G125" s="32"/>
      <c r="H125" s="110"/>
      <c r="I125" s="33">
        <v>0.67135999999999996</v>
      </c>
      <c r="J125" s="73">
        <f t="shared" si="9"/>
        <v>142.03292159999998</v>
      </c>
      <c r="K125" s="263">
        <f t="shared" si="8"/>
        <v>142.03292159999998</v>
      </c>
      <c r="L125" s="1"/>
    </row>
    <row r="126" spans="1:12" s="44" customFormat="1" ht="15" hidden="1" customHeight="1">
      <c r="A126" s="284"/>
      <c r="B126" s="105" t="s">
        <v>87</v>
      </c>
      <c r="C126" s="38" t="s">
        <v>29</v>
      </c>
      <c r="D126" s="70" t="s">
        <v>58</v>
      </c>
      <c r="E126" s="102"/>
      <c r="F126" s="37">
        <f>F119</f>
        <v>52.89</v>
      </c>
      <c r="G126" s="32"/>
      <c r="H126" s="244"/>
      <c r="I126" s="33">
        <v>7.0979999999999999</v>
      </c>
      <c r="J126" s="73">
        <f t="shared" si="9"/>
        <v>375.41322000000002</v>
      </c>
      <c r="K126" s="263">
        <f t="shared" si="8"/>
        <v>375.41322000000002</v>
      </c>
      <c r="L126" s="1"/>
    </row>
    <row r="127" spans="1:12" s="45" customFormat="1" ht="15" hidden="1" customHeight="1">
      <c r="A127" s="288">
        <f>A119+1</f>
        <v>24</v>
      </c>
      <c r="B127" s="61" t="s">
        <v>91</v>
      </c>
      <c r="C127" s="38" t="s">
        <v>29</v>
      </c>
      <c r="D127" s="38" t="s">
        <v>30</v>
      </c>
      <c r="E127" s="102"/>
      <c r="F127" s="97">
        <f>F110</f>
        <v>52.89</v>
      </c>
      <c r="G127" s="32">
        <v>50</v>
      </c>
      <c r="H127" s="235">
        <f>F127*G127</f>
        <v>2644.5</v>
      </c>
      <c r="I127" s="33"/>
      <c r="J127" s="66"/>
      <c r="K127" s="260">
        <f t="shared" si="8"/>
        <v>2644.5</v>
      </c>
      <c r="L127" s="1"/>
    </row>
    <row r="128" spans="1:12" s="45" customFormat="1" ht="15" hidden="1" customHeight="1">
      <c r="A128" s="284"/>
      <c r="B128" s="105" t="s">
        <v>92</v>
      </c>
      <c r="C128" s="38" t="s">
        <v>29</v>
      </c>
      <c r="D128" s="70" t="s">
        <v>41</v>
      </c>
      <c r="E128" s="102">
        <v>1.1000000000000001</v>
      </c>
      <c r="F128" s="37">
        <f>F127*E128</f>
        <v>58.179000000000002</v>
      </c>
      <c r="G128" s="32"/>
      <c r="H128" s="110"/>
      <c r="I128" s="33">
        <v>14.05</v>
      </c>
      <c r="J128" s="73">
        <f>F128*I128</f>
        <v>817.41495000000009</v>
      </c>
      <c r="K128" s="263">
        <f t="shared" si="8"/>
        <v>817.41495000000009</v>
      </c>
      <c r="L128" s="1"/>
    </row>
    <row r="129" spans="1:12" s="44" customFormat="1" ht="15" hidden="1" customHeight="1">
      <c r="A129" s="284"/>
      <c r="B129" s="105" t="s">
        <v>93</v>
      </c>
      <c r="C129" s="38" t="s">
        <v>29</v>
      </c>
      <c r="D129" s="70" t="s">
        <v>58</v>
      </c>
      <c r="E129" s="102"/>
      <c r="F129" s="37">
        <f>F127*E129</f>
        <v>0</v>
      </c>
      <c r="G129" s="32"/>
      <c r="H129" s="244"/>
      <c r="I129" s="33">
        <v>4.96</v>
      </c>
      <c r="J129" s="73">
        <f>F129*I129</f>
        <v>0</v>
      </c>
      <c r="K129" s="263">
        <f t="shared" si="8"/>
        <v>0</v>
      </c>
      <c r="L129" s="1"/>
    </row>
    <row r="130" spans="1:12" s="45" customFormat="1" ht="15" hidden="1" customHeight="1">
      <c r="A130" s="288">
        <f>A127+1</f>
        <v>25</v>
      </c>
      <c r="B130" s="61" t="s">
        <v>94</v>
      </c>
      <c r="C130" s="38" t="s">
        <v>29</v>
      </c>
      <c r="D130" s="38" t="s">
        <v>30</v>
      </c>
      <c r="E130" s="102"/>
      <c r="F130" s="97">
        <f>F110</f>
        <v>52.89</v>
      </c>
      <c r="G130" s="32">
        <v>350</v>
      </c>
      <c r="H130" s="235">
        <f>F130*G130</f>
        <v>18511.5</v>
      </c>
      <c r="I130" s="33"/>
      <c r="J130" s="66"/>
      <c r="K130" s="260">
        <f t="shared" si="8"/>
        <v>18511.5</v>
      </c>
      <c r="L130" s="1"/>
    </row>
    <row r="131" spans="1:12" s="45" customFormat="1" ht="15" hidden="1" customHeight="1">
      <c r="A131" s="284"/>
      <c r="B131" s="105" t="s">
        <v>95</v>
      </c>
      <c r="C131" s="38" t="s">
        <v>29</v>
      </c>
      <c r="D131" s="70" t="s">
        <v>96</v>
      </c>
      <c r="E131" s="102">
        <f>0.3*1.02</f>
        <v>0.30599999999999999</v>
      </c>
      <c r="F131" s="37">
        <f>F130*E131</f>
        <v>16.184339999999999</v>
      </c>
      <c r="G131" s="32"/>
      <c r="H131" s="110"/>
      <c r="I131" s="33">
        <v>2448.1561999999999</v>
      </c>
      <c r="J131" s="73">
        <f>F131*I131</f>
        <v>39621.792313907994</v>
      </c>
      <c r="K131" s="263">
        <f t="shared" si="8"/>
        <v>39621.792313907994</v>
      </c>
      <c r="L131" s="1"/>
    </row>
    <row r="132" spans="1:12" s="45" customFormat="1" ht="15" hidden="1" customHeight="1">
      <c r="A132" s="284"/>
      <c r="B132" s="105"/>
      <c r="C132" s="75"/>
      <c r="D132" s="70"/>
      <c r="E132" s="64"/>
      <c r="F132" s="37"/>
      <c r="G132" s="32"/>
      <c r="H132" s="110"/>
      <c r="I132" s="33"/>
      <c r="J132" s="73"/>
      <c r="K132" s="263"/>
      <c r="L132" s="1"/>
    </row>
    <row r="133" spans="1:12" s="45" customFormat="1" ht="15" hidden="1" customHeight="1">
      <c r="A133" s="282"/>
      <c r="B133" s="117" t="s">
        <v>97</v>
      </c>
      <c r="C133" s="265"/>
      <c r="D133" s="266"/>
      <c r="E133" s="267"/>
      <c r="F133" s="266"/>
      <c r="G133" s="57"/>
      <c r="H133" s="266"/>
      <c r="I133" s="59"/>
      <c r="J133" s="268"/>
      <c r="K133" s="269"/>
      <c r="L133" s="1"/>
    </row>
    <row r="134" spans="1:12" s="45" customFormat="1" ht="15" hidden="1" customHeight="1">
      <c r="A134" s="288">
        <f>A130+1</f>
        <v>26</v>
      </c>
      <c r="B134" s="61" t="s">
        <v>77</v>
      </c>
      <c r="C134" s="38" t="s">
        <v>23</v>
      </c>
      <c r="D134" s="38" t="s">
        <v>30</v>
      </c>
      <c r="E134" s="102"/>
      <c r="F134" s="97">
        <v>208.22</v>
      </c>
      <c r="G134" s="32">
        <v>670</v>
      </c>
      <c r="H134" s="235">
        <f>F134*G134</f>
        <v>139507.4</v>
      </c>
      <c r="I134" s="33"/>
      <c r="J134" s="66"/>
      <c r="K134" s="260">
        <f t="shared" ref="K134:K154" si="10">H134+J134</f>
        <v>139507.4</v>
      </c>
      <c r="L134" s="1"/>
    </row>
    <row r="135" spans="1:12" s="45" customFormat="1" ht="15" hidden="1" customHeight="1">
      <c r="A135" s="284"/>
      <c r="B135" s="105" t="s">
        <v>24</v>
      </c>
      <c r="C135" s="38" t="s">
        <v>23</v>
      </c>
      <c r="D135" s="70" t="s">
        <v>41</v>
      </c>
      <c r="E135" s="102">
        <v>1.1000000000000001</v>
      </c>
      <c r="F135" s="37">
        <f>F134*E135</f>
        <v>229.04200000000003</v>
      </c>
      <c r="G135" s="32"/>
      <c r="H135" s="110"/>
      <c r="I135" s="33">
        <v>401.24249999999995</v>
      </c>
      <c r="J135" s="73">
        <f>F135*I135</f>
        <v>91901.384684999997</v>
      </c>
      <c r="K135" s="263">
        <f t="shared" si="10"/>
        <v>91901.384684999997</v>
      </c>
      <c r="L135" s="1"/>
    </row>
    <row r="136" spans="1:12" s="44" customFormat="1" ht="15" hidden="1" customHeight="1">
      <c r="A136" s="284"/>
      <c r="B136" s="105" t="s">
        <v>34</v>
      </c>
      <c r="C136" s="38" t="s">
        <v>23</v>
      </c>
      <c r="D136" s="70" t="s">
        <v>21</v>
      </c>
      <c r="E136" s="102">
        <v>0.2</v>
      </c>
      <c r="F136" s="37">
        <f>F134*E136</f>
        <v>41.644000000000005</v>
      </c>
      <c r="G136" s="32"/>
      <c r="H136" s="244"/>
      <c r="I136" s="33">
        <v>37.450000000000003</v>
      </c>
      <c r="J136" s="73">
        <f>F136*I136</f>
        <v>1559.5678000000003</v>
      </c>
      <c r="K136" s="263">
        <f t="shared" si="10"/>
        <v>1559.5678000000003</v>
      </c>
      <c r="L136" s="1"/>
    </row>
    <row r="137" spans="1:12" s="44" customFormat="1" ht="15" hidden="1" customHeight="1">
      <c r="A137" s="284"/>
      <c r="B137" s="105" t="s">
        <v>71</v>
      </c>
      <c r="C137" s="38" t="s">
        <v>23</v>
      </c>
      <c r="D137" s="70" t="s">
        <v>19</v>
      </c>
      <c r="E137" s="102">
        <v>7.6</v>
      </c>
      <c r="F137" s="37">
        <f>F134*E137</f>
        <v>1582.472</v>
      </c>
      <c r="G137" s="32"/>
      <c r="H137" s="244"/>
      <c r="I137" s="33">
        <v>7.6</v>
      </c>
      <c r="J137" s="73">
        <f>F137*I137</f>
        <v>12026.787199999999</v>
      </c>
      <c r="K137" s="263">
        <f t="shared" si="10"/>
        <v>12026.787199999999</v>
      </c>
      <c r="L137" s="1"/>
    </row>
    <row r="138" spans="1:12" s="45" customFormat="1" ht="15" hidden="1" customHeight="1">
      <c r="A138" s="284"/>
      <c r="B138" s="105" t="s">
        <v>72</v>
      </c>
      <c r="C138" s="38" t="s">
        <v>23</v>
      </c>
      <c r="D138" s="70" t="s">
        <v>56</v>
      </c>
      <c r="E138" s="102">
        <v>11</v>
      </c>
      <c r="F138" s="37">
        <f>F134*E138</f>
        <v>2290.42</v>
      </c>
      <c r="G138" s="32"/>
      <c r="H138" s="110"/>
      <c r="I138" s="33">
        <v>1.3007599999999999</v>
      </c>
      <c r="J138" s="73">
        <f>F138*I138</f>
        <v>2979.2867191999999</v>
      </c>
      <c r="K138" s="263">
        <f t="shared" si="10"/>
        <v>2979.2867191999999</v>
      </c>
      <c r="L138" s="1"/>
    </row>
    <row r="139" spans="1:12" s="44" customFormat="1" ht="15" hidden="1" customHeight="1">
      <c r="A139" s="284"/>
      <c r="B139" s="105" t="s">
        <v>73</v>
      </c>
      <c r="C139" s="38" t="s">
        <v>23</v>
      </c>
      <c r="D139" s="70" t="s">
        <v>19</v>
      </c>
      <c r="E139" s="102">
        <v>0.4</v>
      </c>
      <c r="F139" s="37">
        <f>F134*E139</f>
        <v>83.288000000000011</v>
      </c>
      <c r="G139" s="32"/>
      <c r="H139" s="244"/>
      <c r="I139" s="33">
        <v>123.5</v>
      </c>
      <c r="J139" s="73">
        <f>F139*I139</f>
        <v>10286.068000000001</v>
      </c>
      <c r="K139" s="263">
        <f t="shared" si="10"/>
        <v>10286.068000000001</v>
      </c>
      <c r="L139" s="1"/>
    </row>
    <row r="140" spans="1:12" s="45" customFormat="1" ht="25.5" hidden="1" customHeight="1">
      <c r="A140" s="288">
        <f>A134+1</f>
        <v>27</v>
      </c>
      <c r="B140" s="61" t="s">
        <v>183</v>
      </c>
      <c r="C140" s="38" t="s">
        <v>29</v>
      </c>
      <c r="D140" s="38" t="s">
        <v>30</v>
      </c>
      <c r="E140" s="102"/>
      <c r="F140" s="97">
        <f>F134</f>
        <v>208.22</v>
      </c>
      <c r="G140" s="32">
        <v>250</v>
      </c>
      <c r="H140" s="235">
        <f>F140*G140</f>
        <v>52055</v>
      </c>
      <c r="I140" s="33"/>
      <c r="J140" s="66"/>
      <c r="K140" s="260">
        <f t="shared" si="10"/>
        <v>52055</v>
      </c>
      <c r="L140" s="1"/>
    </row>
    <row r="141" spans="1:12" s="44" customFormat="1" ht="15" hidden="1" customHeight="1">
      <c r="A141" s="284"/>
      <c r="B141" s="105" t="s">
        <v>80</v>
      </c>
      <c r="C141" s="38" t="s">
        <v>29</v>
      </c>
      <c r="D141" s="70" t="s">
        <v>81</v>
      </c>
      <c r="E141" s="102">
        <f>(499*0.08*1.02)/1000</f>
        <v>4.0718400000000002E-2</v>
      </c>
      <c r="F141" s="37">
        <f>F140*E141</f>
        <v>8.4783852480000004</v>
      </c>
      <c r="G141" s="32"/>
      <c r="H141" s="244"/>
      <c r="I141" s="33">
        <v>5473.05</v>
      </c>
      <c r="J141" s="73">
        <f t="shared" ref="J141:J147" si="11">F141*I141</f>
        <v>46402.626381566406</v>
      </c>
      <c r="K141" s="263">
        <f t="shared" si="10"/>
        <v>46402.626381566406</v>
      </c>
      <c r="L141" s="1"/>
    </row>
    <row r="142" spans="1:12" s="44" customFormat="1" ht="15" hidden="1" customHeight="1">
      <c r="A142" s="284"/>
      <c r="B142" s="105" t="s">
        <v>82</v>
      </c>
      <c r="C142" s="38" t="s">
        <v>29</v>
      </c>
      <c r="D142" s="70" t="s">
        <v>81</v>
      </c>
      <c r="E142" s="102">
        <f>(1792*0.8*0.08*1.02)/1000</f>
        <v>0.11698176000000002</v>
      </c>
      <c r="F142" s="37">
        <f>F140*E142</f>
        <v>24.357942067200003</v>
      </c>
      <c r="G142" s="32"/>
      <c r="H142" s="244"/>
      <c r="I142" s="33">
        <v>823.63</v>
      </c>
      <c r="J142" s="73">
        <f t="shared" si="11"/>
        <v>20061.93182480794</v>
      </c>
      <c r="K142" s="263">
        <f t="shared" si="10"/>
        <v>20061.93182480794</v>
      </c>
      <c r="L142" s="1"/>
    </row>
    <row r="143" spans="1:12" s="45" customFormat="1" ht="15" hidden="1" customHeight="1">
      <c r="A143" s="283"/>
      <c r="B143" s="105" t="s">
        <v>83</v>
      </c>
      <c r="C143" s="38" t="s">
        <v>29</v>
      </c>
      <c r="D143" s="70" t="s">
        <v>81</v>
      </c>
      <c r="E143" s="102">
        <f>(1792*0.2*0.08*1.02)/1000</f>
        <v>2.9245440000000004E-2</v>
      </c>
      <c r="F143" s="37">
        <f>F140*E143</f>
        <v>6.0894855168000008</v>
      </c>
      <c r="G143" s="32"/>
      <c r="H143" s="110"/>
      <c r="I143" s="33">
        <v>374.49299999999999</v>
      </c>
      <c r="J143" s="73">
        <f t="shared" si="11"/>
        <v>2280.4696996429825</v>
      </c>
      <c r="K143" s="263">
        <f t="shared" si="10"/>
        <v>2280.4696996429825</v>
      </c>
      <c r="L143" s="1"/>
    </row>
    <row r="144" spans="1:12" s="45" customFormat="1" ht="15" hidden="1" customHeight="1">
      <c r="A144" s="284"/>
      <c r="B144" s="105" t="s">
        <v>84</v>
      </c>
      <c r="C144" s="38" t="s">
        <v>29</v>
      </c>
      <c r="D144" s="70" t="s">
        <v>41</v>
      </c>
      <c r="E144" s="102">
        <v>1.1000000000000001</v>
      </c>
      <c r="F144" s="37">
        <f>F140*E144</f>
        <v>229.04200000000003</v>
      </c>
      <c r="G144" s="32"/>
      <c r="H144" s="110"/>
      <c r="I144" s="33">
        <v>115.91449999999999</v>
      </c>
      <c r="J144" s="73">
        <f t="shared" si="11"/>
        <v>26549.288909000003</v>
      </c>
      <c r="K144" s="263">
        <f t="shared" si="10"/>
        <v>26549.288909000003</v>
      </c>
      <c r="L144" s="1"/>
    </row>
    <row r="145" spans="1:12" s="44" customFormat="1" ht="15" hidden="1" customHeight="1">
      <c r="A145" s="284"/>
      <c r="B145" s="105" t="s">
        <v>85</v>
      </c>
      <c r="C145" s="38" t="s">
        <v>29</v>
      </c>
      <c r="D145" s="70" t="s">
        <v>81</v>
      </c>
      <c r="E145" s="102">
        <f>0.21/1000</f>
        <v>2.0999999999999998E-4</v>
      </c>
      <c r="F145" s="37">
        <f>F140*E145</f>
        <v>4.3726199999999993E-2</v>
      </c>
      <c r="G145" s="32"/>
      <c r="H145" s="244"/>
      <c r="I145" s="33">
        <v>56431.8</v>
      </c>
      <c r="J145" s="73">
        <f t="shared" si="11"/>
        <v>2467.5481731599998</v>
      </c>
      <c r="K145" s="263">
        <f t="shared" si="10"/>
        <v>2467.5481731599998</v>
      </c>
      <c r="L145" s="1"/>
    </row>
    <row r="146" spans="1:12" s="45" customFormat="1" ht="15" hidden="1" customHeight="1">
      <c r="A146" s="284"/>
      <c r="B146" s="105" t="s">
        <v>86</v>
      </c>
      <c r="C146" s="38" t="s">
        <v>29</v>
      </c>
      <c r="D146" s="70" t="s">
        <v>56</v>
      </c>
      <c r="E146" s="102">
        <v>4</v>
      </c>
      <c r="F146" s="37">
        <f>F140*E146</f>
        <v>832.88</v>
      </c>
      <c r="G146" s="32"/>
      <c r="H146" s="110"/>
      <c r="I146" s="33">
        <v>0.67135999999999996</v>
      </c>
      <c r="J146" s="73">
        <f t="shared" si="11"/>
        <v>559.16231679999999</v>
      </c>
      <c r="K146" s="263">
        <f t="shared" si="10"/>
        <v>559.16231679999999</v>
      </c>
      <c r="L146" s="1"/>
    </row>
    <row r="147" spans="1:12" s="44" customFormat="1" ht="15" hidden="1" customHeight="1">
      <c r="A147" s="284"/>
      <c r="B147" s="105" t="s">
        <v>87</v>
      </c>
      <c r="C147" s="38" t="s">
        <v>29</v>
      </c>
      <c r="D147" s="70" t="s">
        <v>58</v>
      </c>
      <c r="E147" s="102"/>
      <c r="F147" s="37">
        <f>F140</f>
        <v>208.22</v>
      </c>
      <c r="G147" s="32"/>
      <c r="H147" s="244"/>
      <c r="I147" s="33">
        <v>7.0979999999999999</v>
      </c>
      <c r="J147" s="73">
        <f t="shared" si="11"/>
        <v>1477.9455599999999</v>
      </c>
      <c r="K147" s="263">
        <f t="shared" si="10"/>
        <v>1477.9455599999999</v>
      </c>
      <c r="L147" s="1"/>
    </row>
    <row r="148" spans="1:12" s="45" customFormat="1" ht="25.5" hidden="1" customHeight="1">
      <c r="A148" s="288">
        <f>A140+1</f>
        <v>28</v>
      </c>
      <c r="B148" s="61" t="s">
        <v>98</v>
      </c>
      <c r="C148" s="38" t="s">
        <v>29</v>
      </c>
      <c r="D148" s="38" t="s">
        <v>30</v>
      </c>
      <c r="E148" s="102"/>
      <c r="F148" s="97">
        <f>F134</f>
        <v>208.22</v>
      </c>
      <c r="G148" s="32">
        <v>120</v>
      </c>
      <c r="H148" s="235">
        <f>F148*G148</f>
        <v>24986.400000000001</v>
      </c>
      <c r="I148" s="33"/>
      <c r="J148" s="66"/>
      <c r="K148" s="260">
        <f t="shared" si="10"/>
        <v>24986.400000000001</v>
      </c>
      <c r="L148" s="1"/>
    </row>
    <row r="149" spans="1:12" s="44" customFormat="1" ht="15" hidden="1" customHeight="1">
      <c r="A149" s="284"/>
      <c r="B149" s="105" t="s">
        <v>99</v>
      </c>
      <c r="C149" s="38" t="s">
        <v>29</v>
      </c>
      <c r="D149" s="70" t="s">
        <v>41</v>
      </c>
      <c r="E149" s="102">
        <v>1.1499999999999999</v>
      </c>
      <c r="F149" s="37">
        <f>F148*E149</f>
        <v>239.45299999999997</v>
      </c>
      <c r="G149" s="32"/>
      <c r="H149" s="244"/>
      <c r="I149" s="33">
        <v>161.51</v>
      </c>
      <c r="J149" s="73">
        <f>F149*I149</f>
        <v>38674.054029999992</v>
      </c>
      <c r="K149" s="263">
        <f t="shared" si="10"/>
        <v>38674.054029999992</v>
      </c>
      <c r="L149" s="1"/>
    </row>
    <row r="150" spans="1:12" s="45" customFormat="1" ht="15" hidden="1" customHeight="1">
      <c r="A150" s="284"/>
      <c r="B150" s="105" t="s">
        <v>100</v>
      </c>
      <c r="C150" s="38" t="s">
        <v>29</v>
      </c>
      <c r="D150" s="70" t="s">
        <v>58</v>
      </c>
      <c r="E150" s="102"/>
      <c r="F150" s="37">
        <f>F148</f>
        <v>208.22</v>
      </c>
      <c r="G150" s="32"/>
      <c r="H150" s="110"/>
      <c r="I150" s="33">
        <v>0.90213999999999994</v>
      </c>
      <c r="J150" s="73">
        <f>F150*I150</f>
        <v>187.84359079999999</v>
      </c>
      <c r="K150" s="263">
        <f t="shared" si="10"/>
        <v>187.84359079999999</v>
      </c>
      <c r="L150" s="1"/>
    </row>
    <row r="151" spans="1:12" s="45" customFormat="1" ht="15" hidden="1" customHeight="1">
      <c r="A151" s="288">
        <f>A148+1</f>
        <v>29</v>
      </c>
      <c r="B151" s="61" t="s">
        <v>101</v>
      </c>
      <c r="C151" s="38" t="s">
        <v>29</v>
      </c>
      <c r="D151" s="38" t="s">
        <v>30</v>
      </c>
      <c r="E151" s="102"/>
      <c r="F151" s="97">
        <f>F134</f>
        <v>208.22</v>
      </c>
      <c r="G151" s="32">
        <v>150</v>
      </c>
      <c r="H151" s="235">
        <f>F151*G151</f>
        <v>31233</v>
      </c>
      <c r="I151" s="33"/>
      <c r="J151" s="66"/>
      <c r="K151" s="260">
        <f t="shared" si="10"/>
        <v>31233</v>
      </c>
      <c r="L151" s="1"/>
    </row>
    <row r="152" spans="1:12" s="45" customFormat="1" ht="15" hidden="1" customHeight="1">
      <c r="A152" s="284"/>
      <c r="B152" s="105" t="s">
        <v>102</v>
      </c>
      <c r="C152" s="38" t="s">
        <v>29</v>
      </c>
      <c r="D152" s="70" t="s">
        <v>41</v>
      </c>
      <c r="E152" s="102">
        <f>1.15</f>
        <v>1.1499999999999999</v>
      </c>
      <c r="F152" s="37">
        <f>F151*E152</f>
        <v>239.45299999999997</v>
      </c>
      <c r="G152" s="32"/>
      <c r="H152" s="110"/>
      <c r="I152" s="33">
        <v>38.708099999999995</v>
      </c>
      <c r="J152" s="73">
        <f>F152*I152</f>
        <v>9268.7706692999982</v>
      </c>
      <c r="K152" s="263">
        <f t="shared" si="10"/>
        <v>9268.7706692999982</v>
      </c>
      <c r="L152" s="1"/>
    </row>
    <row r="153" spans="1:12" s="44" customFormat="1" ht="15" hidden="1" customHeight="1">
      <c r="A153" s="284"/>
      <c r="B153" s="105" t="s">
        <v>103</v>
      </c>
      <c r="C153" s="38" t="s">
        <v>29</v>
      </c>
      <c r="D153" s="70" t="s">
        <v>19</v>
      </c>
      <c r="E153" s="102">
        <v>0.3</v>
      </c>
      <c r="F153" s="37">
        <f>F151*E153</f>
        <v>62.465999999999994</v>
      </c>
      <c r="G153" s="32"/>
      <c r="H153" s="244"/>
      <c r="I153" s="33">
        <v>60.6</v>
      </c>
      <c r="J153" s="73">
        <f>F153*I153</f>
        <v>3785.4395999999997</v>
      </c>
      <c r="K153" s="263">
        <f t="shared" si="10"/>
        <v>3785.4395999999997</v>
      </c>
      <c r="L153" s="1"/>
    </row>
    <row r="154" spans="1:12" s="45" customFormat="1" ht="15" hidden="1" customHeight="1">
      <c r="A154" s="288"/>
      <c r="B154" s="105" t="s">
        <v>104</v>
      </c>
      <c r="C154" s="38" t="s">
        <v>29</v>
      </c>
      <c r="D154" s="70" t="s">
        <v>21</v>
      </c>
      <c r="E154" s="64">
        <v>1</v>
      </c>
      <c r="F154" s="37">
        <f>E154*F151</f>
        <v>208.22</v>
      </c>
      <c r="G154" s="32"/>
      <c r="H154" s="110"/>
      <c r="I154" s="33">
        <v>35</v>
      </c>
      <c r="J154" s="73">
        <f>F154*I154</f>
        <v>7287.7</v>
      </c>
      <c r="K154" s="263">
        <f t="shared" si="10"/>
        <v>7287.7</v>
      </c>
      <c r="L154" s="1"/>
    </row>
    <row r="155" spans="1:12" s="45" customFormat="1" ht="15" hidden="1" customHeight="1">
      <c r="A155" s="282"/>
      <c r="B155" s="117" t="s">
        <v>105</v>
      </c>
      <c r="C155" s="265"/>
      <c r="D155" s="266"/>
      <c r="E155" s="267"/>
      <c r="F155" s="266"/>
      <c r="G155" s="57"/>
      <c r="H155" s="266"/>
      <c r="I155" s="59"/>
      <c r="J155" s="268"/>
      <c r="K155" s="269"/>
      <c r="L155" s="1"/>
    </row>
    <row r="156" spans="1:12" s="45" customFormat="1" ht="25.5" hidden="1" customHeight="1">
      <c r="A156" s="288">
        <f>A151+1</f>
        <v>30</v>
      </c>
      <c r="B156" s="61" t="s">
        <v>106</v>
      </c>
      <c r="C156" s="38" t="s">
        <v>23</v>
      </c>
      <c r="D156" s="38" t="s">
        <v>58</v>
      </c>
      <c r="E156" s="64"/>
      <c r="F156" s="97">
        <f>911.9+165.87+62.25</f>
        <v>1140.02</v>
      </c>
      <c r="G156" s="32">
        <v>200</v>
      </c>
      <c r="H156" s="235">
        <f>F156*G156</f>
        <v>228004</v>
      </c>
      <c r="I156" s="33"/>
      <c r="J156" s="66"/>
      <c r="K156" s="260">
        <f>H156+J156</f>
        <v>228004</v>
      </c>
      <c r="L156" s="1"/>
    </row>
    <row r="157" spans="1:12" s="45" customFormat="1" ht="15" hidden="1" customHeight="1">
      <c r="A157" s="284"/>
      <c r="B157" s="105" t="s">
        <v>24</v>
      </c>
      <c r="C157" s="38" t="s">
        <v>23</v>
      </c>
      <c r="D157" s="70" t="s">
        <v>41</v>
      </c>
      <c r="E157" s="64">
        <f>1.1*0.1</f>
        <v>0.11000000000000001</v>
      </c>
      <c r="F157" s="37">
        <f>F156*E157</f>
        <v>125.40220000000001</v>
      </c>
      <c r="G157" s="32"/>
      <c r="H157" s="110"/>
      <c r="I157" s="33">
        <v>401.24249999999995</v>
      </c>
      <c r="J157" s="73">
        <f>F157*I157</f>
        <v>50316.692233499998</v>
      </c>
      <c r="K157" s="263">
        <f>H157+J157</f>
        <v>50316.692233499998</v>
      </c>
      <c r="L157" s="1"/>
    </row>
    <row r="158" spans="1:12" s="44" customFormat="1" ht="15" hidden="1" customHeight="1">
      <c r="A158" s="284"/>
      <c r="B158" s="105" t="s">
        <v>34</v>
      </c>
      <c r="C158" s="38" t="s">
        <v>23</v>
      </c>
      <c r="D158" s="70" t="s">
        <v>21</v>
      </c>
      <c r="E158" s="64">
        <f>0.15*0.1</f>
        <v>1.4999999999999999E-2</v>
      </c>
      <c r="F158" s="37">
        <f>F156*E158</f>
        <v>17.100300000000001</v>
      </c>
      <c r="G158" s="32"/>
      <c r="H158" s="244"/>
      <c r="I158" s="33">
        <v>37.450000000000003</v>
      </c>
      <c r="J158" s="73">
        <f>F158*I158</f>
        <v>640.40623500000004</v>
      </c>
      <c r="K158" s="263">
        <f>H158+J158</f>
        <v>640.40623500000004</v>
      </c>
      <c r="L158" s="1"/>
    </row>
    <row r="159" spans="1:12" s="44" customFormat="1" ht="15" hidden="1" customHeight="1">
      <c r="A159" s="284"/>
      <c r="B159" s="105" t="s">
        <v>71</v>
      </c>
      <c r="C159" s="38" t="s">
        <v>23</v>
      </c>
      <c r="D159" s="70" t="s">
        <v>19</v>
      </c>
      <c r="E159" s="64">
        <f>7.6*0.1</f>
        <v>0.76</v>
      </c>
      <c r="F159" s="37">
        <f>F156*E159</f>
        <v>866.41520000000003</v>
      </c>
      <c r="G159" s="32"/>
      <c r="H159" s="244"/>
      <c r="I159" s="33">
        <v>7.6</v>
      </c>
      <c r="J159" s="73">
        <f>F159*I159</f>
        <v>6584.7555199999997</v>
      </c>
      <c r="K159" s="263">
        <f>H159+J159</f>
        <v>6584.7555199999997</v>
      </c>
      <c r="L159" s="1"/>
    </row>
    <row r="160" spans="1:12" s="44" customFormat="1" ht="15" hidden="1" customHeight="1">
      <c r="A160" s="284"/>
      <c r="B160" s="105" t="s">
        <v>73</v>
      </c>
      <c r="C160" s="38" t="s">
        <v>23</v>
      </c>
      <c r="D160" s="70" t="s">
        <v>19</v>
      </c>
      <c r="E160" s="64">
        <f>0.4*0.1</f>
        <v>4.0000000000000008E-2</v>
      </c>
      <c r="F160" s="37">
        <f>F156*E160</f>
        <v>45.600800000000007</v>
      </c>
      <c r="G160" s="32"/>
      <c r="H160" s="244"/>
      <c r="I160" s="33">
        <v>123.5</v>
      </c>
      <c r="J160" s="73">
        <f>F160*I160</f>
        <v>5631.698800000001</v>
      </c>
      <c r="K160" s="263">
        <f>H160+J160</f>
        <v>5631.698800000001</v>
      </c>
      <c r="L160" s="1"/>
    </row>
    <row r="161" spans="1:12" s="45" customFormat="1" ht="15" hidden="1" customHeight="1">
      <c r="A161" s="289"/>
      <c r="B161" s="76"/>
      <c r="C161" s="77"/>
      <c r="D161" s="76"/>
      <c r="E161" s="106"/>
      <c r="F161" s="107"/>
      <c r="G161" s="32"/>
      <c r="H161" s="81"/>
      <c r="I161" s="33"/>
      <c r="J161" s="82"/>
      <c r="K161" s="264"/>
      <c r="L161" s="1"/>
    </row>
    <row r="162" spans="1:12" s="45" customFormat="1" ht="15" hidden="1" customHeight="1">
      <c r="A162" s="249"/>
      <c r="B162" s="46" t="s">
        <v>107</v>
      </c>
      <c r="C162" s="250"/>
      <c r="D162" s="251"/>
      <c r="E162" s="252"/>
      <c r="F162" s="251"/>
      <c r="G162" s="39"/>
      <c r="H162" s="251"/>
      <c r="I162" s="40"/>
      <c r="J162" s="118"/>
      <c r="K162" s="254"/>
      <c r="L162" s="1"/>
    </row>
    <row r="163" spans="1:12" s="45" customFormat="1" ht="15" hidden="1" customHeight="1">
      <c r="A163" s="255"/>
      <c r="B163" s="24" t="s">
        <v>16</v>
      </c>
      <c r="C163" s="47"/>
      <c r="D163" s="48"/>
      <c r="E163" s="49"/>
      <c r="F163" s="50"/>
      <c r="G163" s="29"/>
      <c r="H163" s="51"/>
      <c r="I163" s="36"/>
      <c r="J163" s="52"/>
      <c r="K163" s="256"/>
      <c r="L163" s="1"/>
    </row>
    <row r="164" spans="1:12" s="45" customFormat="1" ht="25.5" hidden="1" customHeight="1">
      <c r="A164" s="257"/>
      <c r="B164" s="53" t="s">
        <v>108</v>
      </c>
      <c r="C164" s="53"/>
      <c r="D164" s="54"/>
      <c r="E164" s="55"/>
      <c r="F164" s="56"/>
      <c r="G164" s="57"/>
      <c r="H164" s="58"/>
      <c r="I164" s="59"/>
      <c r="J164" s="60"/>
      <c r="K164" s="258"/>
      <c r="L164" s="1"/>
    </row>
    <row r="165" spans="1:12" s="45" customFormat="1" ht="15" hidden="1" customHeight="1">
      <c r="A165" s="259" t="s">
        <v>15</v>
      </c>
      <c r="B165" s="61" t="s">
        <v>28</v>
      </c>
      <c r="C165" s="62" t="s">
        <v>29</v>
      </c>
      <c r="D165" s="63" t="s">
        <v>30</v>
      </c>
      <c r="E165" s="64"/>
      <c r="F165" s="65">
        <f>101.93+119.14+49.73</f>
        <v>270.8</v>
      </c>
      <c r="G165" s="32">
        <v>180</v>
      </c>
      <c r="H165" s="235">
        <f>F165*G165</f>
        <v>48744</v>
      </c>
      <c r="I165" s="33"/>
      <c r="J165" s="66"/>
      <c r="K165" s="260">
        <f>H165+J165</f>
        <v>48744</v>
      </c>
      <c r="L165" s="1"/>
    </row>
    <row r="166" spans="1:12" s="45" customFormat="1" ht="15" hidden="1" customHeight="1">
      <c r="A166" s="259"/>
      <c r="B166" s="41" t="s">
        <v>31</v>
      </c>
      <c r="C166" s="62" t="s">
        <v>29</v>
      </c>
      <c r="D166" s="67" t="s">
        <v>25</v>
      </c>
      <c r="E166" s="64">
        <v>0.02</v>
      </c>
      <c r="F166" s="68">
        <f>E166*F165</f>
        <v>5.4160000000000004</v>
      </c>
      <c r="G166" s="32"/>
      <c r="H166" s="69"/>
      <c r="I166" s="33">
        <v>288.47499999999997</v>
      </c>
      <c r="J166" s="43">
        <f>F166*I166</f>
        <v>1562.3806</v>
      </c>
      <c r="K166" s="261">
        <f>H166+J166</f>
        <v>1562.3806</v>
      </c>
      <c r="L166" s="1"/>
    </row>
    <row r="167" spans="1:12" s="45" customFormat="1" ht="15" hidden="1" customHeight="1">
      <c r="A167" s="262">
        <f>A165+1</f>
        <v>2</v>
      </c>
      <c r="B167" s="61" t="s">
        <v>32</v>
      </c>
      <c r="C167" s="38" t="s">
        <v>20</v>
      </c>
      <c r="D167" s="63" t="s">
        <v>30</v>
      </c>
      <c r="E167" s="64"/>
      <c r="F167" s="65">
        <f>F165</f>
        <v>270.8</v>
      </c>
      <c r="G167" s="32">
        <v>200</v>
      </c>
      <c r="H167" s="235">
        <f>F167*G167</f>
        <v>54160</v>
      </c>
      <c r="I167" s="33"/>
      <c r="J167" s="66"/>
      <c r="K167" s="260">
        <f>H167+J167</f>
        <v>54160</v>
      </c>
      <c r="L167" s="1"/>
    </row>
    <row r="168" spans="1:12" s="44" customFormat="1" ht="25.5" hidden="1" customHeight="1">
      <c r="A168" s="259"/>
      <c r="B168" s="70" t="s">
        <v>33</v>
      </c>
      <c r="C168" s="38" t="s">
        <v>20</v>
      </c>
      <c r="D168" s="71" t="s">
        <v>21</v>
      </c>
      <c r="E168" s="64">
        <v>0.35</v>
      </c>
      <c r="F168" s="72">
        <f>F167*E168</f>
        <v>94.78</v>
      </c>
      <c r="G168" s="32"/>
      <c r="H168" s="236"/>
      <c r="I168" s="33">
        <v>122.50221999999999</v>
      </c>
      <c r="J168" s="73">
        <f>F168*I168</f>
        <v>11610.7604116</v>
      </c>
      <c r="K168" s="263">
        <f>H168+J168</f>
        <v>11610.7604116</v>
      </c>
      <c r="L168" s="1"/>
    </row>
    <row r="169" spans="1:12" s="44" customFormat="1" ht="15" hidden="1" customHeight="1">
      <c r="A169" s="259"/>
      <c r="B169" s="74" t="s">
        <v>34</v>
      </c>
      <c r="C169" s="38" t="s">
        <v>20</v>
      </c>
      <c r="D169" s="71" t="s">
        <v>21</v>
      </c>
      <c r="E169" s="64">
        <v>0.15</v>
      </c>
      <c r="F169" s="72">
        <f>F167*E169</f>
        <v>40.619999999999997</v>
      </c>
      <c r="G169" s="32"/>
      <c r="H169" s="236"/>
      <c r="I169" s="33">
        <v>37.450000000000003</v>
      </c>
      <c r="J169" s="73">
        <f>F169*I169</f>
        <v>1521.2190000000001</v>
      </c>
      <c r="K169" s="263">
        <f>H169+J169</f>
        <v>1521.2190000000001</v>
      </c>
      <c r="L169" s="1"/>
    </row>
    <row r="170" spans="1:12" s="45" customFormat="1" ht="15" hidden="1" customHeight="1">
      <c r="A170" s="257"/>
      <c r="B170" s="76"/>
      <c r="C170" s="77"/>
      <c r="D170" s="78"/>
      <c r="E170" s="79"/>
      <c r="F170" s="80"/>
      <c r="G170" s="32"/>
      <c r="H170" s="81"/>
      <c r="I170" s="33"/>
      <c r="J170" s="82"/>
      <c r="K170" s="264"/>
      <c r="L170" s="1"/>
    </row>
    <row r="171" spans="1:12" s="45" customFormat="1" ht="25.5" hidden="1" customHeight="1">
      <c r="A171" s="257"/>
      <c r="B171" s="53" t="s">
        <v>109</v>
      </c>
      <c r="C171" s="265"/>
      <c r="D171" s="266"/>
      <c r="E171" s="267"/>
      <c r="F171" s="266"/>
      <c r="G171" s="57"/>
      <c r="H171" s="266"/>
      <c r="I171" s="59"/>
      <c r="J171" s="268"/>
      <c r="K171" s="269"/>
      <c r="L171" s="1"/>
    </row>
    <row r="172" spans="1:12" s="45" customFormat="1" ht="15" hidden="1" customHeight="1">
      <c r="A172" s="274">
        <f>A167+1</f>
        <v>3</v>
      </c>
      <c r="B172" s="83" t="s">
        <v>36</v>
      </c>
      <c r="C172" s="19" t="s">
        <v>20</v>
      </c>
      <c r="D172" s="19" t="s">
        <v>30</v>
      </c>
      <c r="E172" s="69"/>
      <c r="F172" s="84">
        <f>998+131.9+103.5+34</f>
        <v>1267.4000000000001</v>
      </c>
      <c r="G172" s="32">
        <v>50</v>
      </c>
      <c r="H172" s="237">
        <f>F172*G172</f>
        <v>63370.000000000007</v>
      </c>
      <c r="I172" s="33"/>
      <c r="J172" s="43"/>
      <c r="K172" s="271">
        <f t="shared" ref="K172:K179" si="12">H172+J172</f>
        <v>63370.000000000007</v>
      </c>
      <c r="L172" s="1"/>
    </row>
    <row r="173" spans="1:12" s="44" customFormat="1" ht="15" hidden="1" customHeight="1">
      <c r="A173" s="272"/>
      <c r="B173" s="85" t="s">
        <v>37</v>
      </c>
      <c r="C173" s="19" t="s">
        <v>20</v>
      </c>
      <c r="D173" s="41" t="s">
        <v>19</v>
      </c>
      <c r="E173" s="21">
        <v>0.15</v>
      </c>
      <c r="F173" s="68">
        <f>E173*F172</f>
        <v>190.11</v>
      </c>
      <c r="G173" s="32"/>
      <c r="H173" s="238"/>
      <c r="I173" s="33">
        <v>37.81</v>
      </c>
      <c r="J173" s="43">
        <f>F173*I173</f>
        <v>7188.0591000000013</v>
      </c>
      <c r="K173" s="273">
        <f t="shared" si="12"/>
        <v>7188.0591000000013</v>
      </c>
      <c r="L173" s="1"/>
    </row>
    <row r="174" spans="1:12" s="45" customFormat="1" ht="15" customHeight="1">
      <c r="A174" s="274">
        <f>A172+1</f>
        <v>4</v>
      </c>
      <c r="B174" s="86" t="s">
        <v>38</v>
      </c>
      <c r="C174" s="69" t="s">
        <v>190</v>
      </c>
      <c r="D174" s="19" t="s">
        <v>30</v>
      </c>
      <c r="E174" s="69"/>
      <c r="F174" s="69">
        <f>F172</f>
        <v>1267.4000000000001</v>
      </c>
      <c r="G174" s="241">
        <v>200</v>
      </c>
      <c r="H174" s="237">
        <f>F174*G174</f>
        <v>253480.00000000003</v>
      </c>
      <c r="I174" s="33"/>
      <c r="J174" s="43"/>
      <c r="K174" s="271">
        <f t="shared" si="12"/>
        <v>253480.00000000003</v>
      </c>
      <c r="L174" s="137"/>
    </row>
    <row r="175" spans="1:12" s="44" customFormat="1" ht="15" customHeight="1">
      <c r="A175" s="275"/>
      <c r="B175" s="87" t="s">
        <v>39</v>
      </c>
      <c r="C175" s="69" t="s">
        <v>190</v>
      </c>
      <c r="D175" s="41" t="s">
        <v>19</v>
      </c>
      <c r="E175" s="21">
        <v>5</v>
      </c>
      <c r="F175" s="34">
        <f>E175*F174</f>
        <v>6337</v>
      </c>
      <c r="G175" s="241"/>
      <c r="H175" s="239"/>
      <c r="I175" s="33"/>
      <c r="J175" s="43">
        <f>F175*I175</f>
        <v>0</v>
      </c>
      <c r="K175" s="273">
        <f t="shared" si="12"/>
        <v>0</v>
      </c>
      <c r="L175" s="1"/>
    </row>
    <row r="176" spans="1:12" s="45" customFormat="1" ht="15" customHeight="1" thickBot="1">
      <c r="A176" s="275"/>
      <c r="B176" s="88" t="s">
        <v>40</v>
      </c>
      <c r="C176" s="69" t="s">
        <v>190</v>
      </c>
      <c r="D176" s="88" t="s">
        <v>41</v>
      </c>
      <c r="E176" s="89">
        <v>1.05</v>
      </c>
      <c r="F176" s="34">
        <f>E176*F174</f>
        <v>1330.7700000000002</v>
      </c>
      <c r="G176" s="241"/>
      <c r="H176" s="240"/>
      <c r="I176" s="33"/>
      <c r="J176" s="90">
        <f>F176*I176</f>
        <v>0</v>
      </c>
      <c r="K176" s="261">
        <f t="shared" si="12"/>
        <v>0</v>
      </c>
      <c r="L176" s="1"/>
    </row>
    <row r="177" spans="1:14" s="45" customFormat="1" ht="15" hidden="1" customHeight="1">
      <c r="A177" s="274">
        <f>A174+1</f>
        <v>5</v>
      </c>
      <c r="B177" s="61" t="s">
        <v>32</v>
      </c>
      <c r="C177" s="38" t="s">
        <v>20</v>
      </c>
      <c r="D177" s="38" t="s">
        <v>30</v>
      </c>
      <c r="E177" s="64"/>
      <c r="F177" s="97">
        <f>F172</f>
        <v>1267.4000000000001</v>
      </c>
      <c r="G177" s="241">
        <v>200</v>
      </c>
      <c r="H177" s="235">
        <f>F177*G177</f>
        <v>253480.00000000003</v>
      </c>
      <c r="I177" s="33"/>
      <c r="J177" s="66"/>
      <c r="K177" s="260">
        <f t="shared" si="12"/>
        <v>253480.00000000003</v>
      </c>
      <c r="L177" s="1"/>
    </row>
    <row r="178" spans="1:14" s="44" customFormat="1" ht="15" hidden="1" customHeight="1">
      <c r="A178" s="275"/>
      <c r="B178" s="74" t="s">
        <v>48</v>
      </c>
      <c r="C178" s="38" t="s">
        <v>20</v>
      </c>
      <c r="D178" s="70" t="s">
        <v>21</v>
      </c>
      <c r="E178" s="64">
        <v>0.35</v>
      </c>
      <c r="F178" s="68">
        <f>E178*F177</f>
        <v>443.59000000000003</v>
      </c>
      <c r="G178" s="32"/>
      <c r="H178" s="236"/>
      <c r="I178" s="33">
        <v>122.50221999999999</v>
      </c>
      <c r="J178" s="73">
        <f>F178*I178</f>
        <v>54340.759769800003</v>
      </c>
      <c r="K178" s="263">
        <f t="shared" si="12"/>
        <v>54340.759769800003</v>
      </c>
      <c r="L178" s="1"/>
    </row>
    <row r="179" spans="1:14" s="44" customFormat="1" ht="15" hidden="1" customHeight="1">
      <c r="A179" s="276"/>
      <c r="B179" s="98" t="s">
        <v>37</v>
      </c>
      <c r="C179" s="38" t="s">
        <v>20</v>
      </c>
      <c r="D179" s="41" t="s">
        <v>19</v>
      </c>
      <c r="E179" s="21">
        <v>0.15</v>
      </c>
      <c r="F179" s="68">
        <f>E179*F177</f>
        <v>190.11</v>
      </c>
      <c r="G179" s="32"/>
      <c r="H179" s="238"/>
      <c r="I179" s="33">
        <v>37.81</v>
      </c>
      <c r="J179" s="43">
        <f>F179*I179</f>
        <v>7188.0591000000013</v>
      </c>
      <c r="K179" s="273">
        <f t="shared" si="12"/>
        <v>7188.0591000000013</v>
      </c>
      <c r="L179" s="1"/>
    </row>
    <row r="180" spans="1:14" s="45" customFormat="1" ht="15" hidden="1" customHeight="1">
      <c r="A180" s="278"/>
      <c r="B180" s="98"/>
      <c r="C180" s="20"/>
      <c r="D180" s="41"/>
      <c r="E180" s="21"/>
      <c r="F180" s="68"/>
      <c r="G180" s="32"/>
      <c r="H180" s="43"/>
      <c r="I180" s="33"/>
      <c r="J180" s="43"/>
      <c r="K180" s="273"/>
      <c r="L180" s="1"/>
    </row>
    <row r="181" spans="1:14" s="45" customFormat="1" ht="15" hidden="1" customHeight="1">
      <c r="A181" s="23"/>
      <c r="B181" s="24" t="s">
        <v>22</v>
      </c>
      <c r="C181" s="25"/>
      <c r="D181" s="26"/>
      <c r="E181" s="27"/>
      <c r="F181" s="28"/>
      <c r="G181" s="29"/>
      <c r="H181" s="29" t="str">
        <f>IF(ISBLANK(G181),"",G181*F181)</f>
        <v/>
      </c>
      <c r="I181" s="36"/>
      <c r="J181" s="30" t="str">
        <f>IF(ISBLANK(I181),"",I181*F181)</f>
        <v/>
      </c>
      <c r="K181" s="290"/>
      <c r="L181" s="1"/>
    </row>
    <row r="182" spans="1:14" s="45" customFormat="1" ht="15" hidden="1" customHeight="1">
      <c r="A182" s="257"/>
      <c r="B182" s="53" t="s">
        <v>110</v>
      </c>
      <c r="C182" s="265"/>
      <c r="D182" s="266"/>
      <c r="E182" s="267"/>
      <c r="F182" s="266"/>
      <c r="G182" s="57"/>
      <c r="H182" s="266"/>
      <c r="I182" s="59"/>
      <c r="J182" s="268"/>
      <c r="K182" s="285"/>
      <c r="L182" s="1"/>
      <c r="M182" s="119"/>
      <c r="N182" s="119"/>
    </row>
    <row r="183" spans="1:14" s="45" customFormat="1" ht="15" hidden="1" customHeight="1">
      <c r="A183" s="262">
        <f>A177+1</f>
        <v>6</v>
      </c>
      <c r="B183" s="61" t="s">
        <v>52</v>
      </c>
      <c r="C183" s="38" t="s">
        <v>20</v>
      </c>
      <c r="D183" s="38" t="s">
        <v>30</v>
      </c>
      <c r="E183" s="102"/>
      <c r="F183" s="97">
        <f>354.7</f>
        <v>354.7</v>
      </c>
      <c r="G183" s="32">
        <v>250</v>
      </c>
      <c r="H183" s="235">
        <f>F183*G183</f>
        <v>88675</v>
      </c>
      <c r="I183" s="33"/>
      <c r="J183" s="66"/>
      <c r="K183" s="260">
        <f t="shared" ref="K183:K191" si="13">H183+J183</f>
        <v>88675</v>
      </c>
      <c r="L183" s="1"/>
    </row>
    <row r="184" spans="1:14" s="44" customFormat="1" ht="15" hidden="1" customHeight="1">
      <c r="A184" s="279"/>
      <c r="B184" s="74" t="s">
        <v>53</v>
      </c>
      <c r="C184" s="38" t="s">
        <v>20</v>
      </c>
      <c r="D184" s="70" t="s">
        <v>19</v>
      </c>
      <c r="E184" s="102">
        <v>1.8</v>
      </c>
      <c r="F184" s="68">
        <f>E184*F183</f>
        <v>638.46</v>
      </c>
      <c r="G184" s="32"/>
      <c r="H184" s="236"/>
      <c r="I184" s="33">
        <v>8.7200000000000006</v>
      </c>
      <c r="J184" s="73">
        <f>F184*I184</f>
        <v>5567.3712000000005</v>
      </c>
      <c r="K184" s="263">
        <f t="shared" si="13"/>
        <v>5567.3712000000005</v>
      </c>
      <c r="L184" s="1"/>
    </row>
    <row r="185" spans="1:14" s="44" customFormat="1" ht="15" hidden="1" customHeight="1">
      <c r="A185" s="279"/>
      <c r="B185" s="74" t="s">
        <v>54</v>
      </c>
      <c r="C185" s="38" t="s">
        <v>20</v>
      </c>
      <c r="D185" s="70" t="s">
        <v>19</v>
      </c>
      <c r="E185" s="102">
        <v>1.8</v>
      </c>
      <c r="F185" s="68">
        <f>E185*F183</f>
        <v>638.46</v>
      </c>
      <c r="G185" s="32"/>
      <c r="H185" s="236"/>
      <c r="I185" s="33">
        <v>18.690000000000001</v>
      </c>
      <c r="J185" s="73">
        <f>F185*I185</f>
        <v>11932.817400000002</v>
      </c>
      <c r="K185" s="263">
        <f t="shared" si="13"/>
        <v>11932.817400000002</v>
      </c>
      <c r="L185" s="1"/>
    </row>
    <row r="186" spans="1:14" s="44" customFormat="1" ht="15" hidden="1" customHeight="1">
      <c r="A186" s="279"/>
      <c r="B186" s="74" t="s">
        <v>34</v>
      </c>
      <c r="C186" s="38" t="s">
        <v>20</v>
      </c>
      <c r="D186" s="70" t="s">
        <v>21</v>
      </c>
      <c r="E186" s="102">
        <v>0.15</v>
      </c>
      <c r="F186" s="68">
        <f>E186*F183</f>
        <v>53.204999999999998</v>
      </c>
      <c r="G186" s="32"/>
      <c r="H186" s="236"/>
      <c r="I186" s="33">
        <v>37.450000000000003</v>
      </c>
      <c r="J186" s="73">
        <f>F186*I186</f>
        <v>1992.5272500000001</v>
      </c>
      <c r="K186" s="263">
        <f t="shared" si="13"/>
        <v>1992.5272500000001</v>
      </c>
      <c r="L186" s="1"/>
    </row>
    <row r="187" spans="1:14" s="44" customFormat="1" ht="15" hidden="1" customHeight="1">
      <c r="A187" s="279"/>
      <c r="B187" s="74" t="s">
        <v>55</v>
      </c>
      <c r="C187" s="38" t="s">
        <v>20</v>
      </c>
      <c r="D187" s="70" t="s">
        <v>56</v>
      </c>
      <c r="E187" s="102">
        <v>0.1</v>
      </c>
      <c r="F187" s="68">
        <f>E187*F183</f>
        <v>35.47</v>
      </c>
      <c r="G187" s="32"/>
      <c r="H187" s="236"/>
      <c r="I187" s="33">
        <v>19.260000000000002</v>
      </c>
      <c r="J187" s="73">
        <f>F187*I187</f>
        <v>683.15219999999999</v>
      </c>
      <c r="K187" s="263">
        <f t="shared" si="13"/>
        <v>683.15219999999999</v>
      </c>
      <c r="L187" s="1"/>
    </row>
    <row r="188" spans="1:14" s="44" customFormat="1" ht="15" hidden="1" customHeight="1">
      <c r="A188" s="279"/>
      <c r="B188" s="74" t="s">
        <v>57</v>
      </c>
      <c r="C188" s="38" t="s">
        <v>20</v>
      </c>
      <c r="D188" s="70" t="s">
        <v>58</v>
      </c>
      <c r="E188" s="102">
        <v>1.1000000000000001</v>
      </c>
      <c r="F188" s="68">
        <f>E188*F183</f>
        <v>390.17</v>
      </c>
      <c r="G188" s="32"/>
      <c r="H188" s="236"/>
      <c r="I188" s="33">
        <v>3.1240000000000001</v>
      </c>
      <c r="J188" s="73">
        <f>F188*I188</f>
        <v>1218.8910800000001</v>
      </c>
      <c r="K188" s="263">
        <f t="shared" si="13"/>
        <v>1218.8910800000001</v>
      </c>
      <c r="L188" s="1"/>
    </row>
    <row r="189" spans="1:14" s="45" customFormat="1" ht="15" hidden="1" customHeight="1">
      <c r="A189" s="280">
        <f>A183+1</f>
        <v>7</v>
      </c>
      <c r="B189" s="61" t="s">
        <v>59</v>
      </c>
      <c r="C189" s="38" t="s">
        <v>20</v>
      </c>
      <c r="D189" s="38" t="s">
        <v>30</v>
      </c>
      <c r="E189" s="102"/>
      <c r="F189" s="97">
        <f>F183</f>
        <v>354.7</v>
      </c>
      <c r="G189" s="32">
        <v>200</v>
      </c>
      <c r="H189" s="235">
        <f>F189*G189</f>
        <v>70940</v>
      </c>
      <c r="I189" s="33"/>
      <c r="J189" s="66"/>
      <c r="K189" s="260">
        <f t="shared" si="13"/>
        <v>70940</v>
      </c>
      <c r="L189" s="1"/>
    </row>
    <row r="190" spans="1:14" s="44" customFormat="1" ht="25.5" hidden="1" customHeight="1">
      <c r="A190" s="279"/>
      <c r="B190" s="103" t="s">
        <v>60</v>
      </c>
      <c r="C190" s="38" t="s">
        <v>20</v>
      </c>
      <c r="D190" s="70" t="s">
        <v>21</v>
      </c>
      <c r="E190" s="104">
        <v>0.35</v>
      </c>
      <c r="F190" s="68">
        <f>E190*F189</f>
        <v>124.14499999999998</v>
      </c>
      <c r="G190" s="32"/>
      <c r="H190" s="236"/>
      <c r="I190" s="33">
        <v>122.50221999999999</v>
      </c>
      <c r="J190" s="73">
        <f>F190*I190</f>
        <v>15208.038101899998</v>
      </c>
      <c r="K190" s="263">
        <f t="shared" si="13"/>
        <v>15208.038101899998</v>
      </c>
      <c r="L190" s="1"/>
    </row>
    <row r="191" spans="1:14" s="44" customFormat="1" ht="15" hidden="1" customHeight="1">
      <c r="A191" s="279"/>
      <c r="B191" s="105" t="s">
        <v>34</v>
      </c>
      <c r="C191" s="38" t="s">
        <v>20</v>
      </c>
      <c r="D191" s="70" t="s">
        <v>21</v>
      </c>
      <c r="E191" s="102">
        <v>0.15</v>
      </c>
      <c r="F191" s="68">
        <f>E191*F189</f>
        <v>53.204999999999998</v>
      </c>
      <c r="G191" s="32"/>
      <c r="H191" s="236"/>
      <c r="I191" s="33">
        <v>37.450000000000003</v>
      </c>
      <c r="J191" s="73">
        <f>F191*I191</f>
        <v>1992.5272500000001</v>
      </c>
      <c r="K191" s="263">
        <f t="shared" si="13"/>
        <v>1992.5272500000001</v>
      </c>
      <c r="L191" s="1"/>
    </row>
    <row r="192" spans="1:14" s="45" customFormat="1" ht="15" hidden="1" customHeight="1">
      <c r="A192" s="281"/>
      <c r="B192" s="76"/>
      <c r="C192" s="77"/>
      <c r="D192" s="76"/>
      <c r="E192" s="106"/>
      <c r="F192" s="107"/>
      <c r="G192" s="32"/>
      <c r="H192" s="81"/>
      <c r="I192" s="33"/>
      <c r="J192" s="82"/>
      <c r="K192" s="264"/>
      <c r="L192" s="1"/>
    </row>
    <row r="193" spans="1:12" s="45" customFormat="1" ht="15" hidden="1" customHeight="1">
      <c r="A193" s="257"/>
      <c r="B193" s="53" t="s">
        <v>111</v>
      </c>
      <c r="C193" s="53"/>
      <c r="D193" s="54"/>
      <c r="E193" s="55"/>
      <c r="F193" s="56"/>
      <c r="G193" s="57"/>
      <c r="H193" s="58"/>
      <c r="I193" s="59"/>
      <c r="J193" s="60"/>
      <c r="K193" s="258"/>
      <c r="L193" s="1"/>
    </row>
    <row r="194" spans="1:12" s="45" customFormat="1" ht="15" hidden="1" customHeight="1">
      <c r="A194" s="277">
        <f>A189+1</f>
        <v>8</v>
      </c>
      <c r="B194" s="61" t="s">
        <v>188</v>
      </c>
      <c r="C194" s="62" t="s">
        <v>29</v>
      </c>
      <c r="D194" s="63" t="s">
        <v>30</v>
      </c>
      <c r="E194" s="64"/>
      <c r="F194" s="65">
        <f>124.2+350.09</f>
        <v>474.28999999999996</v>
      </c>
      <c r="G194" s="32">
        <v>180</v>
      </c>
      <c r="H194" s="235">
        <f>F194*G194</f>
        <v>85372.2</v>
      </c>
      <c r="I194" s="33"/>
      <c r="J194" s="66"/>
      <c r="K194" s="260">
        <f>H194+J194</f>
        <v>85372.2</v>
      </c>
      <c r="L194" s="1"/>
    </row>
    <row r="195" spans="1:12" s="45" customFormat="1" ht="15" hidden="1" customHeight="1">
      <c r="A195" s="259"/>
      <c r="B195" s="41" t="s">
        <v>31</v>
      </c>
      <c r="C195" s="62" t="s">
        <v>29</v>
      </c>
      <c r="D195" s="67" t="s">
        <v>25</v>
      </c>
      <c r="E195" s="64">
        <v>0.02</v>
      </c>
      <c r="F195" s="68">
        <f>E195*F194</f>
        <v>9.4857999999999993</v>
      </c>
      <c r="G195" s="32"/>
      <c r="H195" s="69"/>
      <c r="I195" s="33">
        <v>288.47499999999997</v>
      </c>
      <c r="J195" s="43">
        <f>F195*I195</f>
        <v>2736.4161549999994</v>
      </c>
      <c r="K195" s="261">
        <f>H195+J195</f>
        <v>2736.4161549999994</v>
      </c>
      <c r="L195" s="1"/>
    </row>
    <row r="196" spans="1:12" s="45" customFormat="1" ht="15" hidden="1" customHeight="1">
      <c r="A196" s="262">
        <f>A194+1</f>
        <v>9</v>
      </c>
      <c r="B196" s="61" t="s">
        <v>59</v>
      </c>
      <c r="C196" s="38" t="s">
        <v>20</v>
      </c>
      <c r="D196" s="63" t="s">
        <v>30</v>
      </c>
      <c r="E196" s="64"/>
      <c r="F196" s="65">
        <f>F194</f>
        <v>474.28999999999996</v>
      </c>
      <c r="G196" s="241">
        <v>200</v>
      </c>
      <c r="H196" s="235">
        <f>F196*G196</f>
        <v>94858</v>
      </c>
      <c r="I196" s="33"/>
      <c r="J196" s="66"/>
      <c r="K196" s="260">
        <f>H196+J196</f>
        <v>94858</v>
      </c>
      <c r="L196" s="1"/>
    </row>
    <row r="197" spans="1:12" s="44" customFormat="1" ht="25.5" hidden="1" customHeight="1">
      <c r="A197" s="259"/>
      <c r="B197" s="70" t="s">
        <v>33</v>
      </c>
      <c r="C197" s="38" t="s">
        <v>20</v>
      </c>
      <c r="D197" s="71" t="s">
        <v>21</v>
      </c>
      <c r="E197" s="64">
        <v>0.35</v>
      </c>
      <c r="F197" s="72">
        <f>F196*E197</f>
        <v>166.00149999999996</v>
      </c>
      <c r="G197" s="32"/>
      <c r="H197" s="236"/>
      <c r="I197" s="33">
        <v>122.50221999999999</v>
      </c>
      <c r="J197" s="73">
        <f>F197*I197</f>
        <v>20335.552273329995</v>
      </c>
      <c r="K197" s="263">
        <f>H197+J197</f>
        <v>20335.552273329995</v>
      </c>
      <c r="L197" s="1"/>
    </row>
    <row r="198" spans="1:12" s="44" customFormat="1" ht="15" hidden="1" customHeight="1">
      <c r="A198" s="259"/>
      <c r="B198" s="74" t="s">
        <v>34</v>
      </c>
      <c r="C198" s="38" t="s">
        <v>20</v>
      </c>
      <c r="D198" s="71" t="s">
        <v>21</v>
      </c>
      <c r="E198" s="64">
        <v>0.15</v>
      </c>
      <c r="F198" s="72">
        <f>F196*E198</f>
        <v>71.143499999999989</v>
      </c>
      <c r="G198" s="32"/>
      <c r="H198" s="236"/>
      <c r="I198" s="33">
        <v>37.450000000000003</v>
      </c>
      <c r="J198" s="73">
        <f>F198*I198</f>
        <v>2664.324075</v>
      </c>
      <c r="K198" s="263">
        <f>H198+J198</f>
        <v>2664.324075</v>
      </c>
      <c r="L198" s="1"/>
    </row>
    <row r="199" spans="1:12" s="45" customFormat="1" ht="15" hidden="1" customHeight="1">
      <c r="A199" s="257"/>
      <c r="B199" s="76"/>
      <c r="C199" s="77"/>
      <c r="D199" s="78"/>
      <c r="E199" s="79"/>
      <c r="F199" s="80"/>
      <c r="G199" s="32"/>
      <c r="H199" s="81"/>
      <c r="I199" s="33"/>
      <c r="J199" s="82"/>
      <c r="K199" s="264"/>
      <c r="L199" s="1"/>
    </row>
    <row r="200" spans="1:12" s="45" customFormat="1" ht="15" hidden="1" customHeight="1">
      <c r="A200" s="282"/>
      <c r="B200" s="53" t="s">
        <v>62</v>
      </c>
      <c r="C200" s="53"/>
      <c r="D200" s="54"/>
      <c r="E200" s="108"/>
      <c r="F200" s="56"/>
      <c r="G200" s="57"/>
      <c r="H200" s="58"/>
      <c r="I200" s="59"/>
      <c r="J200" s="60"/>
      <c r="K200" s="258"/>
      <c r="L200" s="1"/>
    </row>
    <row r="201" spans="1:12" s="45" customFormat="1" ht="15" hidden="1" customHeight="1">
      <c r="A201" s="262">
        <f>A196+1</f>
        <v>10</v>
      </c>
      <c r="B201" s="61" t="s">
        <v>63</v>
      </c>
      <c r="C201" s="38" t="s">
        <v>17</v>
      </c>
      <c r="D201" s="38" t="s">
        <v>30</v>
      </c>
      <c r="E201" s="102"/>
      <c r="F201" s="97">
        <v>180.38</v>
      </c>
      <c r="G201" s="32">
        <v>250</v>
      </c>
      <c r="H201" s="235">
        <f>F201*G201</f>
        <v>45095</v>
      </c>
      <c r="I201" s="33"/>
      <c r="J201" s="66"/>
      <c r="K201" s="260">
        <f t="shared" ref="K201:K212" si="14">H201+J201</f>
        <v>45095</v>
      </c>
      <c r="L201" s="1"/>
    </row>
    <row r="202" spans="1:12" s="44" customFormat="1" ht="15" hidden="1" customHeight="1">
      <c r="A202" s="259"/>
      <c r="B202" s="103" t="s">
        <v>64</v>
      </c>
      <c r="C202" s="38" t="s">
        <v>17</v>
      </c>
      <c r="D202" s="70" t="s">
        <v>56</v>
      </c>
      <c r="E202" s="102">
        <v>0.4</v>
      </c>
      <c r="F202" s="37">
        <f>F201*E202</f>
        <v>72.152000000000001</v>
      </c>
      <c r="G202" s="32"/>
      <c r="H202" s="244"/>
      <c r="I202" s="33">
        <v>16.05</v>
      </c>
      <c r="J202" s="73">
        <f>F202*I202</f>
        <v>1158.0396000000001</v>
      </c>
      <c r="K202" s="263">
        <f t="shared" si="14"/>
        <v>1158.0396000000001</v>
      </c>
      <c r="L202" s="1"/>
    </row>
    <row r="203" spans="1:12" s="44" customFormat="1" ht="15" hidden="1" customHeight="1">
      <c r="A203" s="283"/>
      <c r="B203" s="103" t="s">
        <v>65</v>
      </c>
      <c r="C203" s="38" t="s">
        <v>17</v>
      </c>
      <c r="D203" s="70" t="s">
        <v>56</v>
      </c>
      <c r="E203" s="102">
        <v>0.4</v>
      </c>
      <c r="F203" s="37">
        <f>F201*E203</f>
        <v>72.152000000000001</v>
      </c>
      <c r="G203" s="32"/>
      <c r="H203" s="244"/>
      <c r="I203" s="33">
        <v>16.77</v>
      </c>
      <c r="J203" s="73">
        <f>F203*I203</f>
        <v>1209.9890399999999</v>
      </c>
      <c r="K203" s="263">
        <f t="shared" si="14"/>
        <v>1209.9890399999999</v>
      </c>
      <c r="L203" s="1"/>
    </row>
    <row r="204" spans="1:12" s="44" customFormat="1" ht="15" hidden="1" customHeight="1">
      <c r="A204" s="279"/>
      <c r="B204" s="103" t="s">
        <v>66</v>
      </c>
      <c r="C204" s="38" t="s">
        <v>17</v>
      </c>
      <c r="D204" s="70" t="s">
        <v>19</v>
      </c>
      <c r="E204" s="102">
        <v>25</v>
      </c>
      <c r="F204" s="37">
        <f>F201*E204</f>
        <v>4509.5</v>
      </c>
      <c r="G204" s="32"/>
      <c r="H204" s="244"/>
      <c r="I204" s="33">
        <v>4.9960000000000004</v>
      </c>
      <c r="J204" s="73">
        <f>F204*I204</f>
        <v>22529.462000000003</v>
      </c>
      <c r="K204" s="263">
        <f t="shared" si="14"/>
        <v>22529.462000000003</v>
      </c>
      <c r="L204" s="1"/>
    </row>
    <row r="205" spans="1:12" s="44" customFormat="1" ht="15" hidden="1" customHeight="1">
      <c r="A205" s="279"/>
      <c r="B205" s="103" t="s">
        <v>67</v>
      </c>
      <c r="C205" s="38" t="s">
        <v>17</v>
      </c>
      <c r="D205" s="70" t="s">
        <v>19</v>
      </c>
      <c r="E205" s="102">
        <v>0.3</v>
      </c>
      <c r="F205" s="37">
        <f>F201*E205</f>
        <v>54.113999999999997</v>
      </c>
      <c r="G205" s="32"/>
      <c r="H205" s="244"/>
      <c r="I205" s="33">
        <v>70.739999999999995</v>
      </c>
      <c r="J205" s="73">
        <f>F205*I205</f>
        <v>3828.0243599999994</v>
      </c>
      <c r="K205" s="263">
        <f t="shared" si="14"/>
        <v>3828.0243599999994</v>
      </c>
      <c r="L205" s="1"/>
    </row>
    <row r="206" spans="1:12" s="44" customFormat="1" ht="15" hidden="1" customHeight="1">
      <c r="A206" s="279"/>
      <c r="B206" s="103" t="s">
        <v>68</v>
      </c>
      <c r="C206" s="38" t="s">
        <v>17</v>
      </c>
      <c r="D206" s="70" t="s">
        <v>41</v>
      </c>
      <c r="E206" s="102">
        <v>0.1</v>
      </c>
      <c r="F206" s="37">
        <f>F201*E206</f>
        <v>18.038</v>
      </c>
      <c r="G206" s="32"/>
      <c r="H206" s="244"/>
      <c r="I206" s="33">
        <v>19.170000000000002</v>
      </c>
      <c r="J206" s="73">
        <f>F206*I206</f>
        <v>345.78846000000004</v>
      </c>
      <c r="K206" s="263">
        <f t="shared" si="14"/>
        <v>345.78846000000004</v>
      </c>
      <c r="L206" s="1"/>
    </row>
    <row r="207" spans="1:12" s="45" customFormat="1" ht="15" hidden="1" customHeight="1">
      <c r="A207" s="277">
        <f>A201+1</f>
        <v>11</v>
      </c>
      <c r="B207" s="61" t="s">
        <v>69</v>
      </c>
      <c r="C207" s="38" t="s">
        <v>23</v>
      </c>
      <c r="D207" s="38" t="s">
        <v>30</v>
      </c>
      <c r="E207" s="109"/>
      <c r="F207" s="97">
        <f>F201</f>
        <v>180.38</v>
      </c>
      <c r="G207" s="32">
        <v>1000</v>
      </c>
      <c r="H207" s="235">
        <f>F207*G207</f>
        <v>180380</v>
      </c>
      <c r="I207" s="33"/>
      <c r="J207" s="66"/>
      <c r="K207" s="260">
        <f t="shared" si="14"/>
        <v>180380</v>
      </c>
      <c r="L207" s="1"/>
    </row>
    <row r="208" spans="1:12" s="45" customFormat="1" ht="15" hidden="1" customHeight="1">
      <c r="A208" s="279"/>
      <c r="B208" s="105" t="s">
        <v>70</v>
      </c>
      <c r="C208" s="38" t="s">
        <v>23</v>
      </c>
      <c r="D208" s="70" t="s">
        <v>41</v>
      </c>
      <c r="E208" s="109">
        <v>1.1000000000000001</v>
      </c>
      <c r="F208" s="37">
        <f>F207*E208</f>
        <v>198.41800000000001</v>
      </c>
      <c r="G208" s="32"/>
      <c r="H208" s="110"/>
      <c r="I208" s="33">
        <v>874.16317000000004</v>
      </c>
      <c r="J208" s="73">
        <f>F208*I208</f>
        <v>173449.70786506002</v>
      </c>
      <c r="K208" s="263">
        <f t="shared" si="14"/>
        <v>173449.70786506002</v>
      </c>
      <c r="L208" s="1"/>
    </row>
    <row r="209" spans="1:12" s="44" customFormat="1" ht="15" hidden="1" customHeight="1">
      <c r="A209" s="279"/>
      <c r="B209" s="105" t="s">
        <v>34</v>
      </c>
      <c r="C209" s="38" t="s">
        <v>23</v>
      </c>
      <c r="D209" s="70" t="s">
        <v>21</v>
      </c>
      <c r="E209" s="109">
        <v>0.15</v>
      </c>
      <c r="F209" s="37">
        <f>F207*E209</f>
        <v>27.056999999999999</v>
      </c>
      <c r="G209" s="32"/>
      <c r="H209" s="244"/>
      <c r="I209" s="33">
        <v>37.450000000000003</v>
      </c>
      <c r="J209" s="73">
        <f>F209*I209</f>
        <v>1013.2846500000001</v>
      </c>
      <c r="K209" s="263">
        <f t="shared" si="14"/>
        <v>1013.2846500000001</v>
      </c>
      <c r="L209" s="1"/>
    </row>
    <row r="210" spans="1:12" s="44" customFormat="1" ht="15" hidden="1" customHeight="1">
      <c r="A210" s="279"/>
      <c r="B210" s="105" t="s">
        <v>71</v>
      </c>
      <c r="C210" s="38" t="s">
        <v>23</v>
      </c>
      <c r="D210" s="70" t="s">
        <v>19</v>
      </c>
      <c r="E210" s="109">
        <v>7.6</v>
      </c>
      <c r="F210" s="37">
        <f>F207*E210</f>
        <v>1370.8879999999999</v>
      </c>
      <c r="G210" s="32"/>
      <c r="H210" s="244"/>
      <c r="I210" s="33">
        <v>7.6</v>
      </c>
      <c r="J210" s="73">
        <f>F210*I210</f>
        <v>10418.748799999999</v>
      </c>
      <c r="K210" s="263">
        <f t="shared" si="14"/>
        <v>10418.748799999999</v>
      </c>
      <c r="L210" s="1"/>
    </row>
    <row r="211" spans="1:12" s="45" customFormat="1" ht="15" hidden="1" customHeight="1">
      <c r="A211" s="279"/>
      <c r="B211" s="105" t="s">
        <v>72</v>
      </c>
      <c r="C211" s="38" t="s">
        <v>23</v>
      </c>
      <c r="D211" s="70" t="s">
        <v>56</v>
      </c>
      <c r="E211" s="109">
        <v>11</v>
      </c>
      <c r="F211" s="37">
        <f>F207*E211</f>
        <v>1984.1799999999998</v>
      </c>
      <c r="G211" s="32"/>
      <c r="H211" s="110"/>
      <c r="I211" s="33">
        <v>1.3007599999999999</v>
      </c>
      <c r="J211" s="73">
        <f>F211*I211</f>
        <v>2580.9419767999998</v>
      </c>
      <c r="K211" s="263">
        <f t="shared" si="14"/>
        <v>2580.9419767999998</v>
      </c>
      <c r="L211" s="1"/>
    </row>
    <row r="212" spans="1:12" s="44" customFormat="1" ht="15" hidden="1" customHeight="1">
      <c r="A212" s="279"/>
      <c r="B212" s="105" t="s">
        <v>73</v>
      </c>
      <c r="C212" s="38" t="s">
        <v>23</v>
      </c>
      <c r="D212" s="70" t="s">
        <v>19</v>
      </c>
      <c r="E212" s="109">
        <v>0.4</v>
      </c>
      <c r="F212" s="37">
        <f>F207*E212</f>
        <v>72.152000000000001</v>
      </c>
      <c r="G212" s="32"/>
      <c r="H212" s="244"/>
      <c r="I212" s="33">
        <v>123.5</v>
      </c>
      <c r="J212" s="73">
        <f>F212*I212</f>
        <v>8910.7720000000008</v>
      </c>
      <c r="K212" s="263">
        <f t="shared" si="14"/>
        <v>8910.7720000000008</v>
      </c>
      <c r="L212" s="1"/>
    </row>
    <row r="213" spans="1:12" s="45" customFormat="1" ht="15" hidden="1" customHeight="1">
      <c r="A213" s="281"/>
      <c r="B213" s="76"/>
      <c r="C213" s="77"/>
      <c r="D213" s="76"/>
      <c r="E213" s="106"/>
      <c r="F213" s="107"/>
      <c r="G213" s="32"/>
      <c r="H213" s="81"/>
      <c r="I213" s="33"/>
      <c r="J213" s="82"/>
      <c r="K213" s="264"/>
      <c r="L213" s="1"/>
    </row>
    <row r="214" spans="1:12" s="45" customFormat="1" ht="15" hidden="1" customHeight="1">
      <c r="A214" s="282"/>
      <c r="B214" s="53" t="s">
        <v>112</v>
      </c>
      <c r="C214" s="53"/>
      <c r="D214" s="54"/>
      <c r="E214" s="108"/>
      <c r="F214" s="56"/>
      <c r="G214" s="57"/>
      <c r="H214" s="58"/>
      <c r="I214" s="59"/>
      <c r="J214" s="60"/>
      <c r="K214" s="258"/>
      <c r="L214" s="1"/>
    </row>
    <row r="215" spans="1:12" s="45" customFormat="1" ht="15" hidden="1" customHeight="1">
      <c r="A215" s="277">
        <f>A207+1</f>
        <v>12</v>
      </c>
      <c r="B215" s="61" t="s">
        <v>52</v>
      </c>
      <c r="C215" s="38" t="s">
        <v>20</v>
      </c>
      <c r="D215" s="38" t="s">
        <v>30</v>
      </c>
      <c r="E215" s="109"/>
      <c r="F215" s="97">
        <f>87.14+300+330.1</f>
        <v>717.24</v>
      </c>
      <c r="G215" s="32">
        <v>250</v>
      </c>
      <c r="H215" s="235">
        <f>F215*G215</f>
        <v>179310</v>
      </c>
      <c r="I215" s="33"/>
      <c r="J215" s="66"/>
      <c r="K215" s="260">
        <f t="shared" ref="K215:K223" si="15">H215+J215</f>
        <v>179310</v>
      </c>
      <c r="L215" s="1"/>
    </row>
    <row r="216" spans="1:12" s="44" customFormat="1" ht="15" hidden="1" customHeight="1">
      <c r="A216" s="279"/>
      <c r="B216" s="74" t="s">
        <v>53</v>
      </c>
      <c r="C216" s="38" t="s">
        <v>20</v>
      </c>
      <c r="D216" s="70" t="s">
        <v>19</v>
      </c>
      <c r="E216" s="109">
        <v>1.8</v>
      </c>
      <c r="F216" s="68">
        <f>E216*F215</f>
        <v>1291.0320000000002</v>
      </c>
      <c r="G216" s="32"/>
      <c r="H216" s="236"/>
      <c r="I216" s="33">
        <v>8.7200000000000006</v>
      </c>
      <c r="J216" s="73">
        <f>F216*I216</f>
        <v>11257.799040000002</v>
      </c>
      <c r="K216" s="263">
        <f t="shared" si="15"/>
        <v>11257.799040000002</v>
      </c>
      <c r="L216" s="1"/>
    </row>
    <row r="217" spans="1:12" s="44" customFormat="1" ht="15" hidden="1" customHeight="1">
      <c r="A217" s="279"/>
      <c r="B217" s="74" t="s">
        <v>54</v>
      </c>
      <c r="C217" s="38" t="s">
        <v>20</v>
      </c>
      <c r="D217" s="70" t="s">
        <v>19</v>
      </c>
      <c r="E217" s="109">
        <v>1.8</v>
      </c>
      <c r="F217" s="68">
        <f>E217*F215</f>
        <v>1291.0320000000002</v>
      </c>
      <c r="G217" s="32"/>
      <c r="H217" s="236"/>
      <c r="I217" s="33">
        <v>18.690000000000001</v>
      </c>
      <c r="J217" s="73">
        <f>F217*I217</f>
        <v>24129.388080000004</v>
      </c>
      <c r="K217" s="263">
        <f t="shared" si="15"/>
        <v>24129.388080000004</v>
      </c>
      <c r="L217" s="1"/>
    </row>
    <row r="218" spans="1:12" s="44" customFormat="1" ht="15" hidden="1" customHeight="1">
      <c r="A218" s="279"/>
      <c r="B218" s="74" t="s">
        <v>34</v>
      </c>
      <c r="C218" s="38" t="s">
        <v>20</v>
      </c>
      <c r="D218" s="70" t="s">
        <v>21</v>
      </c>
      <c r="E218" s="109">
        <v>0.15</v>
      </c>
      <c r="F218" s="68">
        <f>E218*F215</f>
        <v>107.586</v>
      </c>
      <c r="G218" s="32"/>
      <c r="H218" s="236"/>
      <c r="I218" s="33">
        <v>37.450000000000003</v>
      </c>
      <c r="J218" s="73">
        <f>F218*I218</f>
        <v>4029.0957000000003</v>
      </c>
      <c r="K218" s="263">
        <f t="shared" si="15"/>
        <v>4029.0957000000003</v>
      </c>
      <c r="L218" s="1"/>
    </row>
    <row r="219" spans="1:12" s="44" customFormat="1" ht="15" hidden="1" customHeight="1">
      <c r="A219" s="279"/>
      <c r="B219" s="74" t="s">
        <v>55</v>
      </c>
      <c r="C219" s="38" t="s">
        <v>20</v>
      </c>
      <c r="D219" s="70" t="s">
        <v>56</v>
      </c>
      <c r="E219" s="109">
        <v>0.1</v>
      </c>
      <c r="F219" s="68">
        <f>E219*F215</f>
        <v>71.724000000000004</v>
      </c>
      <c r="G219" s="32"/>
      <c r="H219" s="236"/>
      <c r="I219" s="33">
        <v>19.260000000000002</v>
      </c>
      <c r="J219" s="73">
        <f>F219*I219</f>
        <v>1381.4042400000001</v>
      </c>
      <c r="K219" s="263">
        <f t="shared" si="15"/>
        <v>1381.4042400000001</v>
      </c>
      <c r="L219" s="1"/>
    </row>
    <row r="220" spans="1:12" s="44" customFormat="1" ht="15" hidden="1" customHeight="1">
      <c r="A220" s="279"/>
      <c r="B220" s="74" t="s">
        <v>57</v>
      </c>
      <c r="C220" s="38" t="s">
        <v>20</v>
      </c>
      <c r="D220" s="70" t="s">
        <v>58</v>
      </c>
      <c r="E220" s="109">
        <v>1.1000000000000001</v>
      </c>
      <c r="F220" s="68">
        <f>E220*F215</f>
        <v>788.96400000000006</v>
      </c>
      <c r="G220" s="32"/>
      <c r="H220" s="236"/>
      <c r="I220" s="33">
        <v>3.1240000000000001</v>
      </c>
      <c r="J220" s="73">
        <f>F220*I220</f>
        <v>2464.7235360000004</v>
      </c>
      <c r="K220" s="263">
        <f t="shared" si="15"/>
        <v>2464.7235360000004</v>
      </c>
      <c r="L220" s="1"/>
    </row>
    <row r="221" spans="1:12" s="45" customFormat="1" ht="15" hidden="1" customHeight="1">
      <c r="A221" s="280">
        <f>A215+1</f>
        <v>13</v>
      </c>
      <c r="B221" s="61" t="s">
        <v>59</v>
      </c>
      <c r="C221" s="38" t="s">
        <v>20</v>
      </c>
      <c r="D221" s="38" t="s">
        <v>30</v>
      </c>
      <c r="E221" s="109"/>
      <c r="F221" s="97">
        <f>F215</f>
        <v>717.24</v>
      </c>
      <c r="G221" s="32">
        <v>200</v>
      </c>
      <c r="H221" s="235">
        <f>F221*G221</f>
        <v>143448</v>
      </c>
      <c r="I221" s="33"/>
      <c r="J221" s="66"/>
      <c r="K221" s="260">
        <f t="shared" si="15"/>
        <v>143448</v>
      </c>
      <c r="L221" s="1"/>
    </row>
    <row r="222" spans="1:12" s="44" customFormat="1" ht="25.5" hidden="1" customHeight="1">
      <c r="A222" s="279"/>
      <c r="B222" s="103" t="s">
        <v>60</v>
      </c>
      <c r="C222" s="38" t="s">
        <v>20</v>
      </c>
      <c r="D222" s="70" t="s">
        <v>21</v>
      </c>
      <c r="E222" s="64">
        <v>0.35</v>
      </c>
      <c r="F222" s="68">
        <f>E222*F221</f>
        <v>251.03399999999999</v>
      </c>
      <c r="G222" s="32"/>
      <c r="H222" s="236"/>
      <c r="I222" s="33">
        <v>122.50221999999999</v>
      </c>
      <c r="J222" s="73">
        <f>F222*I222</f>
        <v>30752.222295479998</v>
      </c>
      <c r="K222" s="263">
        <f t="shared" si="15"/>
        <v>30752.222295479998</v>
      </c>
      <c r="L222" s="1"/>
    </row>
    <row r="223" spans="1:12" s="44" customFormat="1" ht="15" hidden="1" customHeight="1">
      <c r="A223" s="279"/>
      <c r="B223" s="105" t="s">
        <v>34</v>
      </c>
      <c r="C223" s="38" t="s">
        <v>20</v>
      </c>
      <c r="D223" s="70" t="s">
        <v>21</v>
      </c>
      <c r="E223" s="109">
        <v>0.15</v>
      </c>
      <c r="F223" s="68">
        <f>E223*F221</f>
        <v>107.586</v>
      </c>
      <c r="G223" s="32"/>
      <c r="H223" s="236"/>
      <c r="I223" s="33">
        <v>37.450000000000003</v>
      </c>
      <c r="J223" s="73">
        <f>F223*I223</f>
        <v>4029.0957000000003</v>
      </c>
      <c r="K223" s="263">
        <f t="shared" si="15"/>
        <v>4029.0957000000003</v>
      </c>
      <c r="L223" s="1"/>
    </row>
    <row r="224" spans="1:12" s="45" customFormat="1" ht="15" hidden="1" customHeight="1">
      <c r="A224" s="278"/>
      <c r="B224" s="41"/>
      <c r="C224" s="19"/>
      <c r="D224" s="41"/>
      <c r="E224" s="21"/>
      <c r="F224" s="34"/>
      <c r="G224" s="32"/>
      <c r="H224" s="42"/>
      <c r="I224" s="33"/>
      <c r="J224" s="43"/>
      <c r="K224" s="273"/>
      <c r="L224" s="1"/>
    </row>
    <row r="225" spans="1:12" s="45" customFormat="1" ht="15" hidden="1" customHeight="1">
      <c r="A225" s="23"/>
      <c r="B225" s="24" t="s">
        <v>75</v>
      </c>
      <c r="C225" s="25"/>
      <c r="D225" s="26"/>
      <c r="E225" s="27"/>
      <c r="F225" s="28"/>
      <c r="G225" s="29"/>
      <c r="H225" s="29" t="str">
        <f>IF(ISBLANK(G225),"",G225*F225)</f>
        <v/>
      </c>
      <c r="I225" s="36"/>
      <c r="J225" s="30" t="str">
        <f>IF(ISBLANK(I225),"",I225*F225)</f>
        <v/>
      </c>
      <c r="K225" s="31"/>
      <c r="L225" s="1"/>
    </row>
    <row r="226" spans="1:12" s="45" customFormat="1" ht="15" hidden="1" customHeight="1">
      <c r="A226" s="282"/>
      <c r="B226" s="53" t="s">
        <v>113</v>
      </c>
      <c r="C226" s="291"/>
      <c r="D226" s="292"/>
      <c r="E226" s="293"/>
      <c r="F226" s="292"/>
      <c r="G226" s="57"/>
      <c r="H226" s="292"/>
      <c r="I226" s="59"/>
      <c r="J226" s="294"/>
      <c r="K226" s="295"/>
      <c r="L226" s="1"/>
    </row>
    <row r="227" spans="1:12" s="140" customFormat="1" ht="15" hidden="1" customHeight="1">
      <c r="A227" s="296" t="s">
        <v>184</v>
      </c>
      <c r="B227" s="61" t="s">
        <v>77</v>
      </c>
      <c r="C227" s="38" t="s">
        <v>23</v>
      </c>
      <c r="D227" s="38" t="s">
        <v>30</v>
      </c>
      <c r="E227" s="64"/>
      <c r="F227" s="97">
        <v>122.15</v>
      </c>
      <c r="G227" s="32">
        <v>670</v>
      </c>
      <c r="H227" s="235">
        <f>F227*G227</f>
        <v>81840.5</v>
      </c>
      <c r="I227" s="33"/>
      <c r="J227" s="66"/>
      <c r="K227" s="260">
        <f t="shared" ref="K227:K241" si="16">H227+J227</f>
        <v>81840.5</v>
      </c>
      <c r="L227" s="138"/>
    </row>
    <row r="228" spans="1:12" s="140" customFormat="1" ht="15" hidden="1" customHeight="1">
      <c r="A228" s="287"/>
      <c r="B228" s="105" t="s">
        <v>24</v>
      </c>
      <c r="C228" s="38" t="s">
        <v>23</v>
      </c>
      <c r="D228" s="70" t="s">
        <v>41</v>
      </c>
      <c r="E228" s="64">
        <v>1.1000000000000001</v>
      </c>
      <c r="F228" s="37">
        <v>79.860000000000014</v>
      </c>
      <c r="G228" s="32"/>
      <c r="H228" s="110"/>
      <c r="I228" s="33">
        <v>401.24249999999995</v>
      </c>
      <c r="J228" s="73">
        <f t="shared" ref="J228:J233" si="17">F228*I228</f>
        <v>32043.226050000001</v>
      </c>
      <c r="K228" s="263">
        <f t="shared" si="16"/>
        <v>32043.226050000001</v>
      </c>
      <c r="L228" s="138"/>
    </row>
    <row r="229" spans="1:12" s="140" customFormat="1" ht="15" hidden="1" customHeight="1">
      <c r="A229" s="287"/>
      <c r="B229" s="105" t="s">
        <v>70</v>
      </c>
      <c r="C229" s="38" t="s">
        <v>23</v>
      </c>
      <c r="D229" s="70" t="s">
        <v>41</v>
      </c>
      <c r="E229" s="109">
        <v>1.1000000000000001</v>
      </c>
      <c r="F229" s="37">
        <v>54.505000000000003</v>
      </c>
      <c r="G229" s="32"/>
      <c r="H229" s="110"/>
      <c r="I229" s="33">
        <v>874.16317000000004</v>
      </c>
      <c r="J229" s="73">
        <f t="shared" si="17"/>
        <v>47646.263580850005</v>
      </c>
      <c r="K229" s="263">
        <f t="shared" si="16"/>
        <v>47646.263580850005</v>
      </c>
      <c r="L229" s="138"/>
    </row>
    <row r="230" spans="1:12" s="44" customFormat="1" ht="15" hidden="1" customHeight="1">
      <c r="A230" s="287"/>
      <c r="B230" s="105" t="s">
        <v>34</v>
      </c>
      <c r="C230" s="38" t="s">
        <v>23</v>
      </c>
      <c r="D230" s="70" t="s">
        <v>21</v>
      </c>
      <c r="E230" s="64">
        <v>0.15</v>
      </c>
      <c r="F230" s="37">
        <v>18.322500000000002</v>
      </c>
      <c r="G230" s="32"/>
      <c r="H230" s="244"/>
      <c r="I230" s="33">
        <v>37.450000000000003</v>
      </c>
      <c r="J230" s="73">
        <f t="shared" si="17"/>
        <v>686.17762500000015</v>
      </c>
      <c r="K230" s="263">
        <f t="shared" si="16"/>
        <v>686.17762500000015</v>
      </c>
      <c r="L230" s="1"/>
    </row>
    <row r="231" spans="1:12" s="44" customFormat="1" ht="15" hidden="1" customHeight="1">
      <c r="A231" s="284"/>
      <c r="B231" s="105" t="s">
        <v>71</v>
      </c>
      <c r="C231" s="38" t="s">
        <v>23</v>
      </c>
      <c r="D231" s="70" t="s">
        <v>19</v>
      </c>
      <c r="E231" s="64">
        <v>7.6</v>
      </c>
      <c r="F231" s="37">
        <v>928.34</v>
      </c>
      <c r="G231" s="32"/>
      <c r="H231" s="244"/>
      <c r="I231" s="33">
        <v>7.6</v>
      </c>
      <c r="J231" s="73">
        <f t="shared" si="17"/>
        <v>7055.384</v>
      </c>
      <c r="K231" s="263">
        <f t="shared" si="16"/>
        <v>7055.384</v>
      </c>
      <c r="L231" s="1"/>
    </row>
    <row r="232" spans="1:12" s="45" customFormat="1" ht="15" hidden="1" customHeight="1">
      <c r="A232" s="284"/>
      <c r="B232" s="105" t="s">
        <v>72</v>
      </c>
      <c r="C232" s="38" t="s">
        <v>23</v>
      </c>
      <c r="D232" s="70" t="s">
        <v>56</v>
      </c>
      <c r="E232" s="64">
        <v>11</v>
      </c>
      <c r="F232" s="37">
        <v>1343.65</v>
      </c>
      <c r="G232" s="32"/>
      <c r="H232" s="110"/>
      <c r="I232" s="33">
        <v>1.3007599999999999</v>
      </c>
      <c r="J232" s="73">
        <f t="shared" si="17"/>
        <v>1747.7661740000001</v>
      </c>
      <c r="K232" s="263">
        <f t="shared" si="16"/>
        <v>1747.7661740000001</v>
      </c>
      <c r="L232" s="1"/>
    </row>
    <row r="233" spans="1:12" s="44" customFormat="1" ht="15" hidden="1" customHeight="1">
      <c r="A233" s="284"/>
      <c r="B233" s="105" t="s">
        <v>73</v>
      </c>
      <c r="C233" s="38" t="s">
        <v>23</v>
      </c>
      <c r="D233" s="70" t="s">
        <v>19</v>
      </c>
      <c r="E233" s="64">
        <v>0.4</v>
      </c>
      <c r="F233" s="37">
        <v>48.860000000000007</v>
      </c>
      <c r="G233" s="32"/>
      <c r="H233" s="244"/>
      <c r="I233" s="33">
        <v>123.5</v>
      </c>
      <c r="J233" s="73">
        <f t="shared" si="17"/>
        <v>6034.2100000000009</v>
      </c>
      <c r="K233" s="263">
        <f t="shared" si="16"/>
        <v>6034.2100000000009</v>
      </c>
      <c r="L233" s="1"/>
    </row>
    <row r="234" spans="1:12" s="45" customFormat="1" ht="25.5" hidden="1" customHeight="1">
      <c r="A234" s="288">
        <f>A227+1</f>
        <v>15</v>
      </c>
      <c r="B234" s="61" t="s">
        <v>79</v>
      </c>
      <c r="C234" s="38" t="s">
        <v>29</v>
      </c>
      <c r="D234" s="38" t="s">
        <v>30</v>
      </c>
      <c r="E234" s="64"/>
      <c r="F234" s="97">
        <v>122.15</v>
      </c>
      <c r="G234" s="32">
        <v>250</v>
      </c>
      <c r="H234" s="235">
        <f>F234*G234</f>
        <v>30537.5</v>
      </c>
      <c r="I234" s="33"/>
      <c r="J234" s="66"/>
      <c r="K234" s="260">
        <f t="shared" si="16"/>
        <v>30537.5</v>
      </c>
      <c r="L234" s="1"/>
    </row>
    <row r="235" spans="1:12" s="44" customFormat="1" ht="15" hidden="1" customHeight="1">
      <c r="A235" s="284"/>
      <c r="B235" s="105" t="s">
        <v>80</v>
      </c>
      <c r="C235" s="38" t="s">
        <v>29</v>
      </c>
      <c r="D235" s="70" t="s">
        <v>81</v>
      </c>
      <c r="E235" s="64">
        <f>499*0.085*1.02/1000</f>
        <v>4.3263300000000011E-2</v>
      </c>
      <c r="F235" s="37">
        <f>F234*E235</f>
        <v>5.2846120950000017</v>
      </c>
      <c r="G235" s="32"/>
      <c r="H235" s="244"/>
      <c r="I235" s="33">
        <v>5473.05</v>
      </c>
      <c r="J235" s="73">
        <f t="shared" ref="J235:J241" si="18">F235*I235</f>
        <v>28922.94622653976</v>
      </c>
      <c r="K235" s="263">
        <f t="shared" si="16"/>
        <v>28922.94622653976</v>
      </c>
      <c r="L235" s="1"/>
    </row>
    <row r="236" spans="1:12" s="44" customFormat="1" ht="15" hidden="1" customHeight="1">
      <c r="A236" s="284"/>
      <c r="B236" s="105" t="s">
        <v>82</v>
      </c>
      <c r="C236" s="38" t="s">
        <v>29</v>
      </c>
      <c r="D236" s="70" t="s">
        <v>81</v>
      </c>
      <c r="E236" s="64">
        <f>1792*0.8*0.085*1.02/1000</f>
        <v>0.12429312000000003</v>
      </c>
      <c r="F236" s="37">
        <f>F234*E236</f>
        <v>15.182404608000004</v>
      </c>
      <c r="G236" s="32"/>
      <c r="H236" s="244"/>
      <c r="I236" s="33">
        <v>823.63</v>
      </c>
      <c r="J236" s="73">
        <f t="shared" si="18"/>
        <v>12504.683907287043</v>
      </c>
      <c r="K236" s="263">
        <f t="shared" si="16"/>
        <v>12504.683907287043</v>
      </c>
      <c r="L236" s="1"/>
    </row>
    <row r="237" spans="1:12" s="45" customFormat="1" ht="15" hidden="1" customHeight="1">
      <c r="A237" s="284"/>
      <c r="B237" s="105" t="s">
        <v>83</v>
      </c>
      <c r="C237" s="38" t="s">
        <v>29</v>
      </c>
      <c r="D237" s="70" t="s">
        <v>81</v>
      </c>
      <c r="E237" s="64">
        <f>1792*0.2*0.85*1.02/1000</f>
        <v>0.31073280000000003</v>
      </c>
      <c r="F237" s="37">
        <f>F234*E237</f>
        <v>37.956011520000004</v>
      </c>
      <c r="G237" s="32"/>
      <c r="H237" s="110"/>
      <c r="I237" s="33">
        <v>374.49299999999999</v>
      </c>
      <c r="J237" s="73">
        <f t="shared" si="18"/>
        <v>14214.260622159361</v>
      </c>
      <c r="K237" s="263">
        <f t="shared" si="16"/>
        <v>14214.260622159361</v>
      </c>
      <c r="L237" s="1"/>
    </row>
    <row r="238" spans="1:12" s="45" customFormat="1" ht="15" hidden="1" customHeight="1">
      <c r="A238" s="284"/>
      <c r="B238" s="105" t="s">
        <v>84</v>
      </c>
      <c r="C238" s="38" t="s">
        <v>29</v>
      </c>
      <c r="D238" s="70" t="s">
        <v>41</v>
      </c>
      <c r="E238" s="64">
        <v>1.1000000000000001</v>
      </c>
      <c r="F238" s="37">
        <f>F234*E238</f>
        <v>134.36500000000001</v>
      </c>
      <c r="G238" s="32"/>
      <c r="H238" s="110"/>
      <c r="I238" s="33">
        <v>115.91449999999999</v>
      </c>
      <c r="J238" s="73">
        <f t="shared" si="18"/>
        <v>15574.8517925</v>
      </c>
      <c r="K238" s="263">
        <f t="shared" si="16"/>
        <v>15574.8517925</v>
      </c>
      <c r="L238" s="1"/>
    </row>
    <row r="239" spans="1:12" s="44" customFormat="1" ht="15" hidden="1" customHeight="1">
      <c r="A239" s="284"/>
      <c r="B239" s="105" t="s">
        <v>85</v>
      </c>
      <c r="C239" s="38" t="s">
        <v>29</v>
      </c>
      <c r="D239" s="70" t="s">
        <v>81</v>
      </c>
      <c r="E239" s="64">
        <f>0.21/1000</f>
        <v>2.0999999999999998E-4</v>
      </c>
      <c r="F239" s="37">
        <f>F234*E239</f>
        <v>2.5651499999999997E-2</v>
      </c>
      <c r="G239" s="32"/>
      <c r="H239" s="244"/>
      <c r="I239" s="33">
        <v>56431.8</v>
      </c>
      <c r="J239" s="73">
        <f t="shared" si="18"/>
        <v>1447.5603176999998</v>
      </c>
      <c r="K239" s="263">
        <f t="shared" si="16"/>
        <v>1447.5603176999998</v>
      </c>
      <c r="L239" s="1"/>
    </row>
    <row r="240" spans="1:12" s="45" customFormat="1" ht="15" hidden="1" customHeight="1">
      <c r="A240" s="284"/>
      <c r="B240" s="105" t="s">
        <v>86</v>
      </c>
      <c r="C240" s="38" t="s">
        <v>29</v>
      </c>
      <c r="D240" s="70" t="s">
        <v>56</v>
      </c>
      <c r="E240" s="64">
        <v>4</v>
      </c>
      <c r="F240" s="37">
        <f>F234*E240</f>
        <v>488.6</v>
      </c>
      <c r="G240" s="32"/>
      <c r="H240" s="110"/>
      <c r="I240" s="33">
        <v>0.67135999999999996</v>
      </c>
      <c r="J240" s="73">
        <f t="shared" si="18"/>
        <v>328.02649600000001</v>
      </c>
      <c r="K240" s="263">
        <f t="shared" si="16"/>
        <v>328.02649600000001</v>
      </c>
      <c r="L240" s="1"/>
    </row>
    <row r="241" spans="1:12" s="35" customFormat="1" ht="15" hidden="1" customHeight="1">
      <c r="A241" s="284"/>
      <c r="B241" s="105" t="s">
        <v>87</v>
      </c>
      <c r="C241" s="38" t="s">
        <v>29</v>
      </c>
      <c r="D241" s="70" t="s">
        <v>58</v>
      </c>
      <c r="E241" s="64"/>
      <c r="F241" s="37">
        <f>F234</f>
        <v>122.15</v>
      </c>
      <c r="G241" s="32"/>
      <c r="H241" s="244"/>
      <c r="I241" s="33">
        <v>7.0979999999999999</v>
      </c>
      <c r="J241" s="73">
        <f t="shared" si="18"/>
        <v>867.02070000000003</v>
      </c>
      <c r="K241" s="263">
        <f t="shared" si="16"/>
        <v>867.02070000000003</v>
      </c>
      <c r="L241" s="1"/>
    </row>
    <row r="242" spans="1:12" ht="15" hidden="1" customHeight="1">
      <c r="A242" s="284"/>
      <c r="B242" s="105"/>
      <c r="C242" s="75"/>
      <c r="D242" s="70"/>
      <c r="E242" s="64"/>
      <c r="F242" s="37"/>
      <c r="G242" s="32"/>
      <c r="H242" s="110"/>
      <c r="I242" s="33"/>
      <c r="J242" s="73"/>
      <c r="K242" s="263"/>
    </row>
    <row r="243" spans="1:12" ht="15" hidden="1" customHeight="1">
      <c r="A243" s="282"/>
      <c r="B243" s="53" t="s">
        <v>114</v>
      </c>
      <c r="C243" s="291"/>
      <c r="D243" s="292"/>
      <c r="E243" s="293"/>
      <c r="F243" s="292"/>
      <c r="G243" s="57"/>
      <c r="H243" s="292"/>
      <c r="I243" s="59"/>
      <c r="J243" s="294"/>
      <c r="K243" s="295"/>
    </row>
    <row r="244" spans="1:12" ht="15" hidden="1" customHeight="1">
      <c r="A244" s="288">
        <f>A234+1</f>
        <v>16</v>
      </c>
      <c r="B244" s="61" t="s">
        <v>77</v>
      </c>
      <c r="C244" s="38" t="s">
        <v>23</v>
      </c>
      <c r="D244" s="38" t="s">
        <v>30</v>
      </c>
      <c r="E244" s="109"/>
      <c r="F244" s="97">
        <v>75.489999999999995</v>
      </c>
      <c r="G244" s="32">
        <v>670</v>
      </c>
      <c r="H244" s="235">
        <f>F244*G244</f>
        <v>50578.299999999996</v>
      </c>
      <c r="I244" s="33"/>
      <c r="J244" s="66"/>
      <c r="K244" s="260">
        <f t="shared" ref="K244:K260" si="19">H244+J244</f>
        <v>50578.299999999996</v>
      </c>
    </row>
    <row r="245" spans="1:12" ht="15" hidden="1" customHeight="1">
      <c r="A245" s="284"/>
      <c r="B245" s="105" t="s">
        <v>24</v>
      </c>
      <c r="C245" s="38" t="s">
        <v>23</v>
      </c>
      <c r="D245" s="70" t="s">
        <v>41</v>
      </c>
      <c r="E245" s="109">
        <v>1.1000000000000001</v>
      </c>
      <c r="F245" s="37">
        <f>F244*E245</f>
        <v>83.039000000000001</v>
      </c>
      <c r="G245" s="32"/>
      <c r="H245" s="110"/>
      <c r="I245" s="33">
        <v>401.24249999999995</v>
      </c>
      <c r="J245" s="73">
        <f>F245*I245</f>
        <v>33318.775957499995</v>
      </c>
      <c r="K245" s="263">
        <f t="shared" si="19"/>
        <v>33318.775957499995</v>
      </c>
    </row>
    <row r="246" spans="1:12" s="35" customFormat="1" ht="15" hidden="1" customHeight="1">
      <c r="A246" s="284"/>
      <c r="B246" s="105" t="s">
        <v>34</v>
      </c>
      <c r="C246" s="38" t="s">
        <v>23</v>
      </c>
      <c r="D246" s="70" t="s">
        <v>21</v>
      </c>
      <c r="E246" s="109">
        <v>0.2</v>
      </c>
      <c r="F246" s="37">
        <f>F244*E246</f>
        <v>15.097999999999999</v>
      </c>
      <c r="G246" s="32"/>
      <c r="H246" s="244"/>
      <c r="I246" s="33">
        <v>37.450000000000003</v>
      </c>
      <c r="J246" s="73">
        <f>F246*I246</f>
        <v>565.42010000000005</v>
      </c>
      <c r="K246" s="263">
        <f t="shared" si="19"/>
        <v>565.42010000000005</v>
      </c>
      <c r="L246" s="1"/>
    </row>
    <row r="247" spans="1:12" s="35" customFormat="1" ht="15" hidden="1" customHeight="1">
      <c r="A247" s="284"/>
      <c r="B247" s="105" t="s">
        <v>71</v>
      </c>
      <c r="C247" s="38" t="s">
        <v>23</v>
      </c>
      <c r="D247" s="70" t="s">
        <v>19</v>
      </c>
      <c r="E247" s="109">
        <v>7.6</v>
      </c>
      <c r="F247" s="37">
        <f>F244*E247</f>
        <v>573.72399999999993</v>
      </c>
      <c r="G247" s="32"/>
      <c r="H247" s="244"/>
      <c r="I247" s="33">
        <v>7.6</v>
      </c>
      <c r="J247" s="73">
        <f>F247*I247</f>
        <v>4360.3023999999996</v>
      </c>
      <c r="K247" s="263">
        <f t="shared" si="19"/>
        <v>4360.3023999999996</v>
      </c>
      <c r="L247" s="1"/>
    </row>
    <row r="248" spans="1:12" ht="15" hidden="1" customHeight="1">
      <c r="A248" s="284"/>
      <c r="B248" s="105" t="s">
        <v>72</v>
      </c>
      <c r="C248" s="38" t="s">
        <v>23</v>
      </c>
      <c r="D248" s="70" t="s">
        <v>56</v>
      </c>
      <c r="E248" s="109">
        <v>11</v>
      </c>
      <c r="F248" s="37">
        <f>F244*E248</f>
        <v>830.39</v>
      </c>
      <c r="G248" s="32"/>
      <c r="H248" s="110"/>
      <c r="I248" s="33">
        <v>1.3007599999999999</v>
      </c>
      <c r="J248" s="73">
        <f>F248*I248</f>
        <v>1080.1380964</v>
      </c>
      <c r="K248" s="263">
        <f t="shared" si="19"/>
        <v>1080.1380964</v>
      </c>
    </row>
    <row r="249" spans="1:12" s="35" customFormat="1" ht="15" hidden="1" customHeight="1">
      <c r="A249" s="284"/>
      <c r="B249" s="105" t="s">
        <v>73</v>
      </c>
      <c r="C249" s="38" t="s">
        <v>23</v>
      </c>
      <c r="D249" s="70" t="s">
        <v>19</v>
      </c>
      <c r="E249" s="109">
        <v>0.4</v>
      </c>
      <c r="F249" s="37">
        <f>F244*E249</f>
        <v>30.195999999999998</v>
      </c>
      <c r="G249" s="32"/>
      <c r="H249" s="244"/>
      <c r="I249" s="33">
        <v>123.5</v>
      </c>
      <c r="J249" s="73">
        <f>F249*I249</f>
        <v>3729.2059999999997</v>
      </c>
      <c r="K249" s="263">
        <f t="shared" si="19"/>
        <v>3729.2059999999997</v>
      </c>
      <c r="L249" s="1"/>
    </row>
    <row r="250" spans="1:12" ht="25.5" hidden="1" customHeight="1">
      <c r="A250" s="288">
        <f>A244+1</f>
        <v>17</v>
      </c>
      <c r="B250" s="61" t="s">
        <v>115</v>
      </c>
      <c r="C250" s="38" t="s">
        <v>29</v>
      </c>
      <c r="D250" s="38" t="s">
        <v>30</v>
      </c>
      <c r="E250" s="109"/>
      <c r="F250" s="97">
        <f>F244</f>
        <v>75.489999999999995</v>
      </c>
      <c r="G250" s="32">
        <v>250</v>
      </c>
      <c r="H250" s="235">
        <f>F250*G250</f>
        <v>18872.5</v>
      </c>
      <c r="I250" s="33"/>
      <c r="J250" s="66"/>
      <c r="K250" s="260">
        <f t="shared" si="19"/>
        <v>18872.5</v>
      </c>
    </row>
    <row r="251" spans="1:12" s="35" customFormat="1" ht="15" hidden="1" customHeight="1">
      <c r="A251" s="284"/>
      <c r="B251" s="105" t="s">
        <v>80</v>
      </c>
      <c r="C251" s="38" t="s">
        <v>29</v>
      </c>
      <c r="D251" s="70" t="s">
        <v>81</v>
      </c>
      <c r="E251" s="109">
        <f>(499*0.075*1.02)/1000</f>
        <v>3.8173499999999999E-2</v>
      </c>
      <c r="F251" s="37">
        <f>F250*E251</f>
        <v>2.8817175149999996</v>
      </c>
      <c r="G251" s="32"/>
      <c r="H251" s="244"/>
      <c r="I251" s="33">
        <v>5473.05</v>
      </c>
      <c r="J251" s="73">
        <f t="shared" ref="J251:J257" si="20">F251*I251</f>
        <v>15771.784045470749</v>
      </c>
      <c r="K251" s="263">
        <f t="shared" si="19"/>
        <v>15771.784045470749</v>
      </c>
      <c r="L251" s="1"/>
    </row>
    <row r="252" spans="1:12" s="35" customFormat="1" ht="15" hidden="1" customHeight="1">
      <c r="A252" s="284"/>
      <c r="B252" s="105" t="s">
        <v>82</v>
      </c>
      <c r="C252" s="38" t="s">
        <v>29</v>
      </c>
      <c r="D252" s="70" t="s">
        <v>81</v>
      </c>
      <c r="E252" s="109">
        <f>(1792*0.8*0.075*1.02)/1000</f>
        <v>0.10967040000000002</v>
      </c>
      <c r="F252" s="37">
        <f>F250*E252</f>
        <v>8.2790184960000008</v>
      </c>
      <c r="G252" s="32"/>
      <c r="H252" s="244"/>
      <c r="I252" s="33">
        <v>823.63</v>
      </c>
      <c r="J252" s="73">
        <f t="shared" si="20"/>
        <v>6818.8480038604803</v>
      </c>
      <c r="K252" s="263">
        <f t="shared" si="19"/>
        <v>6818.8480038604803</v>
      </c>
      <c r="L252" s="1"/>
    </row>
    <row r="253" spans="1:12" ht="15" hidden="1" customHeight="1">
      <c r="A253" s="297"/>
      <c r="B253" s="105" t="s">
        <v>83</v>
      </c>
      <c r="C253" s="38" t="s">
        <v>29</v>
      </c>
      <c r="D253" s="70" t="s">
        <v>81</v>
      </c>
      <c r="E253" s="109">
        <f>(1792*0.2*0.075*1.02)/1000</f>
        <v>2.7417600000000004E-2</v>
      </c>
      <c r="F253" s="37">
        <f>F250*E253</f>
        <v>2.0697546240000002</v>
      </c>
      <c r="G253" s="32"/>
      <c r="H253" s="110"/>
      <c r="I253" s="33">
        <v>374.49299999999999</v>
      </c>
      <c r="J253" s="73">
        <f t="shared" si="20"/>
        <v>775.10861840563211</v>
      </c>
      <c r="K253" s="263">
        <f t="shared" si="19"/>
        <v>775.10861840563211</v>
      </c>
    </row>
    <row r="254" spans="1:12" ht="15" hidden="1" customHeight="1">
      <c r="A254" s="284"/>
      <c r="B254" s="105" t="s">
        <v>84</v>
      </c>
      <c r="C254" s="38" t="s">
        <v>29</v>
      </c>
      <c r="D254" s="70" t="s">
        <v>41</v>
      </c>
      <c r="E254" s="109">
        <v>1.1000000000000001</v>
      </c>
      <c r="F254" s="37">
        <f>F250*E254</f>
        <v>83.039000000000001</v>
      </c>
      <c r="G254" s="32"/>
      <c r="H254" s="110"/>
      <c r="I254" s="33">
        <v>115.91449999999999</v>
      </c>
      <c r="J254" s="73">
        <f t="shared" si="20"/>
        <v>9625.4241654999987</v>
      </c>
      <c r="K254" s="263">
        <f t="shared" si="19"/>
        <v>9625.4241654999987</v>
      </c>
    </row>
    <row r="255" spans="1:12" s="35" customFormat="1" ht="15" hidden="1" customHeight="1">
      <c r="A255" s="284"/>
      <c r="B255" s="105" t="s">
        <v>85</v>
      </c>
      <c r="C255" s="38" t="s">
        <v>29</v>
      </c>
      <c r="D255" s="70" t="s">
        <v>81</v>
      </c>
      <c r="E255" s="109">
        <f>0.21/1000</f>
        <v>2.0999999999999998E-4</v>
      </c>
      <c r="F255" s="37">
        <f>F250*E255</f>
        <v>1.5852899999999996E-2</v>
      </c>
      <c r="G255" s="32"/>
      <c r="H255" s="244"/>
      <c r="I255" s="33">
        <v>56431.8</v>
      </c>
      <c r="J255" s="73">
        <f t="shared" si="20"/>
        <v>894.60768221999979</v>
      </c>
      <c r="K255" s="263">
        <f t="shared" si="19"/>
        <v>894.60768221999979</v>
      </c>
      <c r="L255" s="1"/>
    </row>
    <row r="256" spans="1:12" ht="15" hidden="1" customHeight="1">
      <c r="A256" s="284"/>
      <c r="B256" s="105" t="s">
        <v>86</v>
      </c>
      <c r="C256" s="38" t="s">
        <v>29</v>
      </c>
      <c r="D256" s="70" t="s">
        <v>56</v>
      </c>
      <c r="E256" s="109">
        <v>4</v>
      </c>
      <c r="F256" s="37">
        <f>F250*E256</f>
        <v>301.95999999999998</v>
      </c>
      <c r="G256" s="32"/>
      <c r="H256" s="110"/>
      <c r="I256" s="33">
        <v>0.67135999999999996</v>
      </c>
      <c r="J256" s="73">
        <f t="shared" si="20"/>
        <v>202.72386559999998</v>
      </c>
      <c r="K256" s="263">
        <f t="shared" si="19"/>
        <v>202.72386559999998</v>
      </c>
    </row>
    <row r="257" spans="1:12" s="44" customFormat="1" ht="15" hidden="1" customHeight="1">
      <c r="A257" s="284"/>
      <c r="B257" s="105" t="s">
        <v>87</v>
      </c>
      <c r="C257" s="38" t="s">
        <v>29</v>
      </c>
      <c r="D257" s="70" t="s">
        <v>58</v>
      </c>
      <c r="E257" s="109"/>
      <c r="F257" s="37">
        <f>F250</f>
        <v>75.489999999999995</v>
      </c>
      <c r="G257" s="32"/>
      <c r="H257" s="244"/>
      <c r="I257" s="33">
        <v>7.0979999999999999</v>
      </c>
      <c r="J257" s="73">
        <f t="shared" si="20"/>
        <v>535.82801999999992</v>
      </c>
      <c r="K257" s="263">
        <f t="shared" si="19"/>
        <v>535.82801999999992</v>
      </c>
      <c r="L257" s="1"/>
    </row>
    <row r="258" spans="1:12" s="45" customFormat="1" ht="25.5" hidden="1" customHeight="1">
      <c r="A258" s="288">
        <f>A250+1</f>
        <v>18</v>
      </c>
      <c r="B258" s="61" t="s">
        <v>98</v>
      </c>
      <c r="C258" s="38" t="s">
        <v>29</v>
      </c>
      <c r="D258" s="38" t="s">
        <v>30</v>
      </c>
      <c r="E258" s="109"/>
      <c r="F258" s="97">
        <f>F244</f>
        <v>75.489999999999995</v>
      </c>
      <c r="G258" s="32">
        <v>120</v>
      </c>
      <c r="H258" s="235">
        <f>F258*G258</f>
        <v>9058.7999999999993</v>
      </c>
      <c r="I258" s="33"/>
      <c r="J258" s="66"/>
      <c r="K258" s="260">
        <f t="shared" si="19"/>
        <v>9058.7999999999993</v>
      </c>
      <c r="L258" s="1"/>
    </row>
    <row r="259" spans="1:12" s="44" customFormat="1" ht="15" hidden="1" customHeight="1">
      <c r="A259" s="284"/>
      <c r="B259" s="105" t="s">
        <v>99</v>
      </c>
      <c r="C259" s="38" t="s">
        <v>29</v>
      </c>
      <c r="D259" s="70" t="s">
        <v>41</v>
      </c>
      <c r="E259" s="109">
        <v>1.1499999999999999</v>
      </c>
      <c r="F259" s="37">
        <f>F258*E259</f>
        <v>86.813499999999991</v>
      </c>
      <c r="G259" s="32"/>
      <c r="H259" s="244"/>
      <c r="I259" s="33">
        <v>161.51</v>
      </c>
      <c r="J259" s="73">
        <f>F259*I259</f>
        <v>14021.248384999997</v>
      </c>
      <c r="K259" s="263">
        <f t="shared" si="19"/>
        <v>14021.248384999997</v>
      </c>
      <c r="L259" s="1"/>
    </row>
    <row r="260" spans="1:12" s="45" customFormat="1" ht="15" hidden="1" customHeight="1">
      <c r="A260" s="284"/>
      <c r="B260" s="105" t="s">
        <v>100</v>
      </c>
      <c r="C260" s="38" t="s">
        <v>29</v>
      </c>
      <c r="D260" s="70" t="s">
        <v>58</v>
      </c>
      <c r="E260" s="109"/>
      <c r="F260" s="37">
        <f>F258</f>
        <v>75.489999999999995</v>
      </c>
      <c r="G260" s="32"/>
      <c r="H260" s="110"/>
      <c r="I260" s="33">
        <v>0.90213999999999994</v>
      </c>
      <c r="J260" s="73">
        <f>F260*I260</f>
        <v>68.102548599999992</v>
      </c>
      <c r="K260" s="263">
        <f t="shared" si="19"/>
        <v>68.102548599999992</v>
      </c>
      <c r="L260" s="1"/>
    </row>
    <row r="261" spans="1:12" s="45" customFormat="1" ht="15" hidden="1" customHeight="1">
      <c r="A261" s="284"/>
      <c r="B261" s="105"/>
      <c r="C261" s="75"/>
      <c r="D261" s="70"/>
      <c r="E261" s="64"/>
      <c r="F261" s="37"/>
      <c r="G261" s="32"/>
      <c r="H261" s="110"/>
      <c r="I261" s="33"/>
      <c r="J261" s="73"/>
      <c r="K261" s="263"/>
      <c r="L261" s="1"/>
    </row>
    <row r="262" spans="1:12" s="45" customFormat="1" ht="15" hidden="1" customHeight="1">
      <c r="A262" s="282"/>
      <c r="B262" s="120" t="s">
        <v>116</v>
      </c>
      <c r="C262" s="291"/>
      <c r="D262" s="292"/>
      <c r="E262" s="293"/>
      <c r="F262" s="292"/>
      <c r="G262" s="57"/>
      <c r="H262" s="292"/>
      <c r="I262" s="59"/>
      <c r="J262" s="294"/>
      <c r="K262" s="295"/>
      <c r="L262" s="1"/>
    </row>
    <row r="263" spans="1:12" s="45" customFormat="1" ht="15" hidden="1" customHeight="1">
      <c r="A263" s="288">
        <f>A258+1</f>
        <v>19</v>
      </c>
      <c r="B263" s="61" t="s">
        <v>77</v>
      </c>
      <c r="C263" s="38" t="s">
        <v>23</v>
      </c>
      <c r="D263" s="38" t="s">
        <v>30</v>
      </c>
      <c r="E263" s="109"/>
      <c r="F263" s="97">
        <v>50.1</v>
      </c>
      <c r="G263" s="32">
        <v>670</v>
      </c>
      <c r="H263" s="235">
        <f>F263*G263</f>
        <v>33567</v>
      </c>
      <c r="I263" s="33"/>
      <c r="J263" s="66"/>
      <c r="K263" s="260">
        <f t="shared" ref="K263:K283" si="21">H263+J263</f>
        <v>33567</v>
      </c>
      <c r="L263" s="1"/>
    </row>
    <row r="264" spans="1:12" s="45" customFormat="1" ht="15" hidden="1" customHeight="1">
      <c r="A264" s="284"/>
      <c r="B264" s="105" t="s">
        <v>24</v>
      </c>
      <c r="C264" s="38" t="s">
        <v>23</v>
      </c>
      <c r="D264" s="70" t="s">
        <v>41</v>
      </c>
      <c r="E264" s="109">
        <v>1.1000000000000001</v>
      </c>
      <c r="F264" s="37">
        <f>F263*E264</f>
        <v>55.110000000000007</v>
      </c>
      <c r="G264" s="32"/>
      <c r="H264" s="110"/>
      <c r="I264" s="33">
        <v>401.24249999999995</v>
      </c>
      <c r="J264" s="73">
        <f>F264*I264</f>
        <v>22112.474174999999</v>
      </c>
      <c r="K264" s="263">
        <f t="shared" si="21"/>
        <v>22112.474174999999</v>
      </c>
      <c r="L264" s="1"/>
    </row>
    <row r="265" spans="1:12" s="44" customFormat="1" ht="15" hidden="1" customHeight="1">
      <c r="A265" s="284"/>
      <c r="B265" s="105" t="s">
        <v>34</v>
      </c>
      <c r="C265" s="38" t="s">
        <v>23</v>
      </c>
      <c r="D265" s="70" t="s">
        <v>21</v>
      </c>
      <c r="E265" s="109">
        <v>0.2</v>
      </c>
      <c r="F265" s="37">
        <f>F263*E265</f>
        <v>10.020000000000001</v>
      </c>
      <c r="G265" s="32"/>
      <c r="H265" s="244"/>
      <c r="I265" s="33">
        <v>37.450000000000003</v>
      </c>
      <c r="J265" s="73">
        <f>F265*I265</f>
        <v>375.24900000000008</v>
      </c>
      <c r="K265" s="263">
        <f t="shared" si="21"/>
        <v>375.24900000000008</v>
      </c>
      <c r="L265" s="1"/>
    </row>
    <row r="266" spans="1:12" s="44" customFormat="1" ht="15" hidden="1" customHeight="1">
      <c r="A266" s="284"/>
      <c r="B266" s="105" t="s">
        <v>71</v>
      </c>
      <c r="C266" s="38" t="s">
        <v>23</v>
      </c>
      <c r="D266" s="70" t="s">
        <v>19</v>
      </c>
      <c r="E266" s="109">
        <v>7.6</v>
      </c>
      <c r="F266" s="37">
        <f>F263*E266</f>
        <v>380.76</v>
      </c>
      <c r="G266" s="32"/>
      <c r="H266" s="244"/>
      <c r="I266" s="33">
        <v>7.6</v>
      </c>
      <c r="J266" s="73">
        <f>F266*I266</f>
        <v>2893.7759999999998</v>
      </c>
      <c r="K266" s="263">
        <f t="shared" si="21"/>
        <v>2893.7759999999998</v>
      </c>
      <c r="L266" s="1"/>
    </row>
    <row r="267" spans="1:12" s="45" customFormat="1" ht="15" hidden="1" customHeight="1">
      <c r="A267" s="284"/>
      <c r="B267" s="105" t="s">
        <v>72</v>
      </c>
      <c r="C267" s="38" t="s">
        <v>23</v>
      </c>
      <c r="D267" s="70" t="s">
        <v>56</v>
      </c>
      <c r="E267" s="109">
        <v>11</v>
      </c>
      <c r="F267" s="37">
        <f>F263*E267</f>
        <v>551.1</v>
      </c>
      <c r="G267" s="32"/>
      <c r="H267" s="110"/>
      <c r="I267" s="33">
        <v>1.3007599999999999</v>
      </c>
      <c r="J267" s="73">
        <f>F267*I267</f>
        <v>716.84883600000001</v>
      </c>
      <c r="K267" s="263">
        <f t="shared" si="21"/>
        <v>716.84883600000001</v>
      </c>
      <c r="L267" s="1"/>
    </row>
    <row r="268" spans="1:12" s="44" customFormat="1" ht="15" hidden="1" customHeight="1">
      <c r="A268" s="284"/>
      <c r="B268" s="105" t="s">
        <v>73</v>
      </c>
      <c r="C268" s="38" t="s">
        <v>23</v>
      </c>
      <c r="D268" s="70" t="s">
        <v>19</v>
      </c>
      <c r="E268" s="109">
        <v>0.4</v>
      </c>
      <c r="F268" s="37">
        <f>F263*E268</f>
        <v>20.040000000000003</v>
      </c>
      <c r="G268" s="32"/>
      <c r="H268" s="244"/>
      <c r="I268" s="33">
        <v>123.5</v>
      </c>
      <c r="J268" s="73">
        <f>F268*I268</f>
        <v>2474.9400000000005</v>
      </c>
      <c r="K268" s="263">
        <f t="shared" si="21"/>
        <v>2474.9400000000005</v>
      </c>
      <c r="L268" s="1"/>
    </row>
    <row r="269" spans="1:12" s="45" customFormat="1" ht="15" hidden="1" customHeight="1">
      <c r="A269" s="288">
        <f>A263+1</f>
        <v>20</v>
      </c>
      <c r="B269" s="61" t="s">
        <v>89</v>
      </c>
      <c r="C269" s="38" t="s">
        <v>29</v>
      </c>
      <c r="D269" s="38" t="s">
        <v>30</v>
      </c>
      <c r="E269" s="109"/>
      <c r="F269" s="97">
        <f>F263</f>
        <v>50.1</v>
      </c>
      <c r="G269" s="32">
        <v>100</v>
      </c>
      <c r="H269" s="235">
        <f>F269*G269</f>
        <v>5010</v>
      </c>
      <c r="I269" s="33"/>
      <c r="J269" s="66"/>
      <c r="K269" s="260">
        <f t="shared" si="21"/>
        <v>5010</v>
      </c>
      <c r="L269" s="1"/>
    </row>
    <row r="270" spans="1:12" s="44" customFormat="1" ht="15" hidden="1" customHeight="1">
      <c r="A270" s="284"/>
      <c r="B270" s="105" t="s">
        <v>34</v>
      </c>
      <c r="C270" s="38" t="s">
        <v>29</v>
      </c>
      <c r="D270" s="70" t="s">
        <v>21</v>
      </c>
      <c r="E270" s="109">
        <v>0.2</v>
      </c>
      <c r="F270" s="37">
        <f>F269*E270</f>
        <v>10.020000000000001</v>
      </c>
      <c r="G270" s="32"/>
      <c r="H270" s="244"/>
      <c r="I270" s="33">
        <v>37.450000000000003</v>
      </c>
      <c r="J270" s="73">
        <f>F270*I270</f>
        <v>375.24900000000008</v>
      </c>
      <c r="K270" s="263">
        <f t="shared" si="21"/>
        <v>375.24900000000008</v>
      </c>
      <c r="L270" s="1"/>
    </row>
    <row r="271" spans="1:12" s="44" customFormat="1" ht="15" hidden="1" customHeight="1">
      <c r="A271" s="284"/>
      <c r="B271" s="105" t="s">
        <v>90</v>
      </c>
      <c r="C271" s="38" t="s">
        <v>29</v>
      </c>
      <c r="D271" s="70" t="s">
        <v>19</v>
      </c>
      <c r="E271" s="109">
        <v>4.8</v>
      </c>
      <c r="F271" s="37">
        <f>F269*E271</f>
        <v>240.48</v>
      </c>
      <c r="G271" s="32"/>
      <c r="H271" s="244"/>
      <c r="I271" s="33">
        <v>20.329999999999998</v>
      </c>
      <c r="J271" s="73">
        <f>F271*I271</f>
        <v>4888.9583999999995</v>
      </c>
      <c r="K271" s="263">
        <f t="shared" si="21"/>
        <v>4888.9583999999995</v>
      </c>
      <c r="L271" s="1"/>
    </row>
    <row r="272" spans="1:12" s="45" customFormat="1" ht="25.5" hidden="1" customHeight="1">
      <c r="A272" s="288">
        <f>A269+1</f>
        <v>21</v>
      </c>
      <c r="B272" s="61" t="s">
        <v>185</v>
      </c>
      <c r="C272" s="38" t="s">
        <v>29</v>
      </c>
      <c r="D272" s="38" t="s">
        <v>30</v>
      </c>
      <c r="E272" s="109"/>
      <c r="F272" s="97">
        <f>F263</f>
        <v>50.1</v>
      </c>
      <c r="G272" s="32">
        <v>250</v>
      </c>
      <c r="H272" s="235">
        <f>F272*G272</f>
        <v>12525</v>
      </c>
      <c r="I272" s="33"/>
      <c r="J272" s="66"/>
      <c r="K272" s="260">
        <f t="shared" si="21"/>
        <v>12525</v>
      </c>
      <c r="L272" s="1"/>
    </row>
    <row r="273" spans="1:12" s="44" customFormat="1" ht="15" hidden="1" customHeight="1">
      <c r="A273" s="284"/>
      <c r="B273" s="105" t="s">
        <v>80</v>
      </c>
      <c r="C273" s="38" t="s">
        <v>29</v>
      </c>
      <c r="D273" s="70" t="s">
        <v>81</v>
      </c>
      <c r="E273" s="109">
        <f>(499*0.08*1.02)/1000</f>
        <v>4.0718400000000002E-2</v>
      </c>
      <c r="F273" s="37">
        <f>F272*E273</f>
        <v>2.0399918400000003</v>
      </c>
      <c r="G273" s="32"/>
      <c r="H273" s="244"/>
      <c r="I273" s="33">
        <v>5473.05</v>
      </c>
      <c r="J273" s="73">
        <f t="shared" ref="J273:J279" si="22">F273*I273</f>
        <v>11164.977339912002</v>
      </c>
      <c r="K273" s="263">
        <f t="shared" si="21"/>
        <v>11164.977339912002</v>
      </c>
      <c r="L273" s="1"/>
    </row>
    <row r="274" spans="1:12" s="44" customFormat="1" ht="15" hidden="1" customHeight="1">
      <c r="A274" s="284"/>
      <c r="B274" s="105" t="s">
        <v>82</v>
      </c>
      <c r="C274" s="38" t="s">
        <v>29</v>
      </c>
      <c r="D274" s="70" t="s">
        <v>81</v>
      </c>
      <c r="E274" s="109">
        <f>(1792*0.8*0.08*1.02)/1000</f>
        <v>0.11698176000000002</v>
      </c>
      <c r="F274" s="37">
        <f>F272*E274</f>
        <v>5.8607861760000013</v>
      </c>
      <c r="G274" s="32"/>
      <c r="H274" s="244"/>
      <c r="I274" s="33">
        <v>823.63</v>
      </c>
      <c r="J274" s="73">
        <f t="shared" si="22"/>
        <v>4827.1193181388808</v>
      </c>
      <c r="K274" s="263">
        <f t="shared" si="21"/>
        <v>4827.1193181388808</v>
      </c>
      <c r="L274" s="1"/>
    </row>
    <row r="275" spans="1:12" s="45" customFormat="1" ht="15" hidden="1" customHeight="1">
      <c r="A275" s="297"/>
      <c r="B275" s="105" t="s">
        <v>83</v>
      </c>
      <c r="C275" s="38" t="s">
        <v>29</v>
      </c>
      <c r="D275" s="70" t="s">
        <v>81</v>
      </c>
      <c r="E275" s="109">
        <f>(1792*0.2*0.08*1.02)/1000</f>
        <v>2.9245440000000004E-2</v>
      </c>
      <c r="F275" s="37">
        <f>F272*E275</f>
        <v>1.4651965440000003</v>
      </c>
      <c r="G275" s="32"/>
      <c r="H275" s="110"/>
      <c r="I275" s="33">
        <v>374.49299999999999</v>
      </c>
      <c r="J275" s="73">
        <f t="shared" si="22"/>
        <v>548.7058493521921</v>
      </c>
      <c r="K275" s="263">
        <f t="shared" si="21"/>
        <v>548.7058493521921</v>
      </c>
      <c r="L275" s="1"/>
    </row>
    <row r="276" spans="1:12" s="45" customFormat="1" ht="15" hidden="1" customHeight="1">
      <c r="A276" s="284"/>
      <c r="B276" s="105" t="s">
        <v>84</v>
      </c>
      <c r="C276" s="38" t="s">
        <v>29</v>
      </c>
      <c r="D276" s="70" t="s">
        <v>41</v>
      </c>
      <c r="E276" s="109">
        <v>1.1000000000000001</v>
      </c>
      <c r="F276" s="37">
        <f>F272*E276</f>
        <v>55.110000000000007</v>
      </c>
      <c r="G276" s="32"/>
      <c r="H276" s="110"/>
      <c r="I276" s="33">
        <v>115.91449999999999</v>
      </c>
      <c r="J276" s="73">
        <f t="shared" si="22"/>
        <v>6388.0480950000001</v>
      </c>
      <c r="K276" s="263">
        <f t="shared" si="21"/>
        <v>6388.0480950000001</v>
      </c>
      <c r="L276" s="1"/>
    </row>
    <row r="277" spans="1:12" s="44" customFormat="1" ht="15" hidden="1" customHeight="1">
      <c r="A277" s="284"/>
      <c r="B277" s="105" t="s">
        <v>85</v>
      </c>
      <c r="C277" s="38" t="s">
        <v>29</v>
      </c>
      <c r="D277" s="70" t="s">
        <v>81</v>
      </c>
      <c r="E277" s="109">
        <f>0.21/1000</f>
        <v>2.0999999999999998E-4</v>
      </c>
      <c r="F277" s="37">
        <f>F272*E277</f>
        <v>1.0520999999999999E-2</v>
      </c>
      <c r="G277" s="32"/>
      <c r="H277" s="244"/>
      <c r="I277" s="33">
        <v>56431.8</v>
      </c>
      <c r="J277" s="73">
        <f t="shared" si="22"/>
        <v>593.71896779999997</v>
      </c>
      <c r="K277" s="263">
        <f t="shared" si="21"/>
        <v>593.71896779999997</v>
      </c>
      <c r="L277" s="1"/>
    </row>
    <row r="278" spans="1:12" s="45" customFormat="1" ht="15" hidden="1" customHeight="1">
      <c r="A278" s="284"/>
      <c r="B278" s="105" t="s">
        <v>86</v>
      </c>
      <c r="C278" s="38" t="s">
        <v>29</v>
      </c>
      <c r="D278" s="70" t="s">
        <v>56</v>
      </c>
      <c r="E278" s="109">
        <v>4</v>
      </c>
      <c r="F278" s="37">
        <f>F272*E278</f>
        <v>200.4</v>
      </c>
      <c r="G278" s="32"/>
      <c r="H278" s="110"/>
      <c r="I278" s="33">
        <v>0.67135999999999996</v>
      </c>
      <c r="J278" s="73">
        <f t="shared" si="22"/>
        <v>134.54054399999998</v>
      </c>
      <c r="K278" s="263">
        <f t="shared" si="21"/>
        <v>134.54054399999998</v>
      </c>
      <c r="L278" s="1"/>
    </row>
    <row r="279" spans="1:12" s="44" customFormat="1" ht="15" hidden="1" customHeight="1">
      <c r="A279" s="284"/>
      <c r="B279" s="105" t="s">
        <v>87</v>
      </c>
      <c r="C279" s="38" t="s">
        <v>29</v>
      </c>
      <c r="D279" s="70" t="s">
        <v>58</v>
      </c>
      <c r="E279" s="109"/>
      <c r="F279" s="37">
        <f>F272</f>
        <v>50.1</v>
      </c>
      <c r="G279" s="32"/>
      <c r="H279" s="244"/>
      <c r="I279" s="33">
        <v>7.0979999999999999</v>
      </c>
      <c r="J279" s="73">
        <f t="shared" si="22"/>
        <v>355.60980000000001</v>
      </c>
      <c r="K279" s="263">
        <f t="shared" si="21"/>
        <v>355.60980000000001</v>
      </c>
      <c r="L279" s="1"/>
    </row>
    <row r="280" spans="1:12" s="45" customFormat="1" ht="15" hidden="1" customHeight="1">
      <c r="A280" s="288">
        <f>A272+1</f>
        <v>22</v>
      </c>
      <c r="B280" s="61" t="s">
        <v>101</v>
      </c>
      <c r="C280" s="38" t="s">
        <v>29</v>
      </c>
      <c r="D280" s="38" t="s">
        <v>30</v>
      </c>
      <c r="E280" s="109"/>
      <c r="F280" s="97">
        <f>F263</f>
        <v>50.1</v>
      </c>
      <c r="G280" s="32">
        <v>150</v>
      </c>
      <c r="H280" s="235">
        <f>F280*G280</f>
        <v>7515</v>
      </c>
      <c r="I280" s="33"/>
      <c r="J280" s="66"/>
      <c r="K280" s="260">
        <f t="shared" si="21"/>
        <v>7515</v>
      </c>
      <c r="L280" s="1"/>
    </row>
    <row r="281" spans="1:12" s="45" customFormat="1" ht="15" hidden="1" customHeight="1">
      <c r="A281" s="284"/>
      <c r="B281" s="105" t="s">
        <v>102</v>
      </c>
      <c r="C281" s="38" t="s">
        <v>29</v>
      </c>
      <c r="D281" s="70" t="s">
        <v>41</v>
      </c>
      <c r="E281" s="109">
        <f>1.15</f>
        <v>1.1499999999999999</v>
      </c>
      <c r="F281" s="37">
        <f>F280*E281</f>
        <v>57.614999999999995</v>
      </c>
      <c r="G281" s="32"/>
      <c r="H281" s="110"/>
      <c r="I281" s="33">
        <v>38.708099999999995</v>
      </c>
      <c r="J281" s="73">
        <f>F281*I281</f>
        <v>2230.1671814999995</v>
      </c>
      <c r="K281" s="263">
        <f t="shared" si="21"/>
        <v>2230.1671814999995</v>
      </c>
      <c r="L281" s="1"/>
    </row>
    <row r="282" spans="1:12" s="44" customFormat="1" ht="15" hidden="1" customHeight="1">
      <c r="A282" s="284"/>
      <c r="B282" s="105" t="s">
        <v>103</v>
      </c>
      <c r="C282" s="38" t="s">
        <v>29</v>
      </c>
      <c r="D282" s="70" t="s">
        <v>19</v>
      </c>
      <c r="E282" s="109">
        <v>0.3</v>
      </c>
      <c r="F282" s="37">
        <f>F280*E282</f>
        <v>15.03</v>
      </c>
      <c r="G282" s="32"/>
      <c r="H282" s="244"/>
      <c r="I282" s="33">
        <v>60.6</v>
      </c>
      <c r="J282" s="73">
        <f>F282*I282</f>
        <v>910.81799999999998</v>
      </c>
      <c r="K282" s="263">
        <f t="shared" si="21"/>
        <v>910.81799999999998</v>
      </c>
      <c r="L282" s="1"/>
    </row>
    <row r="283" spans="1:12" s="45" customFormat="1" ht="15" hidden="1" customHeight="1">
      <c r="A283" s="288"/>
      <c r="B283" s="105" t="s">
        <v>104</v>
      </c>
      <c r="C283" s="38" t="s">
        <v>29</v>
      </c>
      <c r="D283" s="70" t="s">
        <v>21</v>
      </c>
      <c r="E283" s="64">
        <v>1</v>
      </c>
      <c r="F283" s="37">
        <f>E283*F280</f>
        <v>50.1</v>
      </c>
      <c r="G283" s="32"/>
      <c r="H283" s="110"/>
      <c r="I283" s="33">
        <v>35</v>
      </c>
      <c r="J283" s="73">
        <f>F283*I283</f>
        <v>1753.5</v>
      </c>
      <c r="K283" s="263">
        <f t="shared" si="21"/>
        <v>1753.5</v>
      </c>
      <c r="L283" s="1"/>
    </row>
    <row r="284" spans="1:12" s="45" customFormat="1" ht="15" hidden="1" customHeight="1">
      <c r="A284" s="282"/>
      <c r="B284" s="120" t="s">
        <v>117</v>
      </c>
      <c r="C284" s="291"/>
      <c r="D284" s="292"/>
      <c r="E284" s="293"/>
      <c r="F284" s="292"/>
      <c r="G284" s="57"/>
      <c r="H284" s="292"/>
      <c r="I284" s="59"/>
      <c r="J284" s="294"/>
      <c r="K284" s="295"/>
      <c r="L284" s="1"/>
    </row>
    <row r="285" spans="1:12" s="45" customFormat="1" ht="15" hidden="1" customHeight="1">
      <c r="A285" s="288">
        <f>A280+1</f>
        <v>23</v>
      </c>
      <c r="B285" s="61" t="s">
        <v>77</v>
      </c>
      <c r="C285" s="38" t="s">
        <v>23</v>
      </c>
      <c r="D285" s="38" t="s">
        <v>30</v>
      </c>
      <c r="E285" s="109"/>
      <c r="F285" s="97">
        <v>58.62</v>
      </c>
      <c r="G285" s="32">
        <v>670</v>
      </c>
      <c r="H285" s="235">
        <f>F285*G285</f>
        <v>39275.4</v>
      </c>
      <c r="I285" s="33"/>
      <c r="J285" s="66"/>
      <c r="K285" s="260">
        <f t="shared" ref="K285:K298" si="23">H285+J285</f>
        <v>39275.4</v>
      </c>
      <c r="L285" s="1"/>
    </row>
    <row r="286" spans="1:12" s="45" customFormat="1" ht="15" hidden="1" customHeight="1">
      <c r="A286" s="284"/>
      <c r="B286" s="105" t="s">
        <v>24</v>
      </c>
      <c r="C286" s="38" t="s">
        <v>23</v>
      </c>
      <c r="D286" s="70" t="s">
        <v>41</v>
      </c>
      <c r="E286" s="109">
        <v>1.1000000000000001</v>
      </c>
      <c r="F286" s="37">
        <f>F285*E286</f>
        <v>64.481999999999999</v>
      </c>
      <c r="G286" s="32"/>
      <c r="H286" s="110"/>
      <c r="I286" s="33">
        <v>401.24249999999995</v>
      </c>
      <c r="J286" s="73">
        <f>F286*I286</f>
        <v>25872.918884999995</v>
      </c>
      <c r="K286" s="263">
        <f t="shared" si="23"/>
        <v>25872.918884999995</v>
      </c>
      <c r="L286" s="1"/>
    </row>
    <row r="287" spans="1:12" s="44" customFormat="1" ht="15" hidden="1" customHeight="1">
      <c r="A287" s="284"/>
      <c r="B287" s="105" t="s">
        <v>34</v>
      </c>
      <c r="C287" s="38" t="s">
        <v>23</v>
      </c>
      <c r="D287" s="70" t="s">
        <v>21</v>
      </c>
      <c r="E287" s="109">
        <v>0.2</v>
      </c>
      <c r="F287" s="37">
        <f>F285*E287</f>
        <v>11.724</v>
      </c>
      <c r="G287" s="32"/>
      <c r="H287" s="244"/>
      <c r="I287" s="33">
        <v>37.450000000000003</v>
      </c>
      <c r="J287" s="73">
        <f>F287*I287</f>
        <v>439.06380000000001</v>
      </c>
      <c r="K287" s="263">
        <f t="shared" si="23"/>
        <v>439.06380000000001</v>
      </c>
      <c r="L287" s="1"/>
    </row>
    <row r="288" spans="1:12" s="44" customFormat="1" ht="15" hidden="1" customHeight="1">
      <c r="A288" s="284"/>
      <c r="B288" s="105" t="s">
        <v>71</v>
      </c>
      <c r="C288" s="38" t="s">
        <v>23</v>
      </c>
      <c r="D288" s="70" t="s">
        <v>19</v>
      </c>
      <c r="E288" s="109">
        <v>7.6</v>
      </c>
      <c r="F288" s="37">
        <f>F285*E288</f>
        <v>445.51199999999994</v>
      </c>
      <c r="G288" s="32"/>
      <c r="H288" s="244"/>
      <c r="I288" s="33">
        <v>7.6</v>
      </c>
      <c r="J288" s="73">
        <f>F288*I288</f>
        <v>3385.8911999999996</v>
      </c>
      <c r="K288" s="263">
        <f t="shared" si="23"/>
        <v>3385.8911999999996</v>
      </c>
      <c r="L288" s="1"/>
    </row>
    <row r="289" spans="1:12" s="45" customFormat="1" ht="15" hidden="1" customHeight="1">
      <c r="A289" s="284"/>
      <c r="B289" s="105" t="s">
        <v>72</v>
      </c>
      <c r="C289" s="38" t="s">
        <v>23</v>
      </c>
      <c r="D289" s="70" t="s">
        <v>56</v>
      </c>
      <c r="E289" s="109">
        <v>11</v>
      </c>
      <c r="F289" s="37">
        <f>F285*E289</f>
        <v>644.81999999999994</v>
      </c>
      <c r="G289" s="32"/>
      <c r="H289" s="110"/>
      <c r="I289" s="33">
        <v>1.3007599999999999</v>
      </c>
      <c r="J289" s="73">
        <f>F289*I289</f>
        <v>838.75606319999986</v>
      </c>
      <c r="K289" s="263">
        <f t="shared" si="23"/>
        <v>838.75606319999986</v>
      </c>
      <c r="L289" s="1"/>
    </row>
    <row r="290" spans="1:12" s="44" customFormat="1" ht="15" hidden="1" customHeight="1">
      <c r="A290" s="284"/>
      <c r="B290" s="105" t="s">
        <v>73</v>
      </c>
      <c r="C290" s="38" t="s">
        <v>23</v>
      </c>
      <c r="D290" s="70" t="s">
        <v>19</v>
      </c>
      <c r="E290" s="109">
        <v>0.4</v>
      </c>
      <c r="F290" s="37">
        <f>F285*E290</f>
        <v>23.448</v>
      </c>
      <c r="G290" s="32"/>
      <c r="H290" s="244"/>
      <c r="I290" s="33">
        <v>123.5</v>
      </c>
      <c r="J290" s="73">
        <f>F290*I290</f>
        <v>2895.828</v>
      </c>
      <c r="K290" s="263">
        <f t="shared" si="23"/>
        <v>2895.828</v>
      </c>
      <c r="L290" s="1"/>
    </row>
    <row r="291" spans="1:12" s="45" customFormat="1" ht="25.5" hidden="1" customHeight="1">
      <c r="A291" s="288">
        <f>A285+1</f>
        <v>24</v>
      </c>
      <c r="B291" s="61" t="s">
        <v>186</v>
      </c>
      <c r="C291" s="38" t="s">
        <v>29</v>
      </c>
      <c r="D291" s="38" t="s">
        <v>30</v>
      </c>
      <c r="E291" s="109"/>
      <c r="F291" s="97">
        <f>F285</f>
        <v>58.62</v>
      </c>
      <c r="G291" s="32">
        <v>250</v>
      </c>
      <c r="H291" s="235">
        <f>F291*G291</f>
        <v>14655</v>
      </c>
      <c r="I291" s="33"/>
      <c r="J291" s="66"/>
      <c r="K291" s="260">
        <f t="shared" si="23"/>
        <v>14655</v>
      </c>
      <c r="L291" s="1"/>
    </row>
    <row r="292" spans="1:12" s="44" customFormat="1" ht="15" hidden="1" customHeight="1">
      <c r="A292" s="284"/>
      <c r="B292" s="105" t="s">
        <v>80</v>
      </c>
      <c r="C292" s="38" t="s">
        <v>29</v>
      </c>
      <c r="D292" s="70" t="s">
        <v>81</v>
      </c>
      <c r="E292" s="109">
        <f>(499*0.1*1.02)/1000</f>
        <v>5.0898000000000006E-2</v>
      </c>
      <c r="F292" s="37">
        <f>F291*E292</f>
        <v>2.9836407600000001</v>
      </c>
      <c r="G292" s="32"/>
      <c r="H292" s="244"/>
      <c r="I292" s="33">
        <v>5473.05</v>
      </c>
      <c r="J292" s="73">
        <f t="shared" ref="J292:J298" si="24">F292*I292</f>
        <v>16329.615061518001</v>
      </c>
      <c r="K292" s="263">
        <f t="shared" si="23"/>
        <v>16329.615061518001</v>
      </c>
      <c r="L292" s="1"/>
    </row>
    <row r="293" spans="1:12" s="44" customFormat="1" ht="15" hidden="1" customHeight="1">
      <c r="A293" s="284"/>
      <c r="B293" s="105" t="s">
        <v>82</v>
      </c>
      <c r="C293" s="38" t="s">
        <v>29</v>
      </c>
      <c r="D293" s="70" t="s">
        <v>81</v>
      </c>
      <c r="E293" s="109">
        <f>(1792*0.8*0.1*1.02)/1000</f>
        <v>0.1462272</v>
      </c>
      <c r="F293" s="37">
        <f>F291*E293</f>
        <v>8.5718384639999989</v>
      </c>
      <c r="G293" s="32"/>
      <c r="H293" s="244"/>
      <c r="I293" s="33">
        <v>823.63</v>
      </c>
      <c r="J293" s="73">
        <f t="shared" si="24"/>
        <v>7060.0233141043191</v>
      </c>
      <c r="K293" s="263">
        <f t="shared" si="23"/>
        <v>7060.0233141043191</v>
      </c>
      <c r="L293" s="1"/>
    </row>
    <row r="294" spans="1:12" s="45" customFormat="1" ht="15" hidden="1" customHeight="1">
      <c r="A294" s="297"/>
      <c r="B294" s="105" t="s">
        <v>83</v>
      </c>
      <c r="C294" s="38" t="s">
        <v>29</v>
      </c>
      <c r="D294" s="70" t="s">
        <v>81</v>
      </c>
      <c r="E294" s="109">
        <f>(1792*0.2*0.1*1.02)/1000</f>
        <v>3.65568E-2</v>
      </c>
      <c r="F294" s="37">
        <f>F291*E294</f>
        <v>2.1429596159999997</v>
      </c>
      <c r="G294" s="32"/>
      <c r="H294" s="110"/>
      <c r="I294" s="33">
        <v>374.49299999999999</v>
      </c>
      <c r="J294" s="73">
        <f t="shared" si="24"/>
        <v>802.5233754746879</v>
      </c>
      <c r="K294" s="263">
        <f t="shared" si="23"/>
        <v>802.5233754746879</v>
      </c>
      <c r="L294" s="1"/>
    </row>
    <row r="295" spans="1:12" s="45" customFormat="1" ht="15" hidden="1" customHeight="1">
      <c r="A295" s="284"/>
      <c r="B295" s="105" t="s">
        <v>84</v>
      </c>
      <c r="C295" s="38" t="s">
        <v>29</v>
      </c>
      <c r="D295" s="70" t="s">
        <v>41</v>
      </c>
      <c r="E295" s="109">
        <v>1.1000000000000001</v>
      </c>
      <c r="F295" s="37">
        <f>F291*E295</f>
        <v>64.481999999999999</v>
      </c>
      <c r="G295" s="32"/>
      <c r="H295" s="110"/>
      <c r="I295" s="33">
        <v>115.91449999999999</v>
      </c>
      <c r="J295" s="73">
        <f t="shared" si="24"/>
        <v>7474.3987889999989</v>
      </c>
      <c r="K295" s="263">
        <f t="shared" si="23"/>
        <v>7474.3987889999989</v>
      </c>
      <c r="L295" s="1"/>
    </row>
    <row r="296" spans="1:12" s="44" customFormat="1" ht="15" hidden="1" customHeight="1">
      <c r="A296" s="284"/>
      <c r="B296" s="105" t="s">
        <v>85</v>
      </c>
      <c r="C296" s="38" t="s">
        <v>29</v>
      </c>
      <c r="D296" s="70" t="s">
        <v>81</v>
      </c>
      <c r="E296" s="109">
        <f>0.21/1000</f>
        <v>2.0999999999999998E-4</v>
      </c>
      <c r="F296" s="37">
        <f>F291*E296</f>
        <v>1.2310199999999999E-2</v>
      </c>
      <c r="G296" s="32"/>
      <c r="H296" s="244"/>
      <c r="I296" s="33">
        <v>56431.8</v>
      </c>
      <c r="J296" s="73">
        <f t="shared" si="24"/>
        <v>694.68674435999992</v>
      </c>
      <c r="K296" s="263">
        <f t="shared" si="23"/>
        <v>694.68674435999992</v>
      </c>
      <c r="L296" s="1"/>
    </row>
    <row r="297" spans="1:12" s="45" customFormat="1" ht="15" hidden="1" customHeight="1">
      <c r="A297" s="284"/>
      <c r="B297" s="105" t="s">
        <v>86</v>
      </c>
      <c r="C297" s="38" t="s">
        <v>29</v>
      </c>
      <c r="D297" s="70" t="s">
        <v>56</v>
      </c>
      <c r="E297" s="109">
        <v>4</v>
      </c>
      <c r="F297" s="37">
        <f>F291*E297</f>
        <v>234.48</v>
      </c>
      <c r="G297" s="32"/>
      <c r="H297" s="110"/>
      <c r="I297" s="33">
        <v>0.67135999999999996</v>
      </c>
      <c r="J297" s="73">
        <f t="shared" si="24"/>
        <v>157.42049279999998</v>
      </c>
      <c r="K297" s="263">
        <f t="shared" si="23"/>
        <v>157.42049279999998</v>
      </c>
      <c r="L297" s="1"/>
    </row>
    <row r="298" spans="1:12" s="44" customFormat="1" ht="15" hidden="1" customHeight="1">
      <c r="A298" s="284"/>
      <c r="B298" s="105" t="s">
        <v>87</v>
      </c>
      <c r="C298" s="38" t="s">
        <v>29</v>
      </c>
      <c r="D298" s="70" t="s">
        <v>58</v>
      </c>
      <c r="E298" s="109"/>
      <c r="F298" s="37">
        <f>F291</f>
        <v>58.62</v>
      </c>
      <c r="G298" s="32"/>
      <c r="H298" s="244"/>
      <c r="I298" s="33">
        <v>7.0979999999999999</v>
      </c>
      <c r="J298" s="73">
        <f t="shared" si="24"/>
        <v>416.08475999999996</v>
      </c>
      <c r="K298" s="263">
        <f t="shared" si="23"/>
        <v>416.08475999999996</v>
      </c>
      <c r="L298" s="1"/>
    </row>
    <row r="299" spans="1:12" s="45" customFormat="1" ht="15" hidden="1" customHeight="1">
      <c r="A299" s="284"/>
      <c r="B299" s="105"/>
      <c r="C299" s="75"/>
      <c r="D299" s="70"/>
      <c r="E299" s="109"/>
      <c r="F299" s="37"/>
      <c r="G299" s="32"/>
      <c r="H299" s="110"/>
      <c r="I299" s="33"/>
      <c r="J299" s="73"/>
      <c r="K299" s="263"/>
      <c r="L299" s="1"/>
    </row>
    <row r="300" spans="1:12" s="45" customFormat="1" ht="15" hidden="1" customHeight="1">
      <c r="A300" s="282"/>
      <c r="B300" s="120" t="s">
        <v>118</v>
      </c>
      <c r="C300" s="291"/>
      <c r="D300" s="292"/>
      <c r="E300" s="293"/>
      <c r="F300" s="292"/>
      <c r="G300" s="57"/>
      <c r="H300" s="292"/>
      <c r="I300" s="59"/>
      <c r="J300" s="294"/>
      <c r="K300" s="295"/>
      <c r="L300" s="1"/>
    </row>
    <row r="301" spans="1:12" s="45" customFormat="1" ht="15" hidden="1" customHeight="1">
      <c r="A301" s="288">
        <f>A291+1</f>
        <v>25</v>
      </c>
      <c r="B301" s="61" t="s">
        <v>77</v>
      </c>
      <c r="C301" s="38" t="s">
        <v>23</v>
      </c>
      <c r="D301" s="38" t="s">
        <v>30</v>
      </c>
      <c r="E301" s="109"/>
      <c r="F301" s="97">
        <v>77.849999999999994</v>
      </c>
      <c r="G301" s="32">
        <v>670</v>
      </c>
      <c r="H301" s="235">
        <f>F301*G301</f>
        <v>52159.499999999993</v>
      </c>
      <c r="I301" s="33"/>
      <c r="J301" s="66"/>
      <c r="K301" s="260">
        <f t="shared" ref="K301:K322" si="25">H301+J301</f>
        <v>52159.499999999993</v>
      </c>
      <c r="L301" s="1"/>
    </row>
    <row r="302" spans="1:12" s="45" customFormat="1" ht="15" hidden="1" customHeight="1">
      <c r="A302" s="284"/>
      <c r="B302" s="105" t="s">
        <v>24</v>
      </c>
      <c r="C302" s="38" t="s">
        <v>23</v>
      </c>
      <c r="D302" s="70" t="s">
        <v>41</v>
      </c>
      <c r="E302" s="109">
        <v>1.1000000000000001</v>
      </c>
      <c r="F302" s="37">
        <f>F301*E302</f>
        <v>85.635000000000005</v>
      </c>
      <c r="G302" s="32"/>
      <c r="H302" s="110"/>
      <c r="I302" s="33">
        <v>401.24249999999995</v>
      </c>
      <c r="J302" s="73">
        <f>F302*I302</f>
        <v>34360.401487499999</v>
      </c>
      <c r="K302" s="263">
        <f t="shared" si="25"/>
        <v>34360.401487499999</v>
      </c>
      <c r="L302" s="1"/>
    </row>
    <row r="303" spans="1:12" s="44" customFormat="1" ht="15" hidden="1" customHeight="1">
      <c r="A303" s="284"/>
      <c r="B303" s="105" t="s">
        <v>34</v>
      </c>
      <c r="C303" s="38" t="s">
        <v>23</v>
      </c>
      <c r="D303" s="70" t="s">
        <v>21</v>
      </c>
      <c r="E303" s="109">
        <v>0.2</v>
      </c>
      <c r="F303" s="37">
        <f>F301*E303</f>
        <v>15.57</v>
      </c>
      <c r="G303" s="32"/>
      <c r="H303" s="244"/>
      <c r="I303" s="33">
        <v>37.450000000000003</v>
      </c>
      <c r="J303" s="73">
        <f>F303*I303</f>
        <v>583.09650000000011</v>
      </c>
      <c r="K303" s="263">
        <f t="shared" si="25"/>
        <v>583.09650000000011</v>
      </c>
      <c r="L303" s="1"/>
    </row>
    <row r="304" spans="1:12" s="44" customFormat="1" ht="15" hidden="1" customHeight="1">
      <c r="A304" s="284"/>
      <c r="B304" s="105" t="s">
        <v>71</v>
      </c>
      <c r="C304" s="38" t="s">
        <v>23</v>
      </c>
      <c r="D304" s="70" t="s">
        <v>19</v>
      </c>
      <c r="E304" s="109">
        <v>7.6</v>
      </c>
      <c r="F304" s="37">
        <f>F301*E304</f>
        <v>591.66</v>
      </c>
      <c r="G304" s="32"/>
      <c r="H304" s="244"/>
      <c r="I304" s="33">
        <v>7.6</v>
      </c>
      <c r="J304" s="73">
        <f>F304*I304</f>
        <v>4496.616</v>
      </c>
      <c r="K304" s="263">
        <f t="shared" si="25"/>
        <v>4496.616</v>
      </c>
      <c r="L304" s="1"/>
    </row>
    <row r="305" spans="1:12" s="45" customFormat="1" ht="15" hidden="1" customHeight="1">
      <c r="A305" s="284"/>
      <c r="B305" s="105" t="s">
        <v>72</v>
      </c>
      <c r="C305" s="38" t="s">
        <v>23</v>
      </c>
      <c r="D305" s="70" t="s">
        <v>56</v>
      </c>
      <c r="E305" s="109">
        <v>11</v>
      </c>
      <c r="F305" s="37">
        <f>F301*E305</f>
        <v>856.34999999999991</v>
      </c>
      <c r="G305" s="32"/>
      <c r="H305" s="110"/>
      <c r="I305" s="33">
        <v>1.3007599999999999</v>
      </c>
      <c r="J305" s="73">
        <f>F305*I305</f>
        <v>1113.9058259999997</v>
      </c>
      <c r="K305" s="263">
        <f t="shared" si="25"/>
        <v>1113.9058259999997</v>
      </c>
      <c r="L305" s="1"/>
    </row>
    <row r="306" spans="1:12" s="44" customFormat="1" ht="15" hidden="1" customHeight="1">
      <c r="A306" s="284"/>
      <c r="B306" s="105" t="s">
        <v>73</v>
      </c>
      <c r="C306" s="38" t="s">
        <v>23</v>
      </c>
      <c r="D306" s="70" t="s">
        <v>19</v>
      </c>
      <c r="E306" s="109">
        <v>0.4</v>
      </c>
      <c r="F306" s="37">
        <f>F301*E306</f>
        <v>31.14</v>
      </c>
      <c r="G306" s="32"/>
      <c r="H306" s="244"/>
      <c r="I306" s="33">
        <v>123.5</v>
      </c>
      <c r="J306" s="73">
        <f>F306*I306</f>
        <v>3845.79</v>
      </c>
      <c r="K306" s="263">
        <f t="shared" si="25"/>
        <v>3845.79</v>
      </c>
      <c r="L306" s="1"/>
    </row>
    <row r="307" spans="1:12" s="45" customFormat="1" ht="25.5" hidden="1" customHeight="1">
      <c r="A307" s="288">
        <f>A301+1</f>
        <v>26</v>
      </c>
      <c r="B307" s="61" t="s">
        <v>119</v>
      </c>
      <c r="C307" s="38" t="s">
        <v>29</v>
      </c>
      <c r="D307" s="38" t="s">
        <v>30</v>
      </c>
      <c r="E307" s="109"/>
      <c r="F307" s="97">
        <f>F301</f>
        <v>77.849999999999994</v>
      </c>
      <c r="G307" s="32">
        <v>250</v>
      </c>
      <c r="H307" s="235">
        <f>F307*G307</f>
        <v>19462.5</v>
      </c>
      <c r="I307" s="33"/>
      <c r="J307" s="66"/>
      <c r="K307" s="260">
        <f t="shared" si="25"/>
        <v>19462.5</v>
      </c>
      <c r="L307" s="1"/>
    </row>
    <row r="308" spans="1:12" s="44" customFormat="1" ht="15" hidden="1" customHeight="1">
      <c r="A308" s="284"/>
      <c r="B308" s="105" t="s">
        <v>80</v>
      </c>
      <c r="C308" s="38" t="s">
        <v>29</v>
      </c>
      <c r="D308" s="70" t="s">
        <v>81</v>
      </c>
      <c r="E308" s="109">
        <f>(499*0.075*1.02)/1000</f>
        <v>3.8173499999999999E-2</v>
      </c>
      <c r="F308" s="37">
        <f>F307*E308</f>
        <v>2.9718069749999998</v>
      </c>
      <c r="G308" s="32"/>
      <c r="H308" s="244"/>
      <c r="I308" s="33">
        <v>5473.05</v>
      </c>
      <c r="J308" s="73">
        <f t="shared" ref="J308:J314" si="26">F308*I308</f>
        <v>16264.84816452375</v>
      </c>
      <c r="K308" s="263">
        <f t="shared" si="25"/>
        <v>16264.84816452375</v>
      </c>
      <c r="L308" s="1"/>
    </row>
    <row r="309" spans="1:12" s="44" customFormat="1" ht="15" hidden="1" customHeight="1">
      <c r="A309" s="284"/>
      <c r="B309" s="105" t="s">
        <v>82</v>
      </c>
      <c r="C309" s="38" t="s">
        <v>29</v>
      </c>
      <c r="D309" s="70" t="s">
        <v>81</v>
      </c>
      <c r="E309" s="109">
        <f>(1792*0.8*0.075*1.02)/1000</f>
        <v>0.10967040000000002</v>
      </c>
      <c r="F309" s="37">
        <f>F307*E309</f>
        <v>8.5378406400000006</v>
      </c>
      <c r="G309" s="32"/>
      <c r="H309" s="244"/>
      <c r="I309" s="33">
        <v>823.63</v>
      </c>
      <c r="J309" s="73">
        <f t="shared" si="26"/>
        <v>7032.0216863232008</v>
      </c>
      <c r="K309" s="263">
        <f t="shared" si="25"/>
        <v>7032.0216863232008</v>
      </c>
      <c r="L309" s="1"/>
    </row>
    <row r="310" spans="1:12" s="45" customFormat="1" ht="15" hidden="1" customHeight="1">
      <c r="A310" s="284"/>
      <c r="B310" s="105" t="s">
        <v>83</v>
      </c>
      <c r="C310" s="38" t="s">
        <v>29</v>
      </c>
      <c r="D310" s="70" t="s">
        <v>81</v>
      </c>
      <c r="E310" s="109">
        <f>(1792*0.2*0.075*1.02)/1000</f>
        <v>2.7417600000000004E-2</v>
      </c>
      <c r="F310" s="37">
        <f>F307*E310</f>
        <v>2.1344601600000002</v>
      </c>
      <c r="G310" s="32"/>
      <c r="H310" s="110"/>
      <c r="I310" s="33">
        <v>374.49299999999999</v>
      </c>
      <c r="J310" s="73">
        <f t="shared" si="26"/>
        <v>799.34038869888002</v>
      </c>
      <c r="K310" s="263">
        <f t="shared" si="25"/>
        <v>799.34038869888002</v>
      </c>
      <c r="L310" s="1"/>
    </row>
    <row r="311" spans="1:12" s="45" customFormat="1" ht="15" hidden="1" customHeight="1">
      <c r="A311" s="284"/>
      <c r="B311" s="105" t="s">
        <v>84</v>
      </c>
      <c r="C311" s="38" t="s">
        <v>29</v>
      </c>
      <c r="D311" s="70" t="s">
        <v>41</v>
      </c>
      <c r="E311" s="109">
        <v>1.1000000000000001</v>
      </c>
      <c r="F311" s="37">
        <f>F307*E311</f>
        <v>85.635000000000005</v>
      </c>
      <c r="G311" s="32"/>
      <c r="H311" s="110"/>
      <c r="I311" s="33">
        <v>115.91449999999999</v>
      </c>
      <c r="J311" s="73">
        <f t="shared" si="26"/>
        <v>9926.338207499999</v>
      </c>
      <c r="K311" s="263">
        <f t="shared" si="25"/>
        <v>9926.338207499999</v>
      </c>
      <c r="L311" s="1"/>
    </row>
    <row r="312" spans="1:12" s="44" customFormat="1" ht="15" hidden="1" customHeight="1">
      <c r="A312" s="284"/>
      <c r="B312" s="105" t="s">
        <v>85</v>
      </c>
      <c r="C312" s="38" t="s">
        <v>29</v>
      </c>
      <c r="D312" s="70" t="s">
        <v>81</v>
      </c>
      <c r="E312" s="109">
        <f>0.21/1000</f>
        <v>2.0999999999999998E-4</v>
      </c>
      <c r="F312" s="37">
        <f>F307*E312</f>
        <v>1.6348499999999998E-2</v>
      </c>
      <c r="G312" s="32"/>
      <c r="H312" s="244"/>
      <c r="I312" s="33">
        <v>56431.8</v>
      </c>
      <c r="J312" s="73">
        <f t="shared" si="26"/>
        <v>922.57528229999991</v>
      </c>
      <c r="K312" s="263">
        <f t="shared" si="25"/>
        <v>922.57528229999991</v>
      </c>
      <c r="L312" s="1"/>
    </row>
    <row r="313" spans="1:12" s="45" customFormat="1" ht="15" hidden="1" customHeight="1">
      <c r="A313" s="284"/>
      <c r="B313" s="105" t="s">
        <v>86</v>
      </c>
      <c r="C313" s="38" t="s">
        <v>29</v>
      </c>
      <c r="D313" s="70" t="s">
        <v>56</v>
      </c>
      <c r="E313" s="109">
        <v>4</v>
      </c>
      <c r="F313" s="37">
        <f>F307*E313</f>
        <v>311.39999999999998</v>
      </c>
      <c r="G313" s="32"/>
      <c r="H313" s="110"/>
      <c r="I313" s="33">
        <v>0.67135999999999996</v>
      </c>
      <c r="J313" s="73">
        <f t="shared" si="26"/>
        <v>209.06150399999999</v>
      </c>
      <c r="K313" s="263">
        <f t="shared" si="25"/>
        <v>209.06150399999999</v>
      </c>
      <c r="L313" s="1"/>
    </row>
    <row r="314" spans="1:12" s="44" customFormat="1" ht="15" hidden="1" customHeight="1">
      <c r="A314" s="284"/>
      <c r="B314" s="105" t="s">
        <v>87</v>
      </c>
      <c r="C314" s="38" t="s">
        <v>29</v>
      </c>
      <c r="D314" s="70" t="s">
        <v>58</v>
      </c>
      <c r="E314" s="109"/>
      <c r="F314" s="37">
        <f>F307</f>
        <v>77.849999999999994</v>
      </c>
      <c r="G314" s="32"/>
      <c r="H314" s="244"/>
      <c r="I314" s="33">
        <v>7.0979999999999999</v>
      </c>
      <c r="J314" s="73">
        <f t="shared" si="26"/>
        <v>552.57929999999999</v>
      </c>
      <c r="K314" s="263">
        <f t="shared" si="25"/>
        <v>552.57929999999999</v>
      </c>
      <c r="L314" s="1"/>
    </row>
    <row r="315" spans="1:12" s="45" customFormat="1" ht="25.5" hidden="1" customHeight="1">
      <c r="A315" s="288">
        <f>A307+1</f>
        <v>27</v>
      </c>
      <c r="B315" s="61" t="s">
        <v>98</v>
      </c>
      <c r="C315" s="38" t="s">
        <v>29</v>
      </c>
      <c r="D315" s="38" t="s">
        <v>30</v>
      </c>
      <c r="E315" s="109"/>
      <c r="F315" s="97">
        <f>F301</f>
        <v>77.849999999999994</v>
      </c>
      <c r="G315" s="32">
        <v>120</v>
      </c>
      <c r="H315" s="235">
        <f>F315*G315</f>
        <v>9342</v>
      </c>
      <c r="I315" s="33"/>
      <c r="J315" s="66"/>
      <c r="K315" s="260">
        <f t="shared" si="25"/>
        <v>9342</v>
      </c>
      <c r="L315" s="1"/>
    </row>
    <row r="316" spans="1:12" s="44" customFormat="1" ht="15" hidden="1" customHeight="1">
      <c r="A316" s="284"/>
      <c r="B316" s="105" t="s">
        <v>99</v>
      </c>
      <c r="C316" s="38" t="s">
        <v>29</v>
      </c>
      <c r="D316" s="70" t="s">
        <v>41</v>
      </c>
      <c r="E316" s="109">
        <v>1.1499999999999999</v>
      </c>
      <c r="F316" s="37">
        <f>F315*E316</f>
        <v>89.527499999999989</v>
      </c>
      <c r="G316" s="32"/>
      <c r="H316" s="244"/>
      <c r="I316" s="33">
        <v>161.51</v>
      </c>
      <c r="J316" s="73">
        <f>F316*I316</f>
        <v>14459.586524999997</v>
      </c>
      <c r="K316" s="263">
        <f t="shared" si="25"/>
        <v>14459.586524999997</v>
      </c>
      <c r="L316" s="1"/>
    </row>
    <row r="317" spans="1:12" s="45" customFormat="1" ht="15" hidden="1" customHeight="1">
      <c r="A317" s="284"/>
      <c r="B317" s="105" t="s">
        <v>100</v>
      </c>
      <c r="C317" s="38" t="s">
        <v>29</v>
      </c>
      <c r="D317" s="70" t="s">
        <v>58</v>
      </c>
      <c r="E317" s="109"/>
      <c r="F317" s="37">
        <f>F315</f>
        <v>77.849999999999994</v>
      </c>
      <c r="G317" s="32"/>
      <c r="H317" s="110"/>
      <c r="I317" s="33">
        <v>0.90213999999999994</v>
      </c>
      <c r="J317" s="73">
        <f>F317*I317</f>
        <v>70.231598999999989</v>
      </c>
      <c r="K317" s="263">
        <f t="shared" si="25"/>
        <v>70.231598999999989</v>
      </c>
      <c r="L317" s="1"/>
    </row>
    <row r="318" spans="1:12" s="45" customFormat="1" ht="15" hidden="1" customHeight="1">
      <c r="A318" s="288">
        <f>A315+1</f>
        <v>28</v>
      </c>
      <c r="B318" s="61" t="s">
        <v>91</v>
      </c>
      <c r="C318" s="38" t="s">
        <v>29</v>
      </c>
      <c r="D318" s="38" t="s">
        <v>30</v>
      </c>
      <c r="E318" s="109"/>
      <c r="F318" s="97">
        <f>F301</f>
        <v>77.849999999999994</v>
      </c>
      <c r="G318" s="32">
        <v>50</v>
      </c>
      <c r="H318" s="235">
        <f>F318*G318</f>
        <v>3892.4999999999995</v>
      </c>
      <c r="I318" s="33"/>
      <c r="J318" s="66"/>
      <c r="K318" s="260">
        <f t="shared" si="25"/>
        <v>3892.4999999999995</v>
      </c>
      <c r="L318" s="1"/>
    </row>
    <row r="319" spans="1:12" s="45" customFormat="1" ht="15" hidden="1" customHeight="1">
      <c r="A319" s="284"/>
      <c r="B319" s="105" t="s">
        <v>92</v>
      </c>
      <c r="C319" s="38" t="s">
        <v>29</v>
      </c>
      <c r="D319" s="70" t="s">
        <v>41</v>
      </c>
      <c r="E319" s="109">
        <v>1.1000000000000001</v>
      </c>
      <c r="F319" s="37">
        <f>F318*E319</f>
        <v>85.635000000000005</v>
      </c>
      <c r="G319" s="32"/>
      <c r="H319" s="110"/>
      <c r="I319" s="33">
        <v>14.05</v>
      </c>
      <c r="J319" s="73">
        <f>F319*I319</f>
        <v>1203.1717500000002</v>
      </c>
      <c r="K319" s="263">
        <f t="shared" si="25"/>
        <v>1203.1717500000002</v>
      </c>
      <c r="L319" s="1"/>
    </row>
    <row r="320" spans="1:12" s="44" customFormat="1" ht="15" hidden="1" customHeight="1">
      <c r="A320" s="284"/>
      <c r="B320" s="105" t="s">
        <v>93</v>
      </c>
      <c r="C320" s="38" t="s">
        <v>29</v>
      </c>
      <c r="D320" s="70" t="s">
        <v>58</v>
      </c>
      <c r="E320" s="109"/>
      <c r="F320" s="37">
        <f>F318*E320</f>
        <v>0</v>
      </c>
      <c r="G320" s="32"/>
      <c r="H320" s="244"/>
      <c r="I320" s="33">
        <v>4.96</v>
      </c>
      <c r="J320" s="73">
        <f>F320*I320</f>
        <v>0</v>
      </c>
      <c r="K320" s="263">
        <f t="shared" si="25"/>
        <v>0</v>
      </c>
      <c r="L320" s="1"/>
    </row>
    <row r="321" spans="1:12" s="45" customFormat="1" ht="15" hidden="1" customHeight="1">
      <c r="A321" s="288">
        <f>A318+1</f>
        <v>29</v>
      </c>
      <c r="B321" s="61" t="s">
        <v>120</v>
      </c>
      <c r="C321" s="38" t="s">
        <v>29</v>
      </c>
      <c r="D321" s="38" t="s">
        <v>30</v>
      </c>
      <c r="E321" s="109"/>
      <c r="F321" s="97">
        <f>F301</f>
        <v>77.849999999999994</v>
      </c>
      <c r="G321" s="32">
        <v>350</v>
      </c>
      <c r="H321" s="235">
        <f>F321*G321</f>
        <v>27247.499999999996</v>
      </c>
      <c r="I321" s="33"/>
      <c r="J321" s="66"/>
      <c r="K321" s="260">
        <f t="shared" si="25"/>
        <v>27247.499999999996</v>
      </c>
      <c r="L321" s="1"/>
    </row>
    <row r="322" spans="1:12" s="45" customFormat="1" ht="15" hidden="1" customHeight="1">
      <c r="A322" s="284"/>
      <c r="B322" s="105" t="s">
        <v>95</v>
      </c>
      <c r="C322" s="38" t="s">
        <v>29</v>
      </c>
      <c r="D322" s="70" t="s">
        <v>96</v>
      </c>
      <c r="E322" s="109">
        <f>0.3*1.02</f>
        <v>0.30599999999999999</v>
      </c>
      <c r="F322" s="37">
        <f>F321*E322</f>
        <v>23.822099999999999</v>
      </c>
      <c r="G322" s="32"/>
      <c r="H322" s="110"/>
      <c r="I322" s="33">
        <v>2448.1561999999999</v>
      </c>
      <c r="J322" s="73">
        <f>F322*I322</f>
        <v>58320.221812019998</v>
      </c>
      <c r="K322" s="263">
        <f t="shared" si="25"/>
        <v>58320.221812019998</v>
      </c>
      <c r="L322" s="1"/>
    </row>
    <row r="323" spans="1:12" s="45" customFormat="1" ht="15" hidden="1" customHeight="1">
      <c r="A323" s="284"/>
      <c r="B323" s="105"/>
      <c r="C323" s="75"/>
      <c r="D323" s="70"/>
      <c r="E323" s="64"/>
      <c r="F323" s="37"/>
      <c r="G323" s="32"/>
      <c r="H323" s="110"/>
      <c r="I323" s="33"/>
      <c r="J323" s="73"/>
      <c r="K323" s="263"/>
      <c r="L323" s="1"/>
    </row>
    <row r="324" spans="1:12" s="45" customFormat="1" ht="15" hidden="1" customHeight="1">
      <c r="A324" s="282"/>
      <c r="B324" s="120" t="s">
        <v>121</v>
      </c>
      <c r="C324" s="291"/>
      <c r="D324" s="292"/>
      <c r="E324" s="293"/>
      <c r="F324" s="292"/>
      <c r="G324" s="57"/>
      <c r="H324" s="292"/>
      <c r="I324" s="59"/>
      <c r="J324" s="294"/>
      <c r="K324" s="295"/>
      <c r="L324" s="1"/>
    </row>
    <row r="325" spans="1:12" s="45" customFormat="1" ht="15" hidden="1" customHeight="1">
      <c r="A325" s="288">
        <f>A321+1</f>
        <v>30</v>
      </c>
      <c r="B325" s="61" t="s">
        <v>77</v>
      </c>
      <c r="C325" s="38" t="s">
        <v>23</v>
      </c>
      <c r="D325" s="38" t="s">
        <v>30</v>
      </c>
      <c r="E325" s="109"/>
      <c r="F325" s="97">
        <v>120.5</v>
      </c>
      <c r="G325" s="32">
        <v>670</v>
      </c>
      <c r="H325" s="235">
        <f>F325*G325</f>
        <v>80735</v>
      </c>
      <c r="I325" s="33"/>
      <c r="J325" s="66"/>
      <c r="K325" s="260">
        <f t="shared" ref="K325:K356" si="27">H325+J325</f>
        <v>80735</v>
      </c>
      <c r="L325" s="1"/>
    </row>
    <row r="326" spans="1:12" s="45" customFormat="1" ht="15" hidden="1" customHeight="1">
      <c r="A326" s="284"/>
      <c r="B326" s="105" t="s">
        <v>24</v>
      </c>
      <c r="C326" s="38" t="s">
        <v>23</v>
      </c>
      <c r="D326" s="70" t="s">
        <v>41</v>
      </c>
      <c r="E326" s="109">
        <v>1.1000000000000001</v>
      </c>
      <c r="F326" s="37">
        <f>F325*E326</f>
        <v>132.55000000000001</v>
      </c>
      <c r="G326" s="32"/>
      <c r="H326" s="110"/>
      <c r="I326" s="33">
        <v>401.24249999999995</v>
      </c>
      <c r="J326" s="73">
        <f>F326*I326</f>
        <v>53184.693374999995</v>
      </c>
      <c r="K326" s="263">
        <f t="shared" si="27"/>
        <v>53184.693374999995</v>
      </c>
      <c r="L326" s="1"/>
    </row>
    <row r="327" spans="1:12" s="44" customFormat="1" ht="15" hidden="1" customHeight="1">
      <c r="A327" s="284"/>
      <c r="B327" s="105" t="s">
        <v>34</v>
      </c>
      <c r="C327" s="38" t="s">
        <v>23</v>
      </c>
      <c r="D327" s="70" t="s">
        <v>21</v>
      </c>
      <c r="E327" s="109">
        <v>0.2</v>
      </c>
      <c r="F327" s="37">
        <f>F325*E327</f>
        <v>24.1</v>
      </c>
      <c r="G327" s="32"/>
      <c r="H327" s="244"/>
      <c r="I327" s="33">
        <v>37.450000000000003</v>
      </c>
      <c r="J327" s="73">
        <f>F327*I327</f>
        <v>902.54500000000007</v>
      </c>
      <c r="K327" s="263">
        <f t="shared" si="27"/>
        <v>902.54500000000007</v>
      </c>
      <c r="L327" s="1"/>
    </row>
    <row r="328" spans="1:12" s="44" customFormat="1" ht="15" hidden="1" customHeight="1">
      <c r="A328" s="284"/>
      <c r="B328" s="105" t="s">
        <v>71</v>
      </c>
      <c r="C328" s="38" t="s">
        <v>23</v>
      </c>
      <c r="D328" s="70" t="s">
        <v>19</v>
      </c>
      <c r="E328" s="109">
        <v>7.6</v>
      </c>
      <c r="F328" s="37">
        <f>F325*E328</f>
        <v>915.8</v>
      </c>
      <c r="G328" s="32"/>
      <c r="H328" s="244"/>
      <c r="I328" s="33">
        <v>7.6</v>
      </c>
      <c r="J328" s="73">
        <f>F328*I328</f>
        <v>6960.079999999999</v>
      </c>
      <c r="K328" s="263">
        <f t="shared" si="27"/>
        <v>6960.079999999999</v>
      </c>
      <c r="L328" s="1"/>
    </row>
    <row r="329" spans="1:12" s="45" customFormat="1" ht="15" hidden="1" customHeight="1">
      <c r="A329" s="284"/>
      <c r="B329" s="105" t="s">
        <v>72</v>
      </c>
      <c r="C329" s="38" t="s">
        <v>23</v>
      </c>
      <c r="D329" s="70" t="s">
        <v>56</v>
      </c>
      <c r="E329" s="109">
        <v>11</v>
      </c>
      <c r="F329" s="37">
        <f>F325*E329</f>
        <v>1325.5</v>
      </c>
      <c r="G329" s="32"/>
      <c r="H329" s="110"/>
      <c r="I329" s="33">
        <v>1.3007599999999999</v>
      </c>
      <c r="J329" s="73">
        <f>F329*I329</f>
        <v>1724.1573799999999</v>
      </c>
      <c r="K329" s="263">
        <f t="shared" si="27"/>
        <v>1724.1573799999999</v>
      </c>
      <c r="L329" s="1"/>
    </row>
    <row r="330" spans="1:12" s="44" customFormat="1" ht="15" hidden="1" customHeight="1">
      <c r="A330" s="284"/>
      <c r="B330" s="105" t="s">
        <v>73</v>
      </c>
      <c r="C330" s="38" t="s">
        <v>23</v>
      </c>
      <c r="D330" s="70" t="s">
        <v>19</v>
      </c>
      <c r="E330" s="109">
        <v>0.4</v>
      </c>
      <c r="F330" s="37">
        <f>F325*E330</f>
        <v>48.2</v>
      </c>
      <c r="G330" s="32"/>
      <c r="H330" s="244"/>
      <c r="I330" s="33">
        <v>123.5</v>
      </c>
      <c r="J330" s="73">
        <f>F330*I330</f>
        <v>5952.7000000000007</v>
      </c>
      <c r="K330" s="263">
        <f t="shared" si="27"/>
        <v>5952.7000000000007</v>
      </c>
      <c r="L330" s="1"/>
    </row>
    <row r="331" spans="1:12" s="45" customFormat="1" ht="15" hidden="1" customHeight="1">
      <c r="A331" s="288">
        <f>A325+1</f>
        <v>31</v>
      </c>
      <c r="B331" s="61" t="s">
        <v>89</v>
      </c>
      <c r="C331" s="38" t="s">
        <v>29</v>
      </c>
      <c r="D331" s="38" t="s">
        <v>30</v>
      </c>
      <c r="E331" s="109"/>
      <c r="F331" s="97">
        <f>F325</f>
        <v>120.5</v>
      </c>
      <c r="G331" s="32">
        <v>100</v>
      </c>
      <c r="H331" s="235">
        <f>F331*G331</f>
        <v>12050</v>
      </c>
      <c r="I331" s="33"/>
      <c r="J331" s="66"/>
      <c r="K331" s="260">
        <f t="shared" si="27"/>
        <v>12050</v>
      </c>
      <c r="L331" s="1"/>
    </row>
    <row r="332" spans="1:12" s="44" customFormat="1" ht="15" hidden="1" customHeight="1">
      <c r="A332" s="284"/>
      <c r="B332" s="105" t="s">
        <v>34</v>
      </c>
      <c r="C332" s="38" t="s">
        <v>29</v>
      </c>
      <c r="D332" s="70" t="s">
        <v>21</v>
      </c>
      <c r="E332" s="109">
        <v>0.2</v>
      </c>
      <c r="F332" s="37">
        <f>F331*E332</f>
        <v>24.1</v>
      </c>
      <c r="G332" s="32"/>
      <c r="H332" s="244"/>
      <c r="I332" s="33">
        <v>37.450000000000003</v>
      </c>
      <c r="J332" s="73">
        <f>F332*I332</f>
        <v>902.54500000000007</v>
      </c>
      <c r="K332" s="263">
        <f t="shared" si="27"/>
        <v>902.54500000000007</v>
      </c>
      <c r="L332" s="1"/>
    </row>
    <row r="333" spans="1:12" s="44" customFormat="1" ht="15" hidden="1" customHeight="1">
      <c r="A333" s="284"/>
      <c r="B333" s="105" t="s">
        <v>90</v>
      </c>
      <c r="C333" s="38" t="s">
        <v>29</v>
      </c>
      <c r="D333" s="70" t="s">
        <v>19</v>
      </c>
      <c r="E333" s="109">
        <v>4.8</v>
      </c>
      <c r="F333" s="37">
        <f>F331*E333</f>
        <v>578.4</v>
      </c>
      <c r="G333" s="32"/>
      <c r="H333" s="244"/>
      <c r="I333" s="33">
        <v>20.329999999999998</v>
      </c>
      <c r="J333" s="73">
        <f>F333*I333</f>
        <v>11758.871999999999</v>
      </c>
      <c r="K333" s="263">
        <f t="shared" si="27"/>
        <v>11758.871999999999</v>
      </c>
      <c r="L333" s="1"/>
    </row>
    <row r="334" spans="1:12" s="45" customFormat="1" ht="25.5" hidden="1" customHeight="1">
      <c r="A334" s="288">
        <f>A331+1</f>
        <v>32</v>
      </c>
      <c r="B334" s="61" t="s">
        <v>122</v>
      </c>
      <c r="C334" s="38" t="s">
        <v>29</v>
      </c>
      <c r="D334" s="38" t="s">
        <v>30</v>
      </c>
      <c r="E334" s="109"/>
      <c r="F334" s="97">
        <f>F325</f>
        <v>120.5</v>
      </c>
      <c r="G334" s="32">
        <v>250</v>
      </c>
      <c r="H334" s="235">
        <f>F334*G334</f>
        <v>30125</v>
      </c>
      <c r="I334" s="33"/>
      <c r="J334" s="66"/>
      <c r="K334" s="260">
        <f t="shared" si="27"/>
        <v>30125</v>
      </c>
      <c r="L334" s="1"/>
    </row>
    <row r="335" spans="1:12" s="44" customFormat="1" ht="15" hidden="1" customHeight="1">
      <c r="A335" s="284"/>
      <c r="B335" s="105" t="s">
        <v>80</v>
      </c>
      <c r="C335" s="38" t="s">
        <v>29</v>
      </c>
      <c r="D335" s="70" t="s">
        <v>81</v>
      </c>
      <c r="E335" s="109">
        <f>(499*0.07*1.02)/1000</f>
        <v>3.5628600000000003E-2</v>
      </c>
      <c r="F335" s="37">
        <f>F334*E335</f>
        <v>4.2932463000000007</v>
      </c>
      <c r="G335" s="32"/>
      <c r="H335" s="244"/>
      <c r="I335" s="33">
        <v>5473.05</v>
      </c>
      <c r="J335" s="73">
        <f t="shared" ref="J335:J341" si="28">F335*I335</f>
        <v>23497.151662215005</v>
      </c>
      <c r="K335" s="263">
        <f t="shared" si="27"/>
        <v>23497.151662215005</v>
      </c>
      <c r="L335" s="1"/>
    </row>
    <row r="336" spans="1:12" s="44" customFormat="1" ht="15" hidden="1" customHeight="1">
      <c r="A336" s="284"/>
      <c r="B336" s="105" t="s">
        <v>82</v>
      </c>
      <c r="C336" s="38" t="s">
        <v>29</v>
      </c>
      <c r="D336" s="70" t="s">
        <v>81</v>
      </c>
      <c r="E336" s="109">
        <f>(1792*0.8*0.07*1.02)/1000</f>
        <v>0.10235904000000003</v>
      </c>
      <c r="F336" s="37">
        <f>F334*E336</f>
        <v>12.334264320000003</v>
      </c>
      <c r="G336" s="32"/>
      <c r="H336" s="244"/>
      <c r="I336" s="33">
        <v>823.63</v>
      </c>
      <c r="J336" s="73">
        <f t="shared" si="28"/>
        <v>10158.870121881602</v>
      </c>
      <c r="K336" s="263">
        <f t="shared" si="27"/>
        <v>10158.870121881602</v>
      </c>
      <c r="L336" s="1"/>
    </row>
    <row r="337" spans="1:12" s="45" customFormat="1" ht="15" hidden="1" customHeight="1">
      <c r="A337" s="284"/>
      <c r="B337" s="105" t="s">
        <v>83</v>
      </c>
      <c r="C337" s="38" t="s">
        <v>29</v>
      </c>
      <c r="D337" s="70" t="s">
        <v>81</v>
      </c>
      <c r="E337" s="109">
        <f>(1792*0.2*0.07*1.02)/1000</f>
        <v>2.5589760000000007E-2</v>
      </c>
      <c r="F337" s="37">
        <f>F334*E337</f>
        <v>3.0835660800000007</v>
      </c>
      <c r="G337" s="32"/>
      <c r="H337" s="110"/>
      <c r="I337" s="33">
        <v>374.49299999999999</v>
      </c>
      <c r="J337" s="73">
        <f t="shared" si="28"/>
        <v>1154.7739119974403</v>
      </c>
      <c r="K337" s="263">
        <f t="shared" si="27"/>
        <v>1154.7739119974403</v>
      </c>
      <c r="L337" s="1"/>
    </row>
    <row r="338" spans="1:12" s="45" customFormat="1" ht="15" hidden="1" customHeight="1">
      <c r="A338" s="284"/>
      <c r="B338" s="105" t="s">
        <v>84</v>
      </c>
      <c r="C338" s="38" t="s">
        <v>29</v>
      </c>
      <c r="D338" s="70" t="s">
        <v>41</v>
      </c>
      <c r="E338" s="109">
        <v>1.1000000000000001</v>
      </c>
      <c r="F338" s="37">
        <f>F334*E338</f>
        <v>132.55000000000001</v>
      </c>
      <c r="G338" s="32"/>
      <c r="H338" s="110"/>
      <c r="I338" s="33">
        <v>115.91449999999999</v>
      </c>
      <c r="J338" s="73">
        <f t="shared" si="28"/>
        <v>15364.466974999999</v>
      </c>
      <c r="K338" s="263">
        <f t="shared" si="27"/>
        <v>15364.466974999999</v>
      </c>
      <c r="L338" s="1"/>
    </row>
    <row r="339" spans="1:12" s="44" customFormat="1" ht="15" hidden="1" customHeight="1">
      <c r="A339" s="284"/>
      <c r="B339" s="105" t="s">
        <v>85</v>
      </c>
      <c r="C339" s="38" t="s">
        <v>29</v>
      </c>
      <c r="D339" s="70" t="s">
        <v>81</v>
      </c>
      <c r="E339" s="109">
        <f>0.21/1000</f>
        <v>2.0999999999999998E-4</v>
      </c>
      <c r="F339" s="37">
        <f>F334*E339</f>
        <v>2.5304999999999998E-2</v>
      </c>
      <c r="G339" s="32"/>
      <c r="H339" s="244"/>
      <c r="I339" s="33">
        <v>56431.8</v>
      </c>
      <c r="J339" s="73">
        <f t="shared" si="28"/>
        <v>1428.006699</v>
      </c>
      <c r="K339" s="263">
        <f t="shared" si="27"/>
        <v>1428.006699</v>
      </c>
      <c r="L339" s="1"/>
    </row>
    <row r="340" spans="1:12" s="45" customFormat="1" ht="15" hidden="1" customHeight="1">
      <c r="A340" s="284"/>
      <c r="B340" s="105" t="s">
        <v>86</v>
      </c>
      <c r="C340" s="38" t="s">
        <v>29</v>
      </c>
      <c r="D340" s="70" t="s">
        <v>56</v>
      </c>
      <c r="E340" s="109">
        <v>4</v>
      </c>
      <c r="F340" s="37">
        <f>F334*E340</f>
        <v>482</v>
      </c>
      <c r="G340" s="32"/>
      <c r="H340" s="110"/>
      <c r="I340" s="33">
        <v>0.67135999999999996</v>
      </c>
      <c r="J340" s="73">
        <f t="shared" si="28"/>
        <v>323.59551999999996</v>
      </c>
      <c r="K340" s="263">
        <f t="shared" si="27"/>
        <v>323.59551999999996</v>
      </c>
      <c r="L340" s="1"/>
    </row>
    <row r="341" spans="1:12" s="44" customFormat="1" ht="15" hidden="1" customHeight="1">
      <c r="A341" s="284"/>
      <c r="B341" s="105" t="s">
        <v>87</v>
      </c>
      <c r="C341" s="38" t="s">
        <v>29</v>
      </c>
      <c r="D341" s="70" t="s">
        <v>58</v>
      </c>
      <c r="E341" s="109"/>
      <c r="F341" s="37">
        <f>F334</f>
        <v>120.5</v>
      </c>
      <c r="G341" s="32"/>
      <c r="H341" s="244"/>
      <c r="I341" s="33">
        <v>7.0979999999999999</v>
      </c>
      <c r="J341" s="73">
        <f t="shared" si="28"/>
        <v>855.30899999999997</v>
      </c>
      <c r="K341" s="263">
        <f t="shared" si="27"/>
        <v>855.30899999999997</v>
      </c>
      <c r="L341" s="1"/>
    </row>
    <row r="342" spans="1:12" s="45" customFormat="1" ht="25.5" hidden="1" customHeight="1">
      <c r="A342" s="288">
        <f>A334+1</f>
        <v>33</v>
      </c>
      <c r="B342" s="61" t="s">
        <v>123</v>
      </c>
      <c r="C342" s="38" t="s">
        <v>29</v>
      </c>
      <c r="D342" s="38" t="s">
        <v>30</v>
      </c>
      <c r="E342" s="109"/>
      <c r="F342" s="97">
        <f>F325</f>
        <v>120.5</v>
      </c>
      <c r="G342" s="32">
        <v>120</v>
      </c>
      <c r="H342" s="235">
        <f>F342*G342</f>
        <v>14460</v>
      </c>
      <c r="I342" s="33"/>
      <c r="J342" s="66"/>
      <c r="K342" s="260">
        <f t="shared" si="27"/>
        <v>14460</v>
      </c>
      <c r="L342" s="1"/>
    </row>
    <row r="343" spans="1:12" s="44" customFormat="1" ht="15" hidden="1" customHeight="1">
      <c r="A343" s="284"/>
      <c r="B343" s="105" t="s">
        <v>99</v>
      </c>
      <c r="C343" s="38" t="s">
        <v>29</v>
      </c>
      <c r="D343" s="70" t="s">
        <v>41</v>
      </c>
      <c r="E343" s="109">
        <v>1.3</v>
      </c>
      <c r="F343" s="37">
        <f>F342*E343</f>
        <v>156.65</v>
      </c>
      <c r="G343" s="32"/>
      <c r="H343" s="244"/>
      <c r="I343" s="33">
        <v>161.51</v>
      </c>
      <c r="J343" s="73">
        <f>F343*I343</f>
        <v>25300.541499999999</v>
      </c>
      <c r="K343" s="263">
        <f t="shared" si="27"/>
        <v>25300.541499999999</v>
      </c>
      <c r="L343" s="1"/>
    </row>
    <row r="344" spans="1:12" s="45" customFormat="1" ht="15" hidden="1" customHeight="1">
      <c r="A344" s="284"/>
      <c r="B344" s="105" t="s">
        <v>100</v>
      </c>
      <c r="C344" s="38" t="s">
        <v>29</v>
      </c>
      <c r="D344" s="70" t="s">
        <v>58</v>
      </c>
      <c r="E344" s="109"/>
      <c r="F344" s="37">
        <f>F342</f>
        <v>120.5</v>
      </c>
      <c r="G344" s="32"/>
      <c r="H344" s="110"/>
      <c r="I344" s="33">
        <v>0.90213999999999994</v>
      </c>
      <c r="J344" s="73">
        <f>F344*I344</f>
        <v>108.70787</v>
      </c>
      <c r="K344" s="263">
        <f t="shared" si="27"/>
        <v>108.70787</v>
      </c>
      <c r="L344" s="1"/>
    </row>
    <row r="345" spans="1:12" s="45" customFormat="1" ht="15" hidden="1" customHeight="1">
      <c r="A345" s="288">
        <f>A342+1</f>
        <v>34</v>
      </c>
      <c r="B345" s="61" t="s">
        <v>101</v>
      </c>
      <c r="C345" s="38" t="s">
        <v>29</v>
      </c>
      <c r="D345" s="38" t="s">
        <v>30</v>
      </c>
      <c r="E345" s="109"/>
      <c r="F345" s="97">
        <f>F325</f>
        <v>120.5</v>
      </c>
      <c r="G345" s="32">
        <v>150</v>
      </c>
      <c r="H345" s="235">
        <f>F345*G345</f>
        <v>18075</v>
      </c>
      <c r="I345" s="33"/>
      <c r="J345" s="66"/>
      <c r="K345" s="260">
        <f t="shared" si="27"/>
        <v>18075</v>
      </c>
      <c r="L345" s="1"/>
    </row>
    <row r="346" spans="1:12" s="45" customFormat="1" ht="15" hidden="1" customHeight="1">
      <c r="A346" s="284"/>
      <c r="B346" s="105" t="s">
        <v>102</v>
      </c>
      <c r="C346" s="38" t="s">
        <v>29</v>
      </c>
      <c r="D346" s="70" t="s">
        <v>41</v>
      </c>
      <c r="E346" s="109">
        <f>1.15</f>
        <v>1.1499999999999999</v>
      </c>
      <c r="F346" s="37">
        <f>F345*E346</f>
        <v>138.57499999999999</v>
      </c>
      <c r="G346" s="32"/>
      <c r="H346" s="110"/>
      <c r="I346" s="33">
        <v>38.708099999999995</v>
      </c>
      <c r="J346" s="73">
        <f>F346*I346</f>
        <v>5363.9749574999987</v>
      </c>
      <c r="K346" s="263">
        <f t="shared" si="27"/>
        <v>5363.9749574999987</v>
      </c>
      <c r="L346" s="1"/>
    </row>
    <row r="347" spans="1:12" s="44" customFormat="1" ht="15" hidden="1" customHeight="1">
      <c r="A347" s="284"/>
      <c r="B347" s="105" t="s">
        <v>103</v>
      </c>
      <c r="C347" s="38" t="s">
        <v>29</v>
      </c>
      <c r="D347" s="70" t="s">
        <v>19</v>
      </c>
      <c r="E347" s="109">
        <v>0.3</v>
      </c>
      <c r="F347" s="37">
        <f>F345*E347</f>
        <v>36.15</v>
      </c>
      <c r="G347" s="32"/>
      <c r="H347" s="244"/>
      <c r="I347" s="33">
        <v>60.6</v>
      </c>
      <c r="J347" s="73">
        <f>F347*I347</f>
        <v>2190.69</v>
      </c>
      <c r="K347" s="263">
        <f t="shared" si="27"/>
        <v>2190.69</v>
      </c>
      <c r="L347" s="1"/>
    </row>
    <row r="348" spans="1:12" s="45" customFormat="1" ht="15" hidden="1" customHeight="1">
      <c r="A348" s="288"/>
      <c r="B348" s="105" t="s">
        <v>104</v>
      </c>
      <c r="C348" s="38" t="s">
        <v>29</v>
      </c>
      <c r="D348" s="70" t="s">
        <v>21</v>
      </c>
      <c r="E348" s="64">
        <v>1</v>
      </c>
      <c r="F348" s="37">
        <f>E348*F345</f>
        <v>120.5</v>
      </c>
      <c r="G348" s="32"/>
      <c r="H348" s="110"/>
      <c r="I348" s="33">
        <v>35</v>
      </c>
      <c r="J348" s="73">
        <f>F348*I348</f>
        <v>4217.5</v>
      </c>
      <c r="K348" s="263">
        <f t="shared" si="27"/>
        <v>4217.5</v>
      </c>
      <c r="L348" s="1"/>
    </row>
    <row r="349" spans="1:12" s="45" customFormat="1" ht="25.5" hidden="1" customHeight="1">
      <c r="A349" s="288">
        <f>A345+1</f>
        <v>35</v>
      </c>
      <c r="B349" s="121" t="s">
        <v>124</v>
      </c>
      <c r="C349" s="38" t="s">
        <v>29</v>
      </c>
      <c r="D349" s="38" t="s">
        <v>125</v>
      </c>
      <c r="E349" s="64"/>
      <c r="F349" s="91">
        <f>1.3*0.9*0.2</f>
        <v>0.23400000000000004</v>
      </c>
      <c r="G349" s="241">
        <v>12000</v>
      </c>
      <c r="H349" s="235">
        <f>F349*G349</f>
        <v>2808.0000000000005</v>
      </c>
      <c r="I349" s="33"/>
      <c r="J349" s="66"/>
      <c r="K349" s="260">
        <f t="shared" si="27"/>
        <v>2808.0000000000005</v>
      </c>
      <c r="L349" s="122"/>
    </row>
    <row r="350" spans="1:12" s="45" customFormat="1" ht="15" hidden="1" customHeight="1">
      <c r="A350" s="284"/>
      <c r="B350" s="123" t="s">
        <v>126</v>
      </c>
      <c r="C350" s="38" t="s">
        <v>29</v>
      </c>
      <c r="D350" s="70" t="s">
        <v>25</v>
      </c>
      <c r="E350" s="64"/>
      <c r="F350" s="37">
        <v>12</v>
      </c>
      <c r="G350" s="32"/>
      <c r="H350" s="110"/>
      <c r="I350" s="33">
        <v>251.07499999999999</v>
      </c>
      <c r="J350" s="73">
        <f t="shared" ref="J350:J356" si="29">F350*I350</f>
        <v>3012.8999999999996</v>
      </c>
      <c r="K350" s="263">
        <f t="shared" si="27"/>
        <v>3012.8999999999996</v>
      </c>
      <c r="L350" s="1"/>
    </row>
    <row r="351" spans="1:12" s="45" customFormat="1" ht="25.5" hidden="1" customHeight="1">
      <c r="A351" s="284"/>
      <c r="B351" s="123" t="s">
        <v>127</v>
      </c>
      <c r="C351" s="38" t="s">
        <v>29</v>
      </c>
      <c r="D351" s="70" t="s">
        <v>19</v>
      </c>
      <c r="E351" s="64"/>
      <c r="F351" s="37">
        <f>0.11*0.14*12</f>
        <v>0.18480000000000002</v>
      </c>
      <c r="G351" s="32"/>
      <c r="H351" s="110"/>
      <c r="I351" s="33">
        <v>472.04999999999995</v>
      </c>
      <c r="J351" s="73">
        <f t="shared" si="29"/>
        <v>87.234840000000005</v>
      </c>
      <c r="K351" s="263">
        <f t="shared" si="27"/>
        <v>87.234840000000005</v>
      </c>
      <c r="L351" s="1"/>
    </row>
    <row r="352" spans="1:12" s="45" customFormat="1" ht="15" hidden="1" customHeight="1">
      <c r="A352" s="284"/>
      <c r="B352" s="123" t="s">
        <v>128</v>
      </c>
      <c r="C352" s="38" t="s">
        <v>29</v>
      </c>
      <c r="D352" s="123" t="s">
        <v>125</v>
      </c>
      <c r="E352" s="124">
        <v>1.0149999999999999</v>
      </c>
      <c r="F352" s="125">
        <f>F349*E352</f>
        <v>0.23751000000000003</v>
      </c>
      <c r="G352" s="32"/>
      <c r="H352" s="110"/>
      <c r="I352" s="33"/>
      <c r="J352" s="73">
        <f t="shared" si="29"/>
        <v>0</v>
      </c>
      <c r="K352" s="263">
        <f t="shared" si="27"/>
        <v>0</v>
      </c>
      <c r="L352" s="1"/>
    </row>
    <row r="353" spans="1:12" s="44" customFormat="1" ht="15" hidden="1" customHeight="1">
      <c r="A353" s="284"/>
      <c r="B353" s="123" t="s">
        <v>129</v>
      </c>
      <c r="C353" s="38" t="s">
        <v>29</v>
      </c>
      <c r="D353" s="123" t="s">
        <v>18</v>
      </c>
      <c r="E353" s="124">
        <v>1.05</v>
      </c>
      <c r="F353" s="125">
        <f>1.3*0.9*E353</f>
        <v>1.2285000000000001</v>
      </c>
      <c r="G353" s="32"/>
      <c r="H353" s="244"/>
      <c r="I353" s="33">
        <v>330.99</v>
      </c>
      <c r="J353" s="73">
        <f t="shared" si="29"/>
        <v>406.62121500000006</v>
      </c>
      <c r="K353" s="263">
        <f t="shared" si="27"/>
        <v>406.62121500000006</v>
      </c>
      <c r="L353" s="1"/>
    </row>
    <row r="354" spans="1:12" s="44" customFormat="1" ht="15" hidden="1" customHeight="1">
      <c r="A354" s="284"/>
      <c r="B354" s="123" t="s">
        <v>130</v>
      </c>
      <c r="C354" s="38" t="s">
        <v>29</v>
      </c>
      <c r="D354" s="123" t="s">
        <v>18</v>
      </c>
      <c r="E354" s="124">
        <v>1.1000000000000001</v>
      </c>
      <c r="F354" s="125">
        <f>1.3*0.9*E354</f>
        <v>1.2870000000000004</v>
      </c>
      <c r="G354" s="32"/>
      <c r="H354" s="244"/>
      <c r="I354" s="33">
        <v>4.3099999999999996</v>
      </c>
      <c r="J354" s="73">
        <f t="shared" si="29"/>
        <v>5.5469700000000008</v>
      </c>
      <c r="K354" s="263">
        <f t="shared" si="27"/>
        <v>5.5469700000000008</v>
      </c>
      <c r="L354" s="1"/>
    </row>
    <row r="355" spans="1:12" s="44" customFormat="1" ht="15" hidden="1" customHeight="1">
      <c r="A355" s="284"/>
      <c r="B355" s="98" t="s">
        <v>131</v>
      </c>
      <c r="C355" s="38" t="s">
        <v>29</v>
      </c>
      <c r="D355" s="41" t="s">
        <v>19</v>
      </c>
      <c r="E355" s="21">
        <v>0.15</v>
      </c>
      <c r="F355" s="68">
        <f>E355*((1.3*2+0.9*2)*0.15+1.3*0.9)</f>
        <v>0.27450000000000002</v>
      </c>
      <c r="G355" s="32"/>
      <c r="H355" s="244"/>
      <c r="I355" s="33">
        <v>37.81</v>
      </c>
      <c r="J355" s="73">
        <f t="shared" si="29"/>
        <v>10.378845000000002</v>
      </c>
      <c r="K355" s="263">
        <f t="shared" si="27"/>
        <v>10.378845000000002</v>
      </c>
      <c r="L355" s="1"/>
    </row>
    <row r="356" spans="1:12" s="44" customFormat="1" ht="15" hidden="1" customHeight="1">
      <c r="A356" s="284"/>
      <c r="B356" s="105" t="s">
        <v>132</v>
      </c>
      <c r="C356" s="38" t="s">
        <v>29</v>
      </c>
      <c r="D356" s="70" t="s">
        <v>19</v>
      </c>
      <c r="E356" s="64">
        <v>0.3</v>
      </c>
      <c r="F356" s="68">
        <f>E356*((1.3*2+0.9*2)*0.15+1.3*0.9)</f>
        <v>0.54900000000000004</v>
      </c>
      <c r="G356" s="32"/>
      <c r="H356" s="244"/>
      <c r="I356" s="33">
        <v>199.53</v>
      </c>
      <c r="J356" s="73">
        <f t="shared" si="29"/>
        <v>109.54197000000001</v>
      </c>
      <c r="K356" s="263">
        <f t="shared" si="27"/>
        <v>109.54197000000001</v>
      </c>
      <c r="L356" s="1"/>
    </row>
    <row r="357" spans="1:12" s="45" customFormat="1" ht="15" hidden="1" customHeight="1">
      <c r="A357" s="284"/>
      <c r="B357" s="126"/>
      <c r="C357" s="38" t="s">
        <v>29</v>
      </c>
      <c r="D357" s="123"/>
      <c r="E357" s="124"/>
      <c r="F357" s="125"/>
      <c r="G357" s="32"/>
      <c r="H357" s="110"/>
      <c r="I357" s="33"/>
      <c r="J357" s="73"/>
      <c r="K357" s="263"/>
      <c r="L357" s="1"/>
    </row>
    <row r="358" spans="1:12" s="45" customFormat="1" ht="25.5" hidden="1" customHeight="1">
      <c r="A358" s="288">
        <f>A349+1</f>
        <v>36</v>
      </c>
      <c r="B358" s="121" t="s">
        <v>133</v>
      </c>
      <c r="C358" s="38" t="s">
        <v>29</v>
      </c>
      <c r="D358" s="38" t="s">
        <v>125</v>
      </c>
      <c r="E358" s="64"/>
      <c r="F358" s="91">
        <f>1.23*0.87*0.2</f>
        <v>0.21402000000000002</v>
      </c>
      <c r="G358" s="241">
        <v>12000</v>
      </c>
      <c r="H358" s="235">
        <f>F358*G358</f>
        <v>2568.2400000000002</v>
      </c>
      <c r="I358" s="33"/>
      <c r="J358" s="66"/>
      <c r="K358" s="260">
        <f t="shared" ref="K358:K365" si="30">H358+J358</f>
        <v>2568.2400000000002</v>
      </c>
      <c r="L358" s="122"/>
    </row>
    <row r="359" spans="1:12" s="45" customFormat="1" ht="15" hidden="1" customHeight="1">
      <c r="A359" s="284"/>
      <c r="B359" s="123" t="s">
        <v>126</v>
      </c>
      <c r="C359" s="38" t="s">
        <v>29</v>
      </c>
      <c r="D359" s="70" t="s">
        <v>25</v>
      </c>
      <c r="E359" s="64"/>
      <c r="F359" s="37">
        <v>12</v>
      </c>
      <c r="G359" s="32"/>
      <c r="H359" s="110"/>
      <c r="I359" s="33">
        <v>251.07499999999999</v>
      </c>
      <c r="J359" s="73">
        <f t="shared" ref="J359:J365" si="31">F359*I359</f>
        <v>3012.8999999999996</v>
      </c>
      <c r="K359" s="263">
        <f t="shared" si="30"/>
        <v>3012.8999999999996</v>
      </c>
      <c r="L359" s="1"/>
    </row>
    <row r="360" spans="1:12" s="45" customFormat="1" ht="25.5" hidden="1" customHeight="1">
      <c r="A360" s="284"/>
      <c r="B360" s="123" t="s">
        <v>127</v>
      </c>
      <c r="C360" s="38" t="s">
        <v>29</v>
      </c>
      <c r="D360" s="70" t="s">
        <v>19</v>
      </c>
      <c r="E360" s="64"/>
      <c r="F360" s="37">
        <f>0.11*0.14*12</f>
        <v>0.18480000000000002</v>
      </c>
      <c r="G360" s="32"/>
      <c r="H360" s="110"/>
      <c r="I360" s="33">
        <v>472.04999999999995</v>
      </c>
      <c r="J360" s="73">
        <f t="shared" si="31"/>
        <v>87.234840000000005</v>
      </c>
      <c r="K360" s="263">
        <f t="shared" si="30"/>
        <v>87.234840000000005</v>
      </c>
      <c r="L360" s="1"/>
    </row>
    <row r="361" spans="1:12" s="45" customFormat="1" ht="15" hidden="1" customHeight="1">
      <c r="A361" s="284"/>
      <c r="B361" s="123" t="s">
        <v>128</v>
      </c>
      <c r="C361" s="38" t="s">
        <v>29</v>
      </c>
      <c r="D361" s="123" t="s">
        <v>125</v>
      </c>
      <c r="E361" s="124">
        <v>1.0149999999999999</v>
      </c>
      <c r="F361" s="125">
        <f>F358*E361</f>
        <v>0.21723029999999999</v>
      </c>
      <c r="G361" s="32"/>
      <c r="H361" s="110"/>
      <c r="I361" s="33"/>
      <c r="J361" s="73">
        <f t="shared" si="31"/>
        <v>0</v>
      </c>
      <c r="K361" s="263">
        <f t="shared" si="30"/>
        <v>0</v>
      </c>
      <c r="L361" s="1"/>
    </row>
    <row r="362" spans="1:12" s="44" customFormat="1" ht="15" hidden="1" customHeight="1">
      <c r="A362" s="284"/>
      <c r="B362" s="123" t="s">
        <v>129</v>
      </c>
      <c r="C362" s="38" t="s">
        <v>29</v>
      </c>
      <c r="D362" s="123" t="s">
        <v>18</v>
      </c>
      <c r="E362" s="124">
        <v>1.05</v>
      </c>
      <c r="F362" s="125">
        <f>1.23*0.87*E362</f>
        <v>1.1236050000000002</v>
      </c>
      <c r="G362" s="32"/>
      <c r="H362" s="244"/>
      <c r="I362" s="33">
        <v>330.99</v>
      </c>
      <c r="J362" s="73">
        <f t="shared" si="31"/>
        <v>371.90201895000007</v>
      </c>
      <c r="K362" s="263">
        <f t="shared" si="30"/>
        <v>371.90201895000007</v>
      </c>
      <c r="L362" s="1"/>
    </row>
    <row r="363" spans="1:12" s="44" customFormat="1" ht="15" hidden="1" customHeight="1">
      <c r="A363" s="284"/>
      <c r="B363" s="123" t="s">
        <v>130</v>
      </c>
      <c r="C363" s="38" t="s">
        <v>29</v>
      </c>
      <c r="D363" s="123" t="s">
        <v>18</v>
      </c>
      <c r="E363" s="124">
        <v>1.1000000000000001</v>
      </c>
      <c r="F363" s="125">
        <f>1.23*0.87*E363</f>
        <v>1.1771100000000001</v>
      </c>
      <c r="G363" s="32"/>
      <c r="H363" s="244"/>
      <c r="I363" s="33">
        <v>4.3099999999999996</v>
      </c>
      <c r="J363" s="73">
        <f t="shared" si="31"/>
        <v>5.0733440999999999</v>
      </c>
      <c r="K363" s="263">
        <f t="shared" si="30"/>
        <v>5.0733440999999999</v>
      </c>
      <c r="L363" s="1"/>
    </row>
    <row r="364" spans="1:12" s="44" customFormat="1" ht="15" hidden="1" customHeight="1">
      <c r="A364" s="284"/>
      <c r="B364" s="98" t="s">
        <v>131</v>
      </c>
      <c r="C364" s="38" t="s">
        <v>29</v>
      </c>
      <c r="D364" s="41" t="s">
        <v>19</v>
      </c>
      <c r="E364" s="21">
        <v>0.15</v>
      </c>
      <c r="F364" s="68">
        <f>E364*((1.23*2+0.87*2)*0.15+1.23*0.87)</f>
        <v>0.25501499999999999</v>
      </c>
      <c r="G364" s="32"/>
      <c r="H364" s="244"/>
      <c r="I364" s="33">
        <v>37.81</v>
      </c>
      <c r="J364" s="73">
        <f t="shared" si="31"/>
        <v>9.6421171500000007</v>
      </c>
      <c r="K364" s="263">
        <f t="shared" si="30"/>
        <v>9.6421171500000007</v>
      </c>
      <c r="L364" s="1"/>
    </row>
    <row r="365" spans="1:12" s="44" customFormat="1" ht="15" hidden="1" customHeight="1">
      <c r="A365" s="284"/>
      <c r="B365" s="105" t="s">
        <v>132</v>
      </c>
      <c r="C365" s="38" t="s">
        <v>29</v>
      </c>
      <c r="D365" s="70" t="s">
        <v>19</v>
      </c>
      <c r="E365" s="64">
        <v>0.3</v>
      </c>
      <c r="F365" s="68">
        <f>E365*((1.23*2+0.87*2)*0.15+1.23*0.87)</f>
        <v>0.51002999999999998</v>
      </c>
      <c r="G365" s="32"/>
      <c r="H365" s="244"/>
      <c r="I365" s="33">
        <v>199.53</v>
      </c>
      <c r="J365" s="73">
        <f t="shared" si="31"/>
        <v>101.7662859</v>
      </c>
      <c r="K365" s="263">
        <f t="shared" si="30"/>
        <v>101.7662859</v>
      </c>
      <c r="L365" s="1"/>
    </row>
    <row r="366" spans="1:12" s="45" customFormat="1" ht="15" hidden="1" customHeight="1">
      <c r="A366" s="284"/>
      <c r="B366" s="127"/>
      <c r="C366" s="38" t="s">
        <v>29</v>
      </c>
      <c r="D366" s="123"/>
      <c r="E366" s="124"/>
      <c r="F366" s="125"/>
      <c r="G366" s="32"/>
      <c r="H366" s="110"/>
      <c r="I366" s="33"/>
      <c r="J366" s="73"/>
      <c r="K366" s="263"/>
      <c r="L366" s="1"/>
    </row>
    <row r="367" spans="1:12" s="45" customFormat="1" ht="25.5" hidden="1" customHeight="1">
      <c r="A367" s="288">
        <f>A358+1</f>
        <v>37</v>
      </c>
      <c r="B367" s="121" t="s">
        <v>134</v>
      </c>
      <c r="C367" s="38" t="s">
        <v>29</v>
      </c>
      <c r="D367" s="38" t="s">
        <v>125</v>
      </c>
      <c r="E367" s="64"/>
      <c r="F367" s="91">
        <f>0.8*0.5*0.2</f>
        <v>8.0000000000000016E-2</v>
      </c>
      <c r="G367" s="241">
        <v>12000</v>
      </c>
      <c r="H367" s="235">
        <f>F367*G367</f>
        <v>960.00000000000023</v>
      </c>
      <c r="I367" s="33"/>
      <c r="J367" s="66"/>
      <c r="K367" s="260">
        <f t="shared" ref="K367:K374" si="32">H367+J367</f>
        <v>960.00000000000023</v>
      </c>
      <c r="L367" s="122"/>
    </row>
    <row r="368" spans="1:12" s="45" customFormat="1" ht="15" hidden="1" customHeight="1">
      <c r="A368" s="284"/>
      <c r="B368" s="123" t="s">
        <v>126</v>
      </c>
      <c r="C368" s="38" t="s">
        <v>29</v>
      </c>
      <c r="D368" s="70" t="s">
        <v>25</v>
      </c>
      <c r="E368" s="64"/>
      <c r="F368" s="37">
        <v>6</v>
      </c>
      <c r="G368" s="32"/>
      <c r="H368" s="110"/>
      <c r="I368" s="33">
        <v>251.07499999999999</v>
      </c>
      <c r="J368" s="73">
        <f t="shared" ref="J368:J374" si="33">F368*I368</f>
        <v>1506.4499999999998</v>
      </c>
      <c r="K368" s="263">
        <f t="shared" si="32"/>
        <v>1506.4499999999998</v>
      </c>
      <c r="L368" s="1"/>
    </row>
    <row r="369" spans="1:12" s="45" customFormat="1" ht="25.5" hidden="1" customHeight="1">
      <c r="A369" s="284"/>
      <c r="B369" s="123" t="s">
        <v>127</v>
      </c>
      <c r="C369" s="38" t="s">
        <v>29</v>
      </c>
      <c r="D369" s="70" t="s">
        <v>19</v>
      </c>
      <c r="E369" s="64"/>
      <c r="F369" s="37">
        <f>0.14*0.14*6</f>
        <v>0.11760000000000001</v>
      </c>
      <c r="G369" s="32"/>
      <c r="H369" s="110"/>
      <c r="I369" s="33">
        <v>472.04999999999995</v>
      </c>
      <c r="J369" s="73">
        <f t="shared" si="33"/>
        <v>55.513080000000002</v>
      </c>
      <c r="K369" s="263">
        <f t="shared" si="32"/>
        <v>55.513080000000002</v>
      </c>
      <c r="L369" s="1"/>
    </row>
    <row r="370" spans="1:12" s="45" customFormat="1" ht="15" hidden="1" customHeight="1">
      <c r="A370" s="284"/>
      <c r="B370" s="123" t="s">
        <v>128</v>
      </c>
      <c r="C370" s="38" t="s">
        <v>29</v>
      </c>
      <c r="D370" s="123" t="s">
        <v>125</v>
      </c>
      <c r="E370" s="124">
        <v>1.0149999999999999</v>
      </c>
      <c r="F370" s="125">
        <f>F367*E370</f>
        <v>8.1200000000000008E-2</v>
      </c>
      <c r="G370" s="32"/>
      <c r="H370" s="110"/>
      <c r="I370" s="33"/>
      <c r="J370" s="73">
        <f t="shared" si="33"/>
        <v>0</v>
      </c>
      <c r="K370" s="263">
        <f t="shared" si="32"/>
        <v>0</v>
      </c>
      <c r="L370" s="1"/>
    </row>
    <row r="371" spans="1:12" s="44" customFormat="1" ht="15" hidden="1" customHeight="1">
      <c r="A371" s="284"/>
      <c r="B371" s="123" t="s">
        <v>129</v>
      </c>
      <c r="C371" s="38" t="s">
        <v>29</v>
      </c>
      <c r="D371" s="123" t="s">
        <v>18</v>
      </c>
      <c r="E371" s="124">
        <v>1.05</v>
      </c>
      <c r="F371" s="125">
        <f>0.5*0.8*E371</f>
        <v>0.42000000000000004</v>
      </c>
      <c r="G371" s="32"/>
      <c r="H371" s="244"/>
      <c r="I371" s="33">
        <v>330.99</v>
      </c>
      <c r="J371" s="73">
        <f t="shared" si="33"/>
        <v>139.01580000000001</v>
      </c>
      <c r="K371" s="263">
        <f t="shared" si="32"/>
        <v>139.01580000000001</v>
      </c>
      <c r="L371" s="1"/>
    </row>
    <row r="372" spans="1:12" s="44" customFormat="1" ht="15" hidden="1" customHeight="1">
      <c r="A372" s="284"/>
      <c r="B372" s="123" t="s">
        <v>130</v>
      </c>
      <c r="C372" s="38" t="s">
        <v>29</v>
      </c>
      <c r="D372" s="123" t="s">
        <v>18</v>
      </c>
      <c r="E372" s="124">
        <v>1.1000000000000001</v>
      </c>
      <c r="F372" s="125">
        <f>0.5*0.8*E372</f>
        <v>0.44000000000000006</v>
      </c>
      <c r="G372" s="32"/>
      <c r="H372" s="244"/>
      <c r="I372" s="33">
        <v>4.3099999999999996</v>
      </c>
      <c r="J372" s="73">
        <f t="shared" si="33"/>
        <v>1.8964000000000001</v>
      </c>
      <c r="K372" s="263">
        <f t="shared" si="32"/>
        <v>1.8964000000000001</v>
      </c>
      <c r="L372" s="1"/>
    </row>
    <row r="373" spans="1:12" s="44" customFormat="1" ht="15" hidden="1" customHeight="1">
      <c r="A373" s="284"/>
      <c r="B373" s="98" t="s">
        <v>131</v>
      </c>
      <c r="C373" s="38" t="s">
        <v>29</v>
      </c>
      <c r="D373" s="41" t="s">
        <v>19</v>
      </c>
      <c r="E373" s="21">
        <v>0.15</v>
      </c>
      <c r="F373" s="68">
        <f>E373*((0.8*2+0.5*2)*0.15+0.8*0.5)</f>
        <v>0.11849999999999999</v>
      </c>
      <c r="G373" s="32"/>
      <c r="H373" s="244"/>
      <c r="I373" s="33">
        <v>37.81</v>
      </c>
      <c r="J373" s="73">
        <f t="shared" si="33"/>
        <v>4.4804849999999998</v>
      </c>
      <c r="K373" s="263">
        <f t="shared" si="32"/>
        <v>4.4804849999999998</v>
      </c>
      <c r="L373" s="1"/>
    </row>
    <row r="374" spans="1:12" s="44" customFormat="1" ht="15" hidden="1" customHeight="1">
      <c r="A374" s="284"/>
      <c r="B374" s="105" t="s">
        <v>132</v>
      </c>
      <c r="C374" s="38" t="s">
        <v>29</v>
      </c>
      <c r="D374" s="70" t="s">
        <v>19</v>
      </c>
      <c r="E374" s="64">
        <v>0.3</v>
      </c>
      <c r="F374" s="68">
        <f>E374*((0.8*2+0.5*2)*0.15+0.8*0.5)</f>
        <v>0.23699999999999999</v>
      </c>
      <c r="G374" s="32"/>
      <c r="H374" s="244"/>
      <c r="I374" s="33">
        <v>199.53</v>
      </c>
      <c r="J374" s="73">
        <f t="shared" si="33"/>
        <v>47.288609999999998</v>
      </c>
      <c r="K374" s="263">
        <f t="shared" si="32"/>
        <v>47.288609999999998</v>
      </c>
      <c r="L374" s="1"/>
    </row>
    <row r="375" spans="1:12" s="45" customFormat="1" ht="15" hidden="1" customHeight="1">
      <c r="A375" s="284"/>
      <c r="B375" s="127"/>
      <c r="C375" s="38" t="s">
        <v>29</v>
      </c>
      <c r="D375" s="123"/>
      <c r="E375" s="124"/>
      <c r="F375" s="125"/>
      <c r="G375" s="32"/>
      <c r="H375" s="110"/>
      <c r="I375" s="33"/>
      <c r="J375" s="73"/>
      <c r="K375" s="263"/>
      <c r="L375" s="1"/>
    </row>
    <row r="376" spans="1:12" s="45" customFormat="1" ht="25.5" hidden="1" customHeight="1">
      <c r="A376" s="288">
        <f>A367+1</f>
        <v>38</v>
      </c>
      <c r="B376" s="121" t="s">
        <v>135</v>
      </c>
      <c r="C376" s="38" t="s">
        <v>29</v>
      </c>
      <c r="D376" s="38" t="s">
        <v>125</v>
      </c>
      <c r="E376" s="64"/>
      <c r="F376" s="91">
        <f>2.2*1.1*0.15</f>
        <v>0.36300000000000004</v>
      </c>
      <c r="G376" s="241">
        <v>12000</v>
      </c>
      <c r="H376" s="235">
        <f>F376*G376</f>
        <v>4356.0000000000009</v>
      </c>
      <c r="I376" s="33"/>
      <c r="J376" s="66"/>
      <c r="K376" s="260">
        <f t="shared" ref="K376:K383" si="34">H376+J376</f>
        <v>4356.0000000000009</v>
      </c>
      <c r="L376" s="22"/>
    </row>
    <row r="377" spans="1:12" s="45" customFormat="1" ht="15" hidden="1" customHeight="1">
      <c r="A377" s="284"/>
      <c r="B377" s="123" t="s">
        <v>126</v>
      </c>
      <c r="C377" s="38" t="s">
        <v>29</v>
      </c>
      <c r="D377" s="70" t="s">
        <v>25</v>
      </c>
      <c r="E377" s="64"/>
      <c r="F377" s="37">
        <v>14</v>
      </c>
      <c r="G377" s="32"/>
      <c r="H377" s="110"/>
      <c r="I377" s="33">
        <v>251.07499999999999</v>
      </c>
      <c r="J377" s="73">
        <f t="shared" ref="J377:J383" si="35">F377*I377</f>
        <v>3515.0499999999997</v>
      </c>
      <c r="K377" s="263">
        <f t="shared" si="34"/>
        <v>3515.0499999999997</v>
      </c>
      <c r="L377" s="1"/>
    </row>
    <row r="378" spans="1:12" s="45" customFormat="1" ht="25.5" hidden="1" customHeight="1">
      <c r="A378" s="284"/>
      <c r="B378" s="123" t="s">
        <v>127</v>
      </c>
      <c r="C378" s="38" t="s">
        <v>29</v>
      </c>
      <c r="D378" s="70" t="s">
        <v>19</v>
      </c>
      <c r="E378" s="64"/>
      <c r="F378" s="37">
        <f>0.14*0.14*14</f>
        <v>0.27440000000000003</v>
      </c>
      <c r="G378" s="32"/>
      <c r="H378" s="110"/>
      <c r="I378" s="33">
        <v>472.04999999999995</v>
      </c>
      <c r="J378" s="73">
        <f t="shared" si="35"/>
        <v>129.53052</v>
      </c>
      <c r="K378" s="263">
        <f t="shared" si="34"/>
        <v>129.53052</v>
      </c>
      <c r="L378" s="1"/>
    </row>
    <row r="379" spans="1:12" s="45" customFormat="1" ht="15" hidden="1" customHeight="1">
      <c r="A379" s="284"/>
      <c r="B379" s="302" t="s">
        <v>128</v>
      </c>
      <c r="C379" s="38" t="s">
        <v>29</v>
      </c>
      <c r="D379" s="304" t="s">
        <v>125</v>
      </c>
      <c r="E379" s="124">
        <v>1.0149999999999999</v>
      </c>
      <c r="F379" s="125">
        <f>F376*E379</f>
        <v>0.36844500000000002</v>
      </c>
      <c r="G379" s="32"/>
      <c r="H379" s="110"/>
      <c r="I379" s="33"/>
      <c r="J379" s="73">
        <f t="shared" si="35"/>
        <v>0</v>
      </c>
      <c r="K379" s="263">
        <f t="shared" si="34"/>
        <v>0</v>
      </c>
      <c r="L379" s="1"/>
    </row>
    <row r="380" spans="1:12" s="44" customFormat="1" ht="15" hidden="1" customHeight="1">
      <c r="A380" s="284"/>
      <c r="B380" s="302" t="s">
        <v>129</v>
      </c>
      <c r="C380" s="38" t="s">
        <v>29</v>
      </c>
      <c r="D380" s="304" t="s">
        <v>18</v>
      </c>
      <c r="E380" s="124">
        <v>1.05</v>
      </c>
      <c r="F380" s="125">
        <f>2.2*1.1*0.87*E380</f>
        <v>2.2106700000000004</v>
      </c>
      <c r="G380" s="32"/>
      <c r="H380" s="244"/>
      <c r="I380" s="33">
        <v>330.99</v>
      </c>
      <c r="J380" s="73">
        <f t="shared" si="35"/>
        <v>731.7096633000001</v>
      </c>
      <c r="K380" s="263">
        <f t="shared" si="34"/>
        <v>731.7096633000001</v>
      </c>
      <c r="L380" s="1"/>
    </row>
    <row r="381" spans="1:12" s="44" customFormat="1" ht="15" hidden="1" customHeight="1">
      <c r="A381" s="284"/>
      <c r="B381" s="302" t="s">
        <v>130</v>
      </c>
      <c r="C381" s="38" t="s">
        <v>29</v>
      </c>
      <c r="D381" s="304" t="s">
        <v>18</v>
      </c>
      <c r="E381" s="124">
        <v>1.1000000000000001</v>
      </c>
      <c r="F381" s="125">
        <f>2.2*1.1*E381</f>
        <v>2.6620000000000008</v>
      </c>
      <c r="G381" s="32"/>
      <c r="H381" s="244"/>
      <c r="I381" s="33">
        <v>4.3099999999999996</v>
      </c>
      <c r="J381" s="73">
        <f t="shared" si="35"/>
        <v>11.473220000000003</v>
      </c>
      <c r="K381" s="263">
        <f t="shared" si="34"/>
        <v>11.473220000000003</v>
      </c>
      <c r="L381" s="1"/>
    </row>
    <row r="382" spans="1:12" s="44" customFormat="1" ht="15" hidden="1" customHeight="1">
      <c r="A382" s="284"/>
      <c r="B382" s="303" t="s">
        <v>131</v>
      </c>
      <c r="C382" s="38" t="s">
        <v>29</v>
      </c>
      <c r="D382" s="305" t="s">
        <v>19</v>
      </c>
      <c r="E382" s="21">
        <v>0.15</v>
      </c>
      <c r="F382" s="68">
        <f>E382*((2.2*2+1.1*2)*0.15+2.2*1.1)</f>
        <v>0.51149999999999995</v>
      </c>
      <c r="G382" s="32"/>
      <c r="H382" s="244"/>
      <c r="I382" s="33">
        <v>37.81</v>
      </c>
      <c r="J382" s="73">
        <f t="shared" si="35"/>
        <v>19.339814999999998</v>
      </c>
      <c r="K382" s="263">
        <f t="shared" si="34"/>
        <v>19.339814999999998</v>
      </c>
      <c r="L382" s="1"/>
    </row>
    <row r="383" spans="1:12" s="44" customFormat="1" ht="15" hidden="1" customHeight="1">
      <c r="A383" s="284"/>
      <c r="B383" s="105" t="s">
        <v>132</v>
      </c>
      <c r="C383" s="38" t="s">
        <v>29</v>
      </c>
      <c r="D383" s="70" t="s">
        <v>19</v>
      </c>
      <c r="E383" s="64">
        <v>0.3</v>
      </c>
      <c r="F383" s="68">
        <f>E383*((2.2*2+1.1*2)*0.15+2.2*1.1)</f>
        <v>1.0229999999999999</v>
      </c>
      <c r="G383" s="32"/>
      <c r="H383" s="244"/>
      <c r="I383" s="33">
        <v>199.53</v>
      </c>
      <c r="J383" s="73">
        <f t="shared" si="35"/>
        <v>204.11918999999997</v>
      </c>
      <c r="K383" s="263">
        <f t="shared" si="34"/>
        <v>204.11918999999997</v>
      </c>
      <c r="L383" s="1"/>
    </row>
    <row r="384" spans="1:12" s="45" customFormat="1" ht="15" hidden="1" customHeight="1">
      <c r="A384" s="284"/>
      <c r="B384" s="105"/>
      <c r="C384" s="75"/>
      <c r="D384" s="70"/>
      <c r="E384" s="64"/>
      <c r="F384" s="37"/>
      <c r="G384" s="32"/>
      <c r="H384" s="110"/>
      <c r="I384" s="33"/>
      <c r="J384" s="73"/>
      <c r="K384" s="263"/>
      <c r="L384" s="1"/>
    </row>
    <row r="385" spans="1:12" s="45" customFormat="1" ht="15" hidden="1" customHeight="1">
      <c r="A385" s="282"/>
      <c r="B385" s="117" t="s">
        <v>105</v>
      </c>
      <c r="C385" s="291"/>
      <c r="D385" s="292"/>
      <c r="E385" s="293"/>
      <c r="F385" s="292"/>
      <c r="G385" s="57"/>
      <c r="H385" s="292"/>
      <c r="I385" s="59"/>
      <c r="J385" s="294"/>
      <c r="K385" s="295"/>
      <c r="L385" s="1"/>
    </row>
    <row r="386" spans="1:12" s="45" customFormat="1" ht="25.5" hidden="1" customHeight="1">
      <c r="A386" s="288">
        <f>A376+1</f>
        <v>39</v>
      </c>
      <c r="B386" s="61" t="s">
        <v>106</v>
      </c>
      <c r="C386" s="38" t="s">
        <v>23</v>
      </c>
      <c r="D386" s="38" t="s">
        <v>58</v>
      </c>
      <c r="E386" s="64"/>
      <c r="F386" s="97">
        <f>671.6+95.2+133.06</f>
        <v>899.86000000000013</v>
      </c>
      <c r="G386" s="32">
        <v>200</v>
      </c>
      <c r="H386" s="235">
        <f>F386*G386</f>
        <v>179972.00000000003</v>
      </c>
      <c r="I386" s="33"/>
      <c r="J386" s="66"/>
      <c r="K386" s="260">
        <f>H386+J386</f>
        <v>179972.00000000003</v>
      </c>
      <c r="L386" s="1"/>
    </row>
    <row r="387" spans="1:12" s="45" customFormat="1" ht="15" hidden="1" customHeight="1">
      <c r="A387" s="284"/>
      <c r="B387" s="105" t="s">
        <v>24</v>
      </c>
      <c r="C387" s="38" t="s">
        <v>23</v>
      </c>
      <c r="D387" s="70" t="s">
        <v>41</v>
      </c>
      <c r="E387" s="64">
        <f>1.1*0.1</f>
        <v>0.11000000000000001</v>
      </c>
      <c r="F387" s="37">
        <f>F386*E387</f>
        <v>98.984600000000029</v>
      </c>
      <c r="G387" s="32"/>
      <c r="H387" s="110"/>
      <c r="I387" s="33">
        <v>401.24249999999995</v>
      </c>
      <c r="J387" s="73">
        <f>F387*I387</f>
        <v>39716.828365500005</v>
      </c>
      <c r="K387" s="263">
        <f>H387+J387</f>
        <v>39716.828365500005</v>
      </c>
      <c r="L387" s="1"/>
    </row>
    <row r="388" spans="1:12" s="44" customFormat="1" ht="15" hidden="1" customHeight="1">
      <c r="A388" s="284"/>
      <c r="B388" s="105" t="s">
        <v>34</v>
      </c>
      <c r="C388" s="38" t="s">
        <v>23</v>
      </c>
      <c r="D388" s="70" t="s">
        <v>21</v>
      </c>
      <c r="E388" s="64">
        <f>0.15*0.1</f>
        <v>1.4999999999999999E-2</v>
      </c>
      <c r="F388" s="37">
        <f>F386*E388</f>
        <v>13.497900000000001</v>
      </c>
      <c r="G388" s="32"/>
      <c r="H388" s="244"/>
      <c r="I388" s="33">
        <v>37.450000000000003</v>
      </c>
      <c r="J388" s="73">
        <f>F388*I388</f>
        <v>505.49635500000011</v>
      </c>
      <c r="K388" s="263">
        <f>H388+J388</f>
        <v>505.49635500000011</v>
      </c>
      <c r="L388" s="1"/>
    </row>
    <row r="389" spans="1:12" s="44" customFormat="1" ht="15" hidden="1" customHeight="1">
      <c r="A389" s="284"/>
      <c r="B389" s="105" t="s">
        <v>71</v>
      </c>
      <c r="C389" s="38" t="s">
        <v>23</v>
      </c>
      <c r="D389" s="70" t="s">
        <v>19</v>
      </c>
      <c r="E389" s="64">
        <f>7.6*0.1</f>
        <v>0.76</v>
      </c>
      <c r="F389" s="37">
        <f>F386*E389</f>
        <v>683.89360000000011</v>
      </c>
      <c r="G389" s="32"/>
      <c r="H389" s="244"/>
      <c r="I389" s="33">
        <v>7.6</v>
      </c>
      <c r="J389" s="73">
        <f>F389*I389</f>
        <v>5197.5913600000003</v>
      </c>
      <c r="K389" s="263">
        <f>H389+J389</f>
        <v>5197.5913600000003</v>
      </c>
      <c r="L389" s="1"/>
    </row>
    <row r="390" spans="1:12" s="44" customFormat="1" ht="15" hidden="1" customHeight="1">
      <c r="A390" s="284"/>
      <c r="B390" s="105" t="s">
        <v>73</v>
      </c>
      <c r="C390" s="38" t="s">
        <v>23</v>
      </c>
      <c r="D390" s="70" t="s">
        <v>19</v>
      </c>
      <c r="E390" s="64">
        <f>0.4*0.1</f>
        <v>4.0000000000000008E-2</v>
      </c>
      <c r="F390" s="37">
        <f>F386*E390</f>
        <v>35.994400000000013</v>
      </c>
      <c r="G390" s="32"/>
      <c r="H390" s="244"/>
      <c r="I390" s="33">
        <v>123.5</v>
      </c>
      <c r="J390" s="73">
        <f>F390*I390</f>
        <v>4445.3084000000017</v>
      </c>
      <c r="K390" s="263">
        <f>H390+J390</f>
        <v>4445.3084000000017</v>
      </c>
      <c r="L390" s="1"/>
    </row>
    <row r="391" spans="1:12" ht="15" hidden="1" customHeight="1" thickBot="1">
      <c r="A391" s="298"/>
      <c r="B391" s="185"/>
      <c r="C391" s="186"/>
      <c r="D391" s="187"/>
      <c r="E391" s="128"/>
      <c r="F391" s="188"/>
      <c r="G391" s="130"/>
      <c r="H391" s="189"/>
      <c r="I391" s="129"/>
      <c r="J391" s="129"/>
      <c r="K391" s="299"/>
    </row>
    <row r="392" spans="1:12" ht="14.4">
      <c r="A392" s="190"/>
      <c r="B392" s="191" t="s">
        <v>136</v>
      </c>
      <c r="C392" s="192"/>
      <c r="D392" s="193" t="s">
        <v>137</v>
      </c>
      <c r="E392" s="194"/>
      <c r="F392" s="193"/>
      <c r="G392" s="195"/>
      <c r="H392" s="196">
        <f>SUBTOTAL(9,H25:H176)</f>
        <v>293470</v>
      </c>
      <c r="I392" s="197"/>
      <c r="J392" s="198">
        <f>SUBTOTAL(9,J25:J176)</f>
        <v>0</v>
      </c>
      <c r="K392" s="199">
        <f>SUBTOTAL(9,K25:K176)</f>
        <v>293470</v>
      </c>
    </row>
    <row r="393" spans="1:12" ht="14.4">
      <c r="A393" s="228"/>
      <c r="B393" s="229"/>
      <c r="C393" s="38"/>
      <c r="D393" s="230"/>
      <c r="E393" s="64"/>
      <c r="F393" s="230"/>
      <c r="G393" s="231"/>
      <c r="H393" s="232"/>
      <c r="I393" s="233"/>
      <c r="J393" s="233"/>
      <c r="K393" s="234"/>
    </row>
    <row r="394" spans="1:12" ht="14.4">
      <c r="A394" s="200"/>
      <c r="B394" s="201" t="s">
        <v>138</v>
      </c>
      <c r="C394" s="202"/>
      <c r="D394" s="207"/>
      <c r="E394" s="208"/>
      <c r="F394" s="207"/>
      <c r="G394" s="245">
        <v>1.4999999999999999E-2</v>
      </c>
      <c r="H394" s="209">
        <f>H392*G394</f>
        <v>4402.05</v>
      </c>
      <c r="I394" s="210"/>
      <c r="J394" s="210"/>
      <c r="K394" s="211">
        <f>H394+J394</f>
        <v>4402.05</v>
      </c>
    </row>
    <row r="395" spans="1:12" ht="14.4">
      <c r="A395" s="200"/>
      <c r="B395" s="212" t="s">
        <v>139</v>
      </c>
      <c r="C395" s="202"/>
      <c r="D395" s="207"/>
      <c r="E395" s="208"/>
      <c r="F395" s="207"/>
      <c r="G395" s="246">
        <v>0.02</v>
      </c>
      <c r="H395" s="205"/>
      <c r="I395" s="210"/>
      <c r="J395" s="213">
        <f>J392*G395</f>
        <v>0</v>
      </c>
      <c r="K395" s="211">
        <f>H395+J395</f>
        <v>0</v>
      </c>
    </row>
    <row r="396" spans="1:12" ht="14.4">
      <c r="A396" s="200"/>
      <c r="B396" s="214" t="s">
        <v>140</v>
      </c>
      <c r="C396" s="207"/>
      <c r="D396" s="203" t="s">
        <v>137</v>
      </c>
      <c r="E396" s="204"/>
      <c r="F396" s="203"/>
      <c r="G396" s="215"/>
      <c r="H396" s="216">
        <f>H392+H394</f>
        <v>297872.05</v>
      </c>
      <c r="I396" s="206"/>
      <c r="J396" s="206">
        <f>J392+J395</f>
        <v>0</v>
      </c>
      <c r="K396" s="217">
        <f>K392+K394+K395</f>
        <v>297872.05</v>
      </c>
    </row>
    <row r="397" spans="1:12" ht="14.4">
      <c r="A397" s="200"/>
      <c r="B397" s="214" t="s">
        <v>141</v>
      </c>
      <c r="C397" s="207"/>
      <c r="D397" s="203" t="s">
        <v>137</v>
      </c>
      <c r="E397" s="204"/>
      <c r="F397" s="203"/>
      <c r="G397" s="218"/>
      <c r="H397" s="219">
        <f>H396/5</f>
        <v>59574.409999999996</v>
      </c>
      <c r="I397" s="206"/>
      <c r="J397" s="206"/>
      <c r="K397" s="217">
        <f>K396*0.2</f>
        <v>59574.41</v>
      </c>
    </row>
    <row r="398" spans="1:12" s="131" customFormat="1" ht="14.4" thickBot="1">
      <c r="A398" s="220"/>
      <c r="B398" s="221" t="s">
        <v>142</v>
      </c>
      <c r="C398" s="222"/>
      <c r="D398" s="222" t="s">
        <v>137</v>
      </c>
      <c r="E398" s="223"/>
      <c r="F398" s="223"/>
      <c r="G398" s="224"/>
      <c r="H398" s="225">
        <f>H396*1.2</f>
        <v>357446.45999999996</v>
      </c>
      <c r="I398" s="226"/>
      <c r="J398" s="226"/>
      <c r="K398" s="227">
        <f>K396+K397</f>
        <v>357446.45999999996</v>
      </c>
      <c r="L398" s="134">
        <v>357446.46</v>
      </c>
    </row>
    <row r="399" spans="1:12" s="149" customFormat="1" ht="16.5" customHeight="1">
      <c r="A399" s="142"/>
      <c r="B399" s="143"/>
      <c r="C399" s="144"/>
      <c r="D399" s="145"/>
      <c r="E399" s="146"/>
      <c r="F399" s="147"/>
      <c r="G399" s="148"/>
      <c r="I399" s="150"/>
      <c r="J399" s="150"/>
      <c r="K399" s="151"/>
    </row>
    <row r="400" spans="1:12" ht="15" customHeight="1">
      <c r="K400" s="151"/>
    </row>
    <row r="401" spans="1:11" ht="15.75" customHeight="1">
      <c r="A401" s="152" t="s">
        <v>143</v>
      </c>
      <c r="B401" s="153"/>
      <c r="C401" s="154"/>
      <c r="D401" s="153"/>
      <c r="E401" s="155"/>
      <c r="F401" s="153"/>
      <c r="G401" s="156"/>
      <c r="H401" s="153"/>
      <c r="I401" s="157"/>
      <c r="J401" s="157"/>
      <c r="K401" s="158"/>
    </row>
    <row r="402" spans="1:11" s="45" customFormat="1" ht="15" customHeight="1">
      <c r="A402" s="160" t="s">
        <v>144</v>
      </c>
      <c r="B402" s="161"/>
      <c r="C402" s="162"/>
      <c r="D402" s="161"/>
      <c r="E402" s="163"/>
      <c r="F402" s="161"/>
      <c r="G402" s="164"/>
      <c r="H402" s="161"/>
      <c r="I402" s="165"/>
      <c r="J402" s="165"/>
      <c r="K402" s="159"/>
    </row>
    <row r="403" spans="1:11" s="45" customFormat="1" ht="15" customHeight="1">
      <c r="A403" s="160" t="s">
        <v>145</v>
      </c>
      <c r="B403" s="161"/>
      <c r="C403" s="162"/>
      <c r="D403" s="161"/>
      <c r="E403" s="163"/>
      <c r="F403" s="161"/>
      <c r="G403" s="164"/>
      <c r="H403" s="161"/>
      <c r="I403" s="165"/>
      <c r="J403" s="165"/>
      <c r="K403" s="159"/>
    </row>
    <row r="404" spans="1:11" s="45" customFormat="1" ht="15" customHeight="1">
      <c r="A404" s="160"/>
      <c r="B404" s="161"/>
      <c r="C404" s="162"/>
      <c r="D404" s="161"/>
      <c r="E404" s="163"/>
      <c r="F404" s="161"/>
      <c r="G404" s="164"/>
      <c r="H404" s="161"/>
      <c r="I404" s="165"/>
      <c r="J404" s="165"/>
      <c r="K404" s="159"/>
    </row>
    <row r="405" spans="1:11" s="45" customFormat="1" ht="15" customHeight="1">
      <c r="A405" s="160" t="s">
        <v>146</v>
      </c>
      <c r="B405" s="161"/>
      <c r="C405" s="162"/>
      <c r="D405" s="161"/>
      <c r="E405" s="163"/>
      <c r="F405" s="161"/>
      <c r="G405" s="164"/>
      <c r="H405" s="161"/>
      <c r="I405" s="165"/>
      <c r="J405" s="165"/>
      <c r="K405" s="159"/>
    </row>
    <row r="406" spans="1:11" s="45" customFormat="1" ht="48.75" customHeight="1">
      <c r="A406" s="375" t="s">
        <v>147</v>
      </c>
      <c r="B406" s="375"/>
      <c r="C406" s="375"/>
      <c r="D406" s="375"/>
      <c r="E406" s="375"/>
      <c r="F406" s="375"/>
      <c r="G406" s="375"/>
      <c r="H406" s="375"/>
      <c r="I406" s="375"/>
      <c r="J406" s="375"/>
      <c r="K406" s="375"/>
    </row>
    <row r="407" spans="1:11" s="45" customFormat="1" ht="15" customHeight="1">
      <c r="A407" s="160" t="s">
        <v>148</v>
      </c>
      <c r="B407" s="161"/>
      <c r="C407" s="162"/>
      <c r="D407" s="161"/>
      <c r="E407" s="163"/>
      <c r="F407" s="161"/>
      <c r="G407" s="164"/>
      <c r="H407" s="161"/>
      <c r="I407" s="165"/>
      <c r="J407" s="165"/>
      <c r="K407" s="159"/>
    </row>
    <row r="408" spans="1:11" s="45" customFormat="1" ht="15" customHeight="1">
      <c r="A408" s="160" t="s">
        <v>149</v>
      </c>
      <c r="B408" s="161"/>
      <c r="C408" s="162"/>
      <c r="D408" s="161"/>
      <c r="E408" s="163"/>
      <c r="F408" s="161"/>
      <c r="G408" s="164"/>
      <c r="H408" s="161"/>
      <c r="I408" s="165"/>
      <c r="J408" s="165"/>
      <c r="K408" s="159"/>
    </row>
    <row r="409" spans="1:11" s="45" customFormat="1" ht="15" customHeight="1">
      <c r="A409" s="160" t="s">
        <v>150</v>
      </c>
      <c r="B409" s="161"/>
      <c r="C409" s="162"/>
      <c r="D409" s="161"/>
      <c r="E409" s="163"/>
      <c r="F409" s="161"/>
      <c r="G409" s="164"/>
      <c r="H409" s="161"/>
      <c r="I409" s="165"/>
      <c r="J409" s="165"/>
      <c r="K409" s="159"/>
    </row>
    <row r="410" spans="1:11" s="45" customFormat="1" ht="15" customHeight="1">
      <c r="A410" s="160" t="s">
        <v>151</v>
      </c>
      <c r="B410" s="161"/>
      <c r="C410" s="162"/>
      <c r="D410" s="161"/>
      <c r="E410" s="163"/>
      <c r="F410" s="161"/>
      <c r="G410" s="164"/>
      <c r="H410" s="161"/>
      <c r="I410" s="165"/>
      <c r="J410" s="165"/>
      <c r="K410" s="159"/>
    </row>
    <row r="411" spans="1:11" s="45" customFormat="1" ht="15" customHeight="1">
      <c r="A411" s="160" t="s">
        <v>152</v>
      </c>
      <c r="B411" s="161"/>
      <c r="C411" s="162"/>
      <c r="D411" s="161"/>
      <c r="E411" s="163"/>
      <c r="F411" s="161"/>
      <c r="G411" s="164"/>
      <c r="H411" s="161"/>
      <c r="I411" s="165"/>
      <c r="J411" s="165"/>
      <c r="K411" s="159"/>
    </row>
    <row r="412" spans="1:11" s="45" customFormat="1" ht="36" customHeight="1">
      <c r="A412" s="375" t="s">
        <v>153</v>
      </c>
      <c r="B412" s="375"/>
      <c r="C412" s="375"/>
      <c r="D412" s="375"/>
      <c r="E412" s="375"/>
      <c r="F412" s="375"/>
      <c r="G412" s="375"/>
      <c r="H412" s="375"/>
      <c r="I412" s="375"/>
      <c r="J412" s="375"/>
      <c r="K412" s="375"/>
    </row>
    <row r="413" spans="1:11" s="45" customFormat="1" ht="15" customHeight="1">
      <c r="A413" s="160" t="s">
        <v>154</v>
      </c>
      <c r="B413" s="161"/>
      <c r="C413" s="162"/>
      <c r="D413" s="161"/>
      <c r="E413" s="163"/>
      <c r="F413" s="161"/>
      <c r="G413" s="164"/>
      <c r="H413" s="161"/>
      <c r="I413" s="165"/>
      <c r="J413" s="165"/>
      <c r="K413" s="159"/>
    </row>
    <row r="414" spans="1:11" s="45" customFormat="1" ht="15" customHeight="1">
      <c r="A414" s="356" t="s">
        <v>155</v>
      </c>
      <c r="B414" s="356"/>
      <c r="C414" s="356"/>
      <c r="D414" s="356"/>
      <c r="E414" s="356"/>
      <c r="F414" s="356"/>
      <c r="G414" s="356"/>
      <c r="H414" s="356"/>
      <c r="I414" s="165"/>
      <c r="J414" s="165"/>
      <c r="K414" s="159"/>
    </row>
    <row r="415" spans="1:11" s="45" customFormat="1" ht="15" customHeight="1">
      <c r="A415" s="356" t="s">
        <v>156</v>
      </c>
      <c r="B415" s="356"/>
      <c r="C415" s="356"/>
      <c r="D415" s="356"/>
      <c r="E415" s="356"/>
      <c r="F415" s="356"/>
      <c r="G415" s="356"/>
      <c r="H415" s="356"/>
      <c r="I415" s="165"/>
      <c r="J415" s="165"/>
      <c r="K415" s="159"/>
    </row>
    <row r="416" spans="1:11" s="45" customFormat="1" ht="15" customHeight="1">
      <c r="A416" s="160" t="s">
        <v>157</v>
      </c>
      <c r="B416" s="161"/>
      <c r="C416" s="162"/>
      <c r="D416" s="161"/>
      <c r="E416" s="163"/>
      <c r="F416" s="161"/>
      <c r="G416" s="164"/>
      <c r="H416" s="161"/>
      <c r="I416" s="165"/>
      <c r="J416" s="165"/>
      <c r="K416" s="159"/>
    </row>
    <row r="417" spans="1:13" s="45" customFormat="1" ht="33" customHeight="1">
      <c r="A417" s="356" t="s">
        <v>158</v>
      </c>
      <c r="B417" s="356"/>
      <c r="C417" s="356"/>
      <c r="D417" s="356"/>
      <c r="E417" s="356"/>
      <c r="F417" s="356"/>
      <c r="G417" s="356"/>
      <c r="H417" s="356"/>
      <c r="I417" s="165"/>
      <c r="J417" s="165"/>
      <c r="K417" s="159"/>
    </row>
    <row r="418" spans="1:13" s="45" customFormat="1" ht="15" customHeight="1">
      <c r="A418" s="160" t="s">
        <v>159</v>
      </c>
      <c r="B418" s="161"/>
      <c r="C418" s="162"/>
      <c r="D418" s="161"/>
      <c r="E418" s="163"/>
      <c r="F418" s="161"/>
      <c r="G418" s="164"/>
      <c r="H418" s="161"/>
      <c r="I418" s="165"/>
      <c r="J418" s="165"/>
      <c r="K418" s="159"/>
    </row>
    <row r="419" spans="1:13" s="45" customFormat="1" ht="15" customHeight="1">
      <c r="A419" s="357" t="s">
        <v>160</v>
      </c>
      <c r="B419" s="357"/>
      <c r="C419" s="357"/>
      <c r="D419" s="357"/>
      <c r="E419" s="357"/>
      <c r="F419" s="357"/>
      <c r="G419" s="357"/>
      <c r="H419" s="357"/>
      <c r="I419" s="165"/>
      <c r="J419" s="165"/>
      <c r="K419" s="159"/>
    </row>
    <row r="420" spans="1:13" s="45" customFormat="1" ht="42.6" customHeight="1">
      <c r="A420" s="355" t="s">
        <v>161</v>
      </c>
      <c r="B420" s="355"/>
      <c r="C420" s="355"/>
      <c r="D420" s="355"/>
      <c r="E420" s="355"/>
      <c r="F420" s="355"/>
      <c r="G420" s="355"/>
      <c r="H420" s="355"/>
      <c r="I420" s="165"/>
      <c r="J420" s="165"/>
      <c r="K420" s="159"/>
    </row>
    <row r="421" spans="1:13" s="45" customFormat="1" ht="15" customHeight="1">
      <c r="A421" s="355" t="s">
        <v>162</v>
      </c>
      <c r="B421" s="355"/>
      <c r="C421" s="355"/>
      <c r="D421" s="355"/>
      <c r="E421" s="355"/>
      <c r="F421" s="355"/>
      <c r="G421" s="355"/>
      <c r="H421" s="355"/>
      <c r="I421" s="165"/>
      <c r="J421" s="165"/>
      <c r="K421" s="159"/>
    </row>
    <row r="422" spans="1:13" s="45" customFormat="1" ht="15" customHeight="1">
      <c r="A422" s="355" t="s">
        <v>163</v>
      </c>
      <c r="B422" s="355"/>
      <c r="C422" s="355"/>
      <c r="D422" s="355"/>
      <c r="E422" s="355"/>
      <c r="F422" s="355"/>
      <c r="G422" s="355"/>
      <c r="H422" s="355"/>
      <c r="I422" s="165"/>
      <c r="J422" s="165"/>
      <c r="K422" s="159"/>
    </row>
    <row r="423" spans="1:13" s="45" customFormat="1" ht="15" customHeight="1">
      <c r="A423" s="355" t="s">
        <v>164</v>
      </c>
      <c r="B423" s="355"/>
      <c r="C423" s="355"/>
      <c r="D423" s="355"/>
      <c r="E423" s="355"/>
      <c r="F423" s="355"/>
      <c r="G423" s="355"/>
      <c r="H423" s="355"/>
      <c r="I423" s="165"/>
      <c r="J423" s="165"/>
      <c r="K423" s="159"/>
    </row>
    <row r="424" spans="1:13" s="45" customFormat="1" ht="15" customHeight="1">
      <c r="A424" s="355" t="s">
        <v>165</v>
      </c>
      <c r="B424" s="355"/>
      <c r="C424" s="355"/>
      <c r="D424" s="355"/>
      <c r="E424" s="355"/>
      <c r="F424" s="355"/>
      <c r="G424" s="355"/>
      <c r="H424" s="355"/>
      <c r="I424" s="165"/>
      <c r="J424" s="165"/>
      <c r="K424" s="159"/>
    </row>
    <row r="425" spans="1:13" s="45" customFormat="1" ht="15" customHeight="1">
      <c r="A425" s="355" t="s">
        <v>166</v>
      </c>
      <c r="B425" s="355"/>
      <c r="C425" s="355"/>
      <c r="D425" s="355"/>
      <c r="E425" s="355"/>
      <c r="F425" s="355"/>
      <c r="G425" s="355"/>
      <c r="H425" s="355"/>
      <c r="I425" s="165"/>
      <c r="J425" s="165"/>
      <c r="K425" s="159"/>
    </row>
    <row r="426" spans="1:13" s="45" customFormat="1" ht="15" customHeight="1">
      <c r="A426" s="355" t="s">
        <v>167</v>
      </c>
      <c r="B426" s="355"/>
      <c r="C426" s="355"/>
      <c r="D426" s="355"/>
      <c r="E426" s="355"/>
      <c r="F426" s="355"/>
      <c r="G426" s="355"/>
      <c r="H426" s="355"/>
      <c r="I426" s="165"/>
      <c r="J426" s="165"/>
      <c r="K426" s="159"/>
    </row>
    <row r="427" spans="1:13" s="45" customFormat="1" ht="15" customHeight="1">
      <c r="A427" s="355" t="s">
        <v>168</v>
      </c>
      <c r="B427" s="355"/>
      <c r="C427" s="355"/>
      <c r="D427" s="355"/>
      <c r="E427" s="355"/>
      <c r="F427" s="355"/>
      <c r="G427" s="355"/>
      <c r="H427" s="355"/>
      <c r="I427" s="165"/>
      <c r="J427" s="165"/>
      <c r="K427" s="159"/>
    </row>
    <row r="428" spans="1:13" s="45" customFormat="1" ht="15" customHeight="1">
      <c r="A428" s="355" t="s">
        <v>169</v>
      </c>
      <c r="B428" s="355"/>
      <c r="C428" s="355"/>
      <c r="D428" s="355"/>
      <c r="E428" s="355"/>
      <c r="F428" s="355"/>
      <c r="G428" s="355"/>
      <c r="H428" s="355"/>
      <c r="I428" s="165"/>
      <c r="J428" s="165"/>
      <c r="K428" s="1"/>
      <c r="L428" s="1"/>
      <c r="M428" s="1"/>
    </row>
    <row r="429" spans="1:13" s="45" customFormat="1" ht="15" customHeight="1">
      <c r="A429" s="355" t="s">
        <v>170</v>
      </c>
      <c r="B429" s="355"/>
      <c r="C429" s="355"/>
      <c r="D429" s="355"/>
      <c r="E429" s="355"/>
      <c r="F429" s="355"/>
      <c r="G429" s="355"/>
      <c r="H429" s="355"/>
      <c r="I429" s="165"/>
      <c r="J429" s="165"/>
      <c r="K429" s="1"/>
      <c r="L429" s="1"/>
      <c r="M429" s="1"/>
    </row>
    <row r="430" spans="1:13" s="45" customFormat="1" ht="15" customHeight="1">
      <c r="A430" s="353" t="s">
        <v>171</v>
      </c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1"/>
      <c r="M430" s="1"/>
    </row>
    <row r="431" spans="1:13" s="135" customFormat="1" ht="15" customHeight="1">
      <c r="A431" s="136"/>
      <c r="C431" s="170"/>
      <c r="E431" s="171"/>
      <c r="I431" s="172"/>
      <c r="J431" s="172"/>
      <c r="K431" s="173"/>
    </row>
    <row r="432" spans="1:13" s="135" customFormat="1" ht="15" customHeight="1">
      <c r="A432" s="136"/>
      <c r="C432" s="170"/>
      <c r="E432" s="171"/>
      <c r="I432" s="172"/>
      <c r="J432" s="172"/>
      <c r="K432" s="173"/>
    </row>
    <row r="433" spans="1:17" s="135" customFormat="1" ht="15" customHeight="1">
      <c r="A433" s="174"/>
      <c r="C433" s="170"/>
      <c r="E433" s="175"/>
      <c r="G433" s="176"/>
      <c r="I433" s="172"/>
      <c r="J433" s="172"/>
      <c r="K433" s="173"/>
    </row>
    <row r="434" spans="1:17" s="181" customFormat="1" ht="15.6">
      <c r="A434" s="177"/>
      <c r="B434" s="350" t="s">
        <v>175</v>
      </c>
      <c r="C434" s="350"/>
      <c r="D434" s="179"/>
      <c r="E434" s="178"/>
      <c r="F434" s="178"/>
      <c r="G434" s="178"/>
      <c r="H434" s="354" t="s">
        <v>176</v>
      </c>
      <c r="I434" s="354"/>
      <c r="J434" s="180"/>
      <c r="K434" s="180"/>
      <c r="M434" s="182"/>
      <c r="N434" s="183"/>
      <c r="O434" s="183"/>
      <c r="P434" s="183"/>
      <c r="Q434" s="183"/>
    </row>
    <row r="435" spans="1:17" s="181" customFormat="1" ht="15.6">
      <c r="A435" s="177"/>
      <c r="B435" s="178" t="s">
        <v>177</v>
      </c>
      <c r="C435" s="178"/>
      <c r="D435" s="179"/>
      <c r="E435" s="178"/>
      <c r="F435" s="178"/>
      <c r="G435" s="178"/>
      <c r="H435" s="354" t="s">
        <v>178</v>
      </c>
      <c r="I435" s="354"/>
      <c r="J435" s="180"/>
      <c r="K435" s="180"/>
      <c r="M435" s="182"/>
      <c r="N435" s="183"/>
      <c r="O435" s="183"/>
      <c r="P435" s="183"/>
      <c r="Q435" s="183"/>
    </row>
    <row r="436" spans="1:17" s="181" customFormat="1" ht="15.6">
      <c r="A436" s="177"/>
      <c r="B436" s="178"/>
      <c r="C436" s="178"/>
      <c r="D436" s="179"/>
      <c r="E436" s="178"/>
      <c r="F436" s="178"/>
      <c r="G436" s="178"/>
      <c r="H436" s="180"/>
      <c r="I436" s="180"/>
      <c r="J436" s="180"/>
      <c r="K436" s="180"/>
      <c r="M436" s="182"/>
      <c r="N436" s="183"/>
      <c r="O436" s="183"/>
      <c r="P436" s="183"/>
      <c r="Q436" s="183"/>
    </row>
    <row r="437" spans="1:17" s="181" customFormat="1" ht="15.6">
      <c r="A437" s="177"/>
      <c r="B437" s="350" t="s">
        <v>179</v>
      </c>
      <c r="C437" s="350"/>
      <c r="D437" s="179"/>
      <c r="E437" s="178"/>
      <c r="F437" s="178"/>
      <c r="G437" s="178"/>
      <c r="H437" s="352" t="s">
        <v>179</v>
      </c>
      <c r="I437" s="352"/>
      <c r="J437" s="352"/>
      <c r="K437" s="352"/>
      <c r="M437" s="182"/>
      <c r="N437" s="183"/>
      <c r="O437" s="183"/>
      <c r="P437" s="183"/>
      <c r="Q437" s="183"/>
    </row>
    <row r="438" spans="1:17" s="181" customFormat="1" ht="15.6">
      <c r="A438" s="177"/>
      <c r="B438" s="178" t="s">
        <v>180</v>
      </c>
      <c r="C438" s="179"/>
      <c r="D438" s="179"/>
      <c r="E438" s="178"/>
      <c r="F438" s="178"/>
      <c r="G438" s="178"/>
      <c r="H438" s="180"/>
      <c r="I438" s="180"/>
      <c r="J438" s="180"/>
      <c r="K438" s="184"/>
      <c r="M438" s="182"/>
      <c r="N438" s="183"/>
      <c r="O438" s="183"/>
      <c r="P438" s="183"/>
      <c r="Q438" s="183"/>
    </row>
    <row r="439" spans="1:17" s="181" customFormat="1" ht="15.6">
      <c r="A439" s="177"/>
      <c r="B439" s="350" t="s">
        <v>181</v>
      </c>
      <c r="C439" s="350"/>
      <c r="D439" s="351"/>
      <c r="E439" s="350"/>
      <c r="F439" s="350"/>
      <c r="G439" s="350"/>
      <c r="H439" s="352" t="s">
        <v>182</v>
      </c>
      <c r="I439" s="352"/>
      <c r="J439" s="352"/>
      <c r="K439" s="352"/>
      <c r="M439" s="182"/>
      <c r="N439" s="183"/>
      <c r="O439" s="183"/>
      <c r="P439" s="183"/>
      <c r="Q439" s="183"/>
    </row>
    <row r="440" spans="1:17" s="135" customFormat="1" ht="6" customHeight="1">
      <c r="A440" s="174"/>
      <c r="C440" s="170"/>
      <c r="E440" s="175"/>
      <c r="G440" s="176"/>
      <c r="I440" s="172"/>
      <c r="J440" s="172"/>
      <c r="K440" s="173"/>
    </row>
  </sheetData>
  <autoFilter ref="A12:K398">
    <filterColumn colId="2">
      <filters>
        <filter val="43.29"/>
      </filters>
    </filterColumn>
  </autoFilter>
  <mergeCells count="44">
    <mergeCell ref="A4:F4"/>
    <mergeCell ref="G4:K4"/>
    <mergeCell ref="A1:F1"/>
    <mergeCell ref="G1:K1"/>
    <mergeCell ref="A2:F2"/>
    <mergeCell ref="G2:K2"/>
    <mergeCell ref="G3:K3"/>
    <mergeCell ref="A415:H415"/>
    <mergeCell ref="A6:K6"/>
    <mergeCell ref="A7:K7"/>
    <mergeCell ref="A8:K8"/>
    <mergeCell ref="A10:A11"/>
    <mergeCell ref="B10:B11"/>
    <mergeCell ref="C10:C11"/>
    <mergeCell ref="D10:D11"/>
    <mergeCell ref="E10:E11"/>
    <mergeCell ref="F10:F11"/>
    <mergeCell ref="G10:H10"/>
    <mergeCell ref="I10:J10"/>
    <mergeCell ref="K10:K11"/>
    <mergeCell ref="A406:K406"/>
    <mergeCell ref="A412:K412"/>
    <mergeCell ref="A414:H414"/>
    <mergeCell ref="A429:H429"/>
    <mergeCell ref="A417:H417"/>
    <mergeCell ref="A419:H419"/>
    <mergeCell ref="A420:H420"/>
    <mergeCell ref="A421:H421"/>
    <mergeCell ref="A422:H422"/>
    <mergeCell ref="A423:H423"/>
    <mergeCell ref="A424:H424"/>
    <mergeCell ref="A425:H425"/>
    <mergeCell ref="A426:H426"/>
    <mergeCell ref="A427:H427"/>
    <mergeCell ref="A428:H428"/>
    <mergeCell ref="B439:D439"/>
    <mergeCell ref="E439:G439"/>
    <mergeCell ref="H439:K439"/>
    <mergeCell ref="A430:K430"/>
    <mergeCell ref="B434:C434"/>
    <mergeCell ref="H434:I434"/>
    <mergeCell ref="H435:I435"/>
    <mergeCell ref="B437:C437"/>
    <mergeCell ref="H437:K437"/>
  </mergeCells>
  <phoneticPr fontId="64" type="noConversion"/>
  <pageMargins left="0.19685039370078741" right="0.19685039370078741" top="0.59055118110236227" bottom="0.19685039370078741" header="0" footer="0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40"/>
  <sheetViews>
    <sheetView view="pageBreakPreview" zoomScaleNormal="80" zoomScaleSheetLayoutView="100" workbookViewId="0">
      <selection activeCell="L398" sqref="L398"/>
    </sheetView>
  </sheetViews>
  <sheetFormatPr defaultColWidth="12.5546875" defaultRowHeight="15" customHeight="1"/>
  <cols>
    <col min="1" max="1" width="7.44140625" style="2" customWidth="1"/>
    <col min="2" max="2" width="53.44140625" style="1" customWidth="1"/>
    <col min="3" max="3" width="7.44140625" style="3" customWidth="1"/>
    <col min="4" max="4" width="7.5546875" style="1" customWidth="1"/>
    <col min="5" max="5" width="8.44140625" style="4" customWidth="1"/>
    <col min="6" max="6" width="11.109375" style="1" customWidth="1"/>
    <col min="7" max="7" width="11.44140625" style="132" customWidth="1"/>
    <col min="8" max="8" width="15.88671875" style="1" customWidth="1"/>
    <col min="9" max="9" width="11.88671875" style="133" customWidth="1"/>
    <col min="10" max="10" width="13.5546875" style="133" customWidth="1"/>
    <col min="11" max="11" width="19.88671875" style="1" customWidth="1"/>
    <col min="12" max="12" width="13.88671875" style="1" customWidth="1"/>
    <col min="13" max="13" width="17.88671875" style="1" customWidth="1"/>
    <col min="14" max="16384" width="12.5546875" style="1"/>
  </cols>
  <sheetData>
    <row r="1" spans="1:11" ht="15.6">
      <c r="A1" s="378" t="s">
        <v>0</v>
      </c>
      <c r="B1" s="379"/>
      <c r="C1" s="379"/>
      <c r="D1" s="379"/>
      <c r="E1" s="379"/>
      <c r="F1" s="379"/>
      <c r="G1" s="380" t="s">
        <v>189</v>
      </c>
      <c r="H1" s="380"/>
      <c r="I1" s="380"/>
      <c r="J1" s="380"/>
      <c r="K1" s="380"/>
    </row>
    <row r="2" spans="1:11" ht="15" customHeight="1">
      <c r="A2" s="378" t="s">
        <v>174</v>
      </c>
      <c r="B2" s="379"/>
      <c r="C2" s="379"/>
      <c r="D2" s="379"/>
      <c r="E2" s="379"/>
      <c r="F2" s="379"/>
      <c r="G2" s="381"/>
      <c r="H2" s="381"/>
      <c r="I2" s="381"/>
      <c r="J2" s="381"/>
      <c r="K2" s="381"/>
    </row>
    <row r="3" spans="1:11" ht="15" customHeight="1">
      <c r="G3" s="377"/>
      <c r="H3" s="377"/>
      <c r="I3" s="377"/>
      <c r="J3" s="377"/>
      <c r="K3" s="377"/>
    </row>
    <row r="4" spans="1:11" ht="15.75" customHeight="1">
      <c r="A4" s="376"/>
      <c r="B4" s="359"/>
      <c r="C4" s="359"/>
      <c r="D4" s="359"/>
      <c r="E4" s="359"/>
      <c r="F4" s="359"/>
      <c r="G4" s="377"/>
      <c r="H4" s="377"/>
      <c r="I4" s="377"/>
      <c r="J4" s="377"/>
      <c r="K4" s="377"/>
    </row>
    <row r="5" spans="1:11" ht="7.5" customHeight="1">
      <c r="A5" s="7"/>
      <c r="B5" s="5"/>
      <c r="C5" s="8"/>
      <c r="D5" s="5"/>
      <c r="E5" s="9"/>
      <c r="F5" s="5"/>
      <c r="G5" s="10"/>
      <c r="H5" s="11"/>
      <c r="I5" s="12"/>
      <c r="J5" s="12"/>
      <c r="K5" s="11"/>
    </row>
    <row r="6" spans="1:11" ht="18" customHeight="1">
      <c r="A6" s="358" t="s">
        <v>191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5" customHeight="1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30.75" customHeight="1">
      <c r="A8" s="360" t="s">
        <v>2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1" ht="15" customHeight="1" thickBot="1">
      <c r="A9" s="13"/>
      <c r="B9" s="6"/>
      <c r="C9" s="14"/>
      <c r="D9" s="6"/>
      <c r="F9" s="6"/>
      <c r="G9" s="15"/>
      <c r="H9" s="6"/>
      <c r="I9" s="16"/>
      <c r="J9" s="16"/>
      <c r="K9" s="17"/>
    </row>
    <row r="10" spans="1:11" ht="33.75" customHeight="1">
      <c r="A10" s="361" t="s">
        <v>3</v>
      </c>
      <c r="B10" s="363" t="s">
        <v>4</v>
      </c>
      <c r="C10" s="363" t="s">
        <v>5</v>
      </c>
      <c r="D10" s="366" t="s">
        <v>6</v>
      </c>
      <c r="E10" s="367" t="s">
        <v>7</v>
      </c>
      <c r="F10" s="363" t="s">
        <v>8</v>
      </c>
      <c r="G10" s="369" t="s">
        <v>9</v>
      </c>
      <c r="H10" s="370"/>
      <c r="I10" s="371" t="s">
        <v>10</v>
      </c>
      <c r="J10" s="372"/>
      <c r="K10" s="373" t="s">
        <v>11</v>
      </c>
    </row>
    <row r="11" spans="1:11" ht="25.5" customHeight="1" thickBot="1">
      <c r="A11" s="362"/>
      <c r="B11" s="364"/>
      <c r="C11" s="365"/>
      <c r="D11" s="364"/>
      <c r="E11" s="368"/>
      <c r="F11" s="364"/>
      <c r="G11" s="168" t="s">
        <v>12</v>
      </c>
      <c r="H11" s="168" t="s">
        <v>13</v>
      </c>
      <c r="I11" s="169" t="s">
        <v>12</v>
      </c>
      <c r="J11" s="169" t="s">
        <v>14</v>
      </c>
      <c r="K11" s="374"/>
    </row>
    <row r="12" spans="1:11" s="22" customFormat="1" ht="15" customHeight="1">
      <c r="A12" s="247" t="s">
        <v>15</v>
      </c>
      <c r="B12" s="300">
        <v>2</v>
      </c>
      <c r="C12" s="306"/>
      <c r="D12" s="307">
        <v>3</v>
      </c>
      <c r="E12" s="308"/>
      <c r="F12" s="300">
        <v>4</v>
      </c>
      <c r="G12" s="166">
        <v>5</v>
      </c>
      <c r="H12" s="166">
        <v>6</v>
      </c>
      <c r="I12" s="167">
        <v>7</v>
      </c>
      <c r="J12" s="167">
        <v>10</v>
      </c>
      <c r="K12" s="248">
        <v>11</v>
      </c>
    </row>
    <row r="13" spans="1:11" ht="15" hidden="1" customHeight="1">
      <c r="A13" s="249"/>
      <c r="B13" s="301" t="s">
        <v>26</v>
      </c>
      <c r="C13" s="301"/>
      <c r="D13" s="313"/>
      <c r="E13" s="314"/>
      <c r="F13" s="313"/>
      <c r="G13" s="39"/>
      <c r="H13" s="251"/>
      <c r="I13" s="40"/>
      <c r="J13" s="253"/>
      <c r="K13" s="254"/>
    </row>
    <row r="14" spans="1:11" ht="15" hidden="1" customHeight="1">
      <c r="A14" s="255"/>
      <c r="B14" s="24" t="s">
        <v>16</v>
      </c>
      <c r="C14" s="309"/>
      <c r="D14" s="310"/>
      <c r="E14" s="311"/>
      <c r="F14" s="312"/>
      <c r="G14" s="29"/>
      <c r="H14" s="51"/>
      <c r="I14" s="36"/>
      <c r="J14" s="52"/>
      <c r="K14" s="256"/>
    </row>
    <row r="15" spans="1:11" ht="25.5" hidden="1" customHeight="1">
      <c r="A15" s="257"/>
      <c r="B15" s="53" t="s">
        <v>27</v>
      </c>
      <c r="C15" s="53"/>
      <c r="D15" s="54"/>
      <c r="E15" s="55"/>
      <c r="F15" s="56"/>
      <c r="G15" s="57"/>
      <c r="H15" s="58"/>
      <c r="I15" s="59"/>
      <c r="J15" s="60"/>
      <c r="K15" s="258"/>
    </row>
    <row r="16" spans="1:11" ht="15" hidden="1" customHeight="1">
      <c r="A16" s="259" t="s">
        <v>15</v>
      </c>
      <c r="B16" s="61" t="s">
        <v>28</v>
      </c>
      <c r="C16" s="62" t="s">
        <v>29</v>
      </c>
      <c r="D16" s="63" t="s">
        <v>30</v>
      </c>
      <c r="E16" s="64"/>
      <c r="F16" s="65">
        <f>97.35+62.57+44.38</f>
        <v>204.29999999999998</v>
      </c>
      <c r="G16" s="32">
        <v>180</v>
      </c>
      <c r="H16" s="235">
        <f>F16*G16</f>
        <v>36774</v>
      </c>
      <c r="I16" s="33"/>
      <c r="J16" s="66"/>
      <c r="K16" s="260">
        <f>H16+J16</f>
        <v>36774</v>
      </c>
    </row>
    <row r="17" spans="1:12" s="45" customFormat="1" ht="15" hidden="1" customHeight="1">
      <c r="A17" s="259"/>
      <c r="B17" s="41" t="s">
        <v>31</v>
      </c>
      <c r="C17" s="62" t="s">
        <v>29</v>
      </c>
      <c r="D17" s="67" t="s">
        <v>25</v>
      </c>
      <c r="E17" s="64">
        <v>0.02</v>
      </c>
      <c r="F17" s="68">
        <f>E17*F16</f>
        <v>4.0859999999999994</v>
      </c>
      <c r="G17" s="32"/>
      <c r="H17" s="69"/>
      <c r="I17" s="33">
        <v>288.47499999999997</v>
      </c>
      <c r="J17" s="43">
        <f>F17*I17</f>
        <v>1178.7088499999998</v>
      </c>
      <c r="K17" s="261">
        <f>H17+J17</f>
        <v>1178.7088499999998</v>
      </c>
      <c r="L17" s="1"/>
    </row>
    <row r="18" spans="1:12" s="45" customFormat="1" ht="15" hidden="1" customHeight="1">
      <c r="A18" s="262">
        <f>A16+1</f>
        <v>2</v>
      </c>
      <c r="B18" s="61" t="s">
        <v>32</v>
      </c>
      <c r="C18" s="38" t="s">
        <v>20</v>
      </c>
      <c r="D18" s="63" t="s">
        <v>30</v>
      </c>
      <c r="E18" s="64"/>
      <c r="F18" s="65">
        <f>F16</f>
        <v>204.29999999999998</v>
      </c>
      <c r="G18" s="32">
        <v>200</v>
      </c>
      <c r="H18" s="235">
        <f>F18*G18</f>
        <v>40860</v>
      </c>
      <c r="I18" s="33"/>
      <c r="J18" s="66"/>
      <c r="K18" s="260">
        <f>H18+J18</f>
        <v>40860</v>
      </c>
      <c r="L18" s="1"/>
    </row>
    <row r="19" spans="1:12" s="44" customFormat="1" ht="25.5" hidden="1" customHeight="1">
      <c r="A19" s="259"/>
      <c r="B19" s="70" t="s">
        <v>172</v>
      </c>
      <c r="C19" s="38" t="s">
        <v>20</v>
      </c>
      <c r="D19" s="71" t="s">
        <v>21</v>
      </c>
      <c r="E19" s="64">
        <v>0.35</v>
      </c>
      <c r="F19" s="72">
        <f>F18*E19</f>
        <v>71.504999999999995</v>
      </c>
      <c r="G19" s="32"/>
      <c r="H19" s="236"/>
      <c r="I19" s="33">
        <v>122.50221999999999</v>
      </c>
      <c r="J19" s="73">
        <f>F19*I19</f>
        <v>8759.5212410999993</v>
      </c>
      <c r="K19" s="263">
        <f>H19+J19</f>
        <v>8759.5212410999993</v>
      </c>
      <c r="L19" s="1"/>
    </row>
    <row r="20" spans="1:12" s="44" customFormat="1" ht="15" hidden="1" customHeight="1">
      <c r="A20" s="259"/>
      <c r="B20" s="74" t="s">
        <v>34</v>
      </c>
      <c r="C20" s="38" t="s">
        <v>20</v>
      </c>
      <c r="D20" s="71" t="s">
        <v>21</v>
      </c>
      <c r="E20" s="64">
        <v>0.15</v>
      </c>
      <c r="F20" s="72">
        <f>F18*E20</f>
        <v>30.644999999999996</v>
      </c>
      <c r="G20" s="32"/>
      <c r="H20" s="236"/>
      <c r="I20" s="33">
        <v>37.450000000000003</v>
      </c>
      <c r="J20" s="73">
        <f>F20*I20</f>
        <v>1147.65525</v>
      </c>
      <c r="K20" s="263">
        <f>H20+J20</f>
        <v>1147.65525</v>
      </c>
      <c r="L20" s="1"/>
    </row>
    <row r="21" spans="1:12" s="45" customFormat="1" ht="15" hidden="1" customHeight="1">
      <c r="A21" s="257"/>
      <c r="B21" s="76"/>
      <c r="C21" s="77"/>
      <c r="D21" s="78"/>
      <c r="E21" s="79"/>
      <c r="F21" s="80"/>
      <c r="G21" s="32"/>
      <c r="H21" s="81"/>
      <c r="I21" s="33"/>
      <c r="J21" s="82"/>
      <c r="K21" s="264"/>
      <c r="L21" s="1"/>
    </row>
    <row r="22" spans="1:12" s="45" customFormat="1" ht="15" hidden="1" customHeight="1">
      <c r="A22" s="257"/>
      <c r="B22" s="53" t="s">
        <v>35</v>
      </c>
      <c r="C22" s="265"/>
      <c r="D22" s="266"/>
      <c r="E22" s="267"/>
      <c r="F22" s="266"/>
      <c r="G22" s="57"/>
      <c r="H22" s="266"/>
      <c r="I22" s="59"/>
      <c r="J22" s="268"/>
      <c r="K22" s="269"/>
      <c r="L22" s="1"/>
    </row>
    <row r="23" spans="1:12" s="45" customFormat="1" ht="15" hidden="1" customHeight="1">
      <c r="A23" s="270">
        <f>A18+1</f>
        <v>3</v>
      </c>
      <c r="B23" s="83" t="s">
        <v>36</v>
      </c>
      <c r="C23" s="19" t="s">
        <v>20</v>
      </c>
      <c r="D23" s="19" t="s">
        <v>30</v>
      </c>
      <c r="E23" s="69"/>
      <c r="F23" s="84">
        <v>199.95</v>
      </c>
      <c r="G23" s="32">
        <v>50</v>
      </c>
      <c r="H23" s="237">
        <f>F23*G23</f>
        <v>9997.5</v>
      </c>
      <c r="I23" s="33"/>
      <c r="J23" s="43"/>
      <c r="K23" s="271">
        <f t="shared" ref="K23:K30" si="0">H23+J23</f>
        <v>9997.5</v>
      </c>
      <c r="L23" s="1"/>
    </row>
    <row r="24" spans="1:12" s="44" customFormat="1" ht="15" hidden="1" customHeight="1">
      <c r="A24" s="272"/>
      <c r="B24" s="85" t="s">
        <v>37</v>
      </c>
      <c r="C24" s="19" t="s">
        <v>20</v>
      </c>
      <c r="D24" s="41" t="s">
        <v>19</v>
      </c>
      <c r="E24" s="21">
        <v>0.15</v>
      </c>
      <c r="F24" s="68">
        <f>E24*F23</f>
        <v>29.992499999999996</v>
      </c>
      <c r="G24" s="32"/>
      <c r="H24" s="238"/>
      <c r="I24" s="33">
        <v>37.81</v>
      </c>
      <c r="J24" s="43">
        <f>F24*I24</f>
        <v>1134.016425</v>
      </c>
      <c r="K24" s="273">
        <f t="shared" si="0"/>
        <v>1134.016425</v>
      </c>
      <c r="L24" s="1"/>
    </row>
    <row r="25" spans="1:12" s="45" customFormat="1" ht="15" hidden="1" customHeight="1">
      <c r="A25" s="274">
        <f>A23+1</f>
        <v>4</v>
      </c>
      <c r="B25" s="86" t="s">
        <v>38</v>
      </c>
      <c r="C25" s="69" t="s">
        <v>190</v>
      </c>
      <c r="D25" s="19" t="s">
        <v>30</v>
      </c>
      <c r="E25" s="69"/>
      <c r="F25" s="69">
        <f>F23</f>
        <v>199.95</v>
      </c>
      <c r="G25" s="32">
        <v>200</v>
      </c>
      <c r="H25" s="237">
        <f>F25*G25</f>
        <v>39990</v>
      </c>
      <c r="I25" s="33"/>
      <c r="J25" s="43"/>
      <c r="K25" s="271">
        <f t="shared" si="0"/>
        <v>39990</v>
      </c>
      <c r="L25" s="137"/>
    </row>
    <row r="26" spans="1:12" s="44" customFormat="1" ht="15" hidden="1" customHeight="1">
      <c r="A26" s="275"/>
      <c r="B26" s="87" t="s">
        <v>39</v>
      </c>
      <c r="C26" s="69" t="s">
        <v>190</v>
      </c>
      <c r="D26" s="41" t="s">
        <v>19</v>
      </c>
      <c r="E26" s="21">
        <v>5</v>
      </c>
      <c r="F26" s="34">
        <f>E26*F25</f>
        <v>999.75</v>
      </c>
      <c r="G26" s="32"/>
      <c r="H26" s="239"/>
      <c r="I26" s="33">
        <v>12.67</v>
      </c>
      <c r="J26" s="43">
        <f>F26*I26</f>
        <v>12666.8325</v>
      </c>
      <c r="K26" s="273">
        <f t="shared" si="0"/>
        <v>12666.8325</v>
      </c>
      <c r="L26" s="1"/>
    </row>
    <row r="27" spans="1:12" s="45" customFormat="1" ht="15" hidden="1" customHeight="1">
      <c r="A27" s="275"/>
      <c r="B27" s="88" t="s">
        <v>40</v>
      </c>
      <c r="C27" s="69" t="s">
        <v>190</v>
      </c>
      <c r="D27" s="88" t="s">
        <v>41</v>
      </c>
      <c r="E27" s="89">
        <v>1.05</v>
      </c>
      <c r="F27" s="34">
        <f>E27*F25</f>
        <v>209.94749999999999</v>
      </c>
      <c r="G27" s="32"/>
      <c r="H27" s="240"/>
      <c r="I27" s="33">
        <v>629.42999999999995</v>
      </c>
      <c r="J27" s="90">
        <f>F27*I27</f>
        <v>132147.25492499999</v>
      </c>
      <c r="K27" s="261">
        <f t="shared" si="0"/>
        <v>132147.25492499999</v>
      </c>
      <c r="L27" s="1"/>
    </row>
    <row r="28" spans="1:12" s="45" customFormat="1" ht="15" hidden="1" customHeight="1">
      <c r="A28" s="274">
        <f>A25+1</f>
        <v>5</v>
      </c>
      <c r="B28" s="61" t="s">
        <v>32</v>
      </c>
      <c r="C28" s="38" t="s">
        <v>20</v>
      </c>
      <c r="D28" s="38" t="s">
        <v>30</v>
      </c>
      <c r="E28" s="64"/>
      <c r="F28" s="97">
        <f>F23</f>
        <v>199.95</v>
      </c>
      <c r="G28" s="241">
        <v>200</v>
      </c>
      <c r="H28" s="235">
        <f>F28*G28</f>
        <v>39990</v>
      </c>
      <c r="I28" s="33"/>
      <c r="J28" s="66"/>
      <c r="K28" s="260">
        <f t="shared" si="0"/>
        <v>39990</v>
      </c>
      <c r="L28" s="1"/>
    </row>
    <row r="29" spans="1:12" s="44" customFormat="1" ht="15" hidden="1" customHeight="1">
      <c r="A29" s="275"/>
      <c r="B29" s="74" t="s">
        <v>173</v>
      </c>
      <c r="C29" s="19" t="s">
        <v>20</v>
      </c>
      <c r="D29" s="70" t="s">
        <v>21</v>
      </c>
      <c r="E29" s="64">
        <v>0.35</v>
      </c>
      <c r="F29" s="68">
        <f>E29*F28</f>
        <v>69.982499999999987</v>
      </c>
      <c r="G29" s="32"/>
      <c r="H29" s="236"/>
      <c r="I29" s="33">
        <v>122.50221999999999</v>
      </c>
      <c r="J29" s="73">
        <f>F29*I29</f>
        <v>8573.0116111499974</v>
      </c>
      <c r="K29" s="263">
        <f t="shared" si="0"/>
        <v>8573.0116111499974</v>
      </c>
      <c r="L29" s="1"/>
    </row>
    <row r="30" spans="1:12" s="44" customFormat="1" ht="15" hidden="1" customHeight="1">
      <c r="A30" s="276"/>
      <c r="B30" s="98" t="s">
        <v>37</v>
      </c>
      <c r="C30" s="19" t="s">
        <v>20</v>
      </c>
      <c r="D30" s="41" t="s">
        <v>19</v>
      </c>
      <c r="E30" s="21">
        <v>0.15</v>
      </c>
      <c r="F30" s="68">
        <f>E30*F28</f>
        <v>29.992499999999996</v>
      </c>
      <c r="G30" s="32"/>
      <c r="H30" s="238"/>
      <c r="I30" s="33">
        <v>37.81</v>
      </c>
      <c r="J30" s="43">
        <f>F30*I30</f>
        <v>1134.016425</v>
      </c>
      <c r="K30" s="273">
        <f t="shared" si="0"/>
        <v>1134.016425</v>
      </c>
      <c r="L30" s="1"/>
    </row>
    <row r="31" spans="1:12" s="45" customFormat="1" ht="15" hidden="1" customHeight="1">
      <c r="A31" s="276"/>
      <c r="B31" s="98"/>
      <c r="C31" s="20"/>
      <c r="D31" s="41"/>
      <c r="E31" s="21"/>
      <c r="F31" s="68"/>
      <c r="G31" s="32"/>
      <c r="H31" s="43"/>
      <c r="I31" s="33"/>
      <c r="J31" s="43"/>
      <c r="K31" s="273"/>
      <c r="L31" s="1"/>
    </row>
    <row r="32" spans="1:12" s="45" customFormat="1" ht="15" hidden="1" customHeight="1">
      <c r="A32" s="257"/>
      <c r="B32" s="53" t="s">
        <v>49</v>
      </c>
      <c r="C32" s="265"/>
      <c r="D32" s="266"/>
      <c r="E32" s="267"/>
      <c r="F32" s="266"/>
      <c r="G32" s="57"/>
      <c r="H32" s="266"/>
      <c r="I32" s="59"/>
      <c r="J32" s="268"/>
      <c r="K32" s="269"/>
      <c r="L32" s="1"/>
    </row>
    <row r="33" spans="1:12" s="45" customFormat="1" ht="15" hidden="1" customHeight="1">
      <c r="A33" s="277">
        <f>A28+1</f>
        <v>6</v>
      </c>
      <c r="B33" s="83" t="s">
        <v>50</v>
      </c>
      <c r="C33" s="19" t="s">
        <v>20</v>
      </c>
      <c r="D33" s="19" t="s">
        <v>30</v>
      </c>
      <c r="E33" s="69"/>
      <c r="F33" s="84">
        <f>62.11+77.37+15.47</f>
        <v>154.95000000000002</v>
      </c>
      <c r="G33" s="32">
        <v>50</v>
      </c>
      <c r="H33" s="237">
        <f>F33*G33</f>
        <v>7747.5000000000009</v>
      </c>
      <c r="I33" s="33"/>
      <c r="J33" s="43"/>
      <c r="K33" s="271">
        <f t="shared" ref="K33:K44" si="1">H33+J33</f>
        <v>7747.5000000000009</v>
      </c>
      <c r="L33" s="1"/>
    </row>
    <row r="34" spans="1:12" s="44" customFormat="1" ht="15" hidden="1" customHeight="1">
      <c r="A34" s="259"/>
      <c r="B34" s="85" t="s">
        <v>37</v>
      </c>
      <c r="C34" s="19" t="s">
        <v>20</v>
      </c>
      <c r="D34" s="41" t="s">
        <v>19</v>
      </c>
      <c r="E34" s="21">
        <v>0.15</v>
      </c>
      <c r="F34" s="68">
        <f>E34*F33</f>
        <v>23.242500000000003</v>
      </c>
      <c r="G34" s="32"/>
      <c r="H34" s="238"/>
      <c r="I34" s="33">
        <v>37.81</v>
      </c>
      <c r="J34" s="43">
        <f>F34*I34</f>
        <v>878.79892500000017</v>
      </c>
      <c r="K34" s="273">
        <f t="shared" si="1"/>
        <v>878.79892500000017</v>
      </c>
      <c r="L34" s="1"/>
    </row>
    <row r="35" spans="1:12" s="45" customFormat="1" ht="15" customHeight="1">
      <c r="A35" s="277">
        <f>A33+1</f>
        <v>7</v>
      </c>
      <c r="B35" s="243" t="s">
        <v>42</v>
      </c>
      <c r="C35" s="19" t="s">
        <v>17</v>
      </c>
      <c r="D35" s="18" t="s">
        <v>30</v>
      </c>
      <c r="E35" s="64"/>
      <c r="F35" s="92">
        <f>F33</f>
        <v>154.95000000000002</v>
      </c>
      <c r="G35" s="32">
        <v>280</v>
      </c>
      <c r="H35" s="237">
        <f>F35*G35</f>
        <v>43386.000000000007</v>
      </c>
      <c r="I35" s="33"/>
      <c r="J35" s="93"/>
      <c r="K35" s="271">
        <f t="shared" si="1"/>
        <v>43386.000000000007</v>
      </c>
      <c r="L35" s="35"/>
    </row>
    <row r="36" spans="1:12" s="44" customFormat="1" ht="15" customHeight="1">
      <c r="A36" s="257"/>
      <c r="B36" s="94" t="s">
        <v>43</v>
      </c>
      <c r="C36" s="19" t="s">
        <v>17</v>
      </c>
      <c r="D36" s="67" t="s">
        <v>19</v>
      </c>
      <c r="E36" s="64">
        <v>13</v>
      </c>
      <c r="F36" s="68">
        <f>E36*F35</f>
        <v>2014.3500000000001</v>
      </c>
      <c r="G36" s="32"/>
      <c r="H36" s="238"/>
      <c r="I36" s="33"/>
      <c r="J36" s="43">
        <f>F36*I36</f>
        <v>0</v>
      </c>
      <c r="K36" s="261">
        <f t="shared" si="1"/>
        <v>0</v>
      </c>
      <c r="L36" s="1"/>
    </row>
    <row r="37" spans="1:12" s="45" customFormat="1" ht="15" hidden="1" customHeight="1">
      <c r="A37" s="262">
        <f>A35+1</f>
        <v>8</v>
      </c>
      <c r="B37" s="83" t="s">
        <v>44</v>
      </c>
      <c r="C37" s="19" t="s">
        <v>20</v>
      </c>
      <c r="D37" s="18" t="s">
        <v>30</v>
      </c>
      <c r="E37" s="64"/>
      <c r="F37" s="92">
        <f>F35</f>
        <v>154.95000000000002</v>
      </c>
      <c r="G37" s="32">
        <v>50</v>
      </c>
      <c r="H37" s="237">
        <f>F37*G37</f>
        <v>7747.5000000000009</v>
      </c>
      <c r="I37" s="33"/>
      <c r="J37" s="93"/>
      <c r="K37" s="271">
        <f t="shared" si="1"/>
        <v>7747.5000000000009</v>
      </c>
      <c r="L37" s="1"/>
    </row>
    <row r="38" spans="1:12" s="44" customFormat="1" ht="15" hidden="1" customHeight="1">
      <c r="A38" s="257"/>
      <c r="B38" s="85" t="s">
        <v>45</v>
      </c>
      <c r="C38" s="19" t="s">
        <v>20</v>
      </c>
      <c r="D38" s="67" t="s">
        <v>19</v>
      </c>
      <c r="E38" s="64">
        <v>0.15</v>
      </c>
      <c r="F38" s="68">
        <f>E38*F37</f>
        <v>23.242500000000003</v>
      </c>
      <c r="G38" s="32"/>
      <c r="H38" s="238"/>
      <c r="I38" s="33">
        <v>28.087</v>
      </c>
      <c r="J38" s="43">
        <f>F38*I38</f>
        <v>652.81209750000005</v>
      </c>
      <c r="K38" s="261">
        <f t="shared" si="1"/>
        <v>652.81209750000005</v>
      </c>
      <c r="L38" s="1"/>
    </row>
    <row r="39" spans="1:12" s="45" customFormat="1" ht="15" hidden="1" customHeight="1">
      <c r="A39" s="262">
        <f>A37+1</f>
        <v>9</v>
      </c>
      <c r="B39" s="95" t="s">
        <v>187</v>
      </c>
      <c r="C39" s="19" t="s">
        <v>20</v>
      </c>
      <c r="D39" s="18" t="s">
        <v>30</v>
      </c>
      <c r="E39" s="64"/>
      <c r="F39" s="92">
        <f>F33</f>
        <v>154.95000000000002</v>
      </c>
      <c r="G39" s="32">
        <v>250</v>
      </c>
      <c r="H39" s="237">
        <f>F39*G39</f>
        <v>38737.500000000007</v>
      </c>
      <c r="I39" s="33"/>
      <c r="J39" s="43"/>
      <c r="K39" s="271">
        <f t="shared" si="1"/>
        <v>38737.500000000007</v>
      </c>
      <c r="L39" s="1"/>
    </row>
    <row r="40" spans="1:12" s="44" customFormat="1" ht="15" hidden="1" customHeight="1">
      <c r="A40" s="257"/>
      <c r="B40" s="96" t="s">
        <v>46</v>
      </c>
      <c r="C40" s="19" t="s">
        <v>20</v>
      </c>
      <c r="D40" s="67" t="s">
        <v>19</v>
      </c>
      <c r="E40" s="64">
        <v>4</v>
      </c>
      <c r="F40" s="34">
        <f>E40*F39</f>
        <v>619.80000000000007</v>
      </c>
      <c r="G40" s="32"/>
      <c r="H40" s="242"/>
      <c r="I40" s="33">
        <v>4.9960000000000004</v>
      </c>
      <c r="J40" s="43">
        <f>F40*I40</f>
        <v>3096.5208000000007</v>
      </c>
      <c r="K40" s="273">
        <f t="shared" si="1"/>
        <v>3096.5208000000007</v>
      </c>
      <c r="L40" s="1"/>
    </row>
    <row r="41" spans="1:12" s="45" customFormat="1" ht="15" hidden="1" customHeight="1">
      <c r="A41" s="257"/>
      <c r="B41" s="85" t="s">
        <v>47</v>
      </c>
      <c r="C41" s="19" t="s">
        <v>20</v>
      </c>
      <c r="D41" s="67" t="s">
        <v>19</v>
      </c>
      <c r="E41" s="64">
        <v>1.8</v>
      </c>
      <c r="F41" s="34">
        <f>E41*F39</f>
        <v>278.91000000000003</v>
      </c>
      <c r="G41" s="32"/>
      <c r="H41" s="42"/>
      <c r="I41" s="33">
        <v>56.645999999999994</v>
      </c>
      <c r="J41" s="43">
        <f>F41*I41</f>
        <v>15799.13586</v>
      </c>
      <c r="K41" s="273">
        <f t="shared" si="1"/>
        <v>15799.13586</v>
      </c>
      <c r="L41" s="1"/>
    </row>
    <row r="42" spans="1:12" s="45" customFormat="1" ht="15" hidden="1" customHeight="1">
      <c r="A42" s="262">
        <f>A39+1</f>
        <v>10</v>
      </c>
      <c r="B42" s="61" t="s">
        <v>32</v>
      </c>
      <c r="C42" s="19" t="s">
        <v>20</v>
      </c>
      <c r="D42" s="38" t="s">
        <v>30</v>
      </c>
      <c r="E42" s="64"/>
      <c r="F42" s="97">
        <f>F33</f>
        <v>154.95000000000002</v>
      </c>
      <c r="G42" s="241">
        <v>200</v>
      </c>
      <c r="H42" s="235">
        <f>F42*G42</f>
        <v>30990.000000000004</v>
      </c>
      <c r="I42" s="33"/>
      <c r="J42" s="66"/>
      <c r="K42" s="260">
        <f t="shared" si="1"/>
        <v>30990.000000000004</v>
      </c>
      <c r="L42" s="1"/>
    </row>
    <row r="43" spans="1:12" s="44" customFormat="1" ht="15" hidden="1" customHeight="1">
      <c r="A43" s="257"/>
      <c r="B43" s="74" t="s">
        <v>173</v>
      </c>
      <c r="C43" s="19" t="s">
        <v>20</v>
      </c>
      <c r="D43" s="70" t="s">
        <v>21</v>
      </c>
      <c r="E43" s="64">
        <v>0.35</v>
      </c>
      <c r="F43" s="68">
        <f>E43*F42</f>
        <v>54.232500000000002</v>
      </c>
      <c r="G43" s="32"/>
      <c r="H43" s="236"/>
      <c r="I43" s="33">
        <v>122.50221999999999</v>
      </c>
      <c r="J43" s="73">
        <f>F43*I43</f>
        <v>6643.6016461500003</v>
      </c>
      <c r="K43" s="263">
        <f t="shared" si="1"/>
        <v>6643.6016461500003</v>
      </c>
      <c r="L43" s="1"/>
    </row>
    <row r="44" spans="1:12" s="44" customFormat="1" ht="15" hidden="1" customHeight="1">
      <c r="A44" s="278"/>
      <c r="B44" s="98" t="s">
        <v>37</v>
      </c>
      <c r="C44" s="19" t="s">
        <v>20</v>
      </c>
      <c r="D44" s="41" t="s">
        <v>19</v>
      </c>
      <c r="E44" s="21">
        <v>0.15</v>
      </c>
      <c r="F44" s="68">
        <f>E44*F42</f>
        <v>23.242500000000003</v>
      </c>
      <c r="G44" s="32"/>
      <c r="H44" s="238"/>
      <c r="I44" s="33">
        <v>37.81</v>
      </c>
      <c r="J44" s="43">
        <f>F44*I44</f>
        <v>878.79892500000017</v>
      </c>
      <c r="K44" s="273">
        <f t="shared" si="1"/>
        <v>878.79892500000017</v>
      </c>
      <c r="L44" s="1"/>
    </row>
    <row r="45" spans="1:12" s="45" customFormat="1" ht="15" hidden="1" customHeight="1">
      <c r="A45" s="279"/>
      <c r="B45" s="99"/>
      <c r="C45" s="100"/>
      <c r="D45" s="70"/>
      <c r="E45" s="21"/>
      <c r="F45" s="101"/>
      <c r="G45" s="32"/>
      <c r="H45" s="73"/>
      <c r="I45" s="33"/>
      <c r="J45" s="73"/>
      <c r="K45" s="263"/>
      <c r="L45" s="1"/>
    </row>
    <row r="46" spans="1:12" s="45" customFormat="1" ht="15" hidden="1" customHeight="1">
      <c r="A46" s="23"/>
      <c r="B46" s="24" t="s">
        <v>22</v>
      </c>
      <c r="C46" s="25"/>
      <c r="D46" s="26"/>
      <c r="E46" s="27"/>
      <c r="F46" s="28"/>
      <c r="G46" s="29"/>
      <c r="H46" s="29" t="str">
        <f>IF(ISBLANK(G46),"",G46*F46)</f>
        <v/>
      </c>
      <c r="I46" s="36"/>
      <c r="J46" s="30" t="str">
        <f>IF(ISBLANK(I46),"",I46*F46)</f>
        <v/>
      </c>
      <c r="K46" s="31"/>
      <c r="L46" s="1"/>
    </row>
    <row r="47" spans="1:12" s="45" customFormat="1" ht="15" hidden="1" customHeight="1">
      <c r="A47" s="257"/>
      <c r="B47" s="53" t="s">
        <v>51</v>
      </c>
      <c r="C47" s="265"/>
      <c r="D47" s="266"/>
      <c r="E47" s="267"/>
      <c r="F47" s="266"/>
      <c r="G47" s="57"/>
      <c r="H47" s="266"/>
      <c r="I47" s="59"/>
      <c r="J47" s="268"/>
      <c r="K47" s="269"/>
      <c r="L47" s="1"/>
    </row>
    <row r="48" spans="1:12" s="45" customFormat="1" ht="15" hidden="1" customHeight="1">
      <c r="A48" s="262">
        <f>A42+1</f>
        <v>11</v>
      </c>
      <c r="B48" s="61" t="s">
        <v>52</v>
      </c>
      <c r="C48" s="38" t="s">
        <v>20</v>
      </c>
      <c r="D48" s="38" t="s">
        <v>30</v>
      </c>
      <c r="E48" s="102"/>
      <c r="F48" s="97">
        <f>26.98+41</f>
        <v>67.98</v>
      </c>
      <c r="G48" s="32">
        <v>250</v>
      </c>
      <c r="H48" s="235">
        <f>F48*G48</f>
        <v>16995</v>
      </c>
      <c r="I48" s="33"/>
      <c r="J48" s="66"/>
      <c r="K48" s="260">
        <f t="shared" ref="K48:K56" si="2">H48+J48</f>
        <v>16995</v>
      </c>
      <c r="L48" s="1"/>
    </row>
    <row r="49" spans="1:12" s="44" customFormat="1" ht="15" hidden="1" customHeight="1">
      <c r="A49" s="279"/>
      <c r="B49" s="74" t="s">
        <v>53</v>
      </c>
      <c r="C49" s="38" t="s">
        <v>20</v>
      </c>
      <c r="D49" s="70" t="s">
        <v>19</v>
      </c>
      <c r="E49" s="102">
        <v>1.8</v>
      </c>
      <c r="F49" s="68">
        <f>E49*F48</f>
        <v>122.364</v>
      </c>
      <c r="G49" s="32"/>
      <c r="H49" s="236"/>
      <c r="I49" s="33">
        <v>8.7200000000000006</v>
      </c>
      <c r="J49" s="73">
        <f>F49*I49</f>
        <v>1067.0140800000001</v>
      </c>
      <c r="K49" s="263">
        <f t="shared" si="2"/>
        <v>1067.0140800000001</v>
      </c>
      <c r="L49" s="1"/>
    </row>
    <row r="50" spans="1:12" s="44" customFormat="1" ht="15" hidden="1" customHeight="1">
      <c r="A50" s="279"/>
      <c r="B50" s="74" t="s">
        <v>54</v>
      </c>
      <c r="C50" s="38" t="s">
        <v>20</v>
      </c>
      <c r="D50" s="70" t="s">
        <v>19</v>
      </c>
      <c r="E50" s="102">
        <v>1.8</v>
      </c>
      <c r="F50" s="68">
        <f>E50*F48</f>
        <v>122.364</v>
      </c>
      <c r="G50" s="32"/>
      <c r="H50" s="236"/>
      <c r="I50" s="33">
        <v>18.690000000000001</v>
      </c>
      <c r="J50" s="73">
        <f>F50*I50</f>
        <v>2286.9831600000002</v>
      </c>
      <c r="K50" s="263">
        <f t="shared" si="2"/>
        <v>2286.9831600000002</v>
      </c>
      <c r="L50" s="1"/>
    </row>
    <row r="51" spans="1:12" s="44" customFormat="1" ht="15" hidden="1" customHeight="1">
      <c r="A51" s="279"/>
      <c r="B51" s="74" t="s">
        <v>34</v>
      </c>
      <c r="C51" s="38" t="s">
        <v>20</v>
      </c>
      <c r="D51" s="70" t="s">
        <v>21</v>
      </c>
      <c r="E51" s="102">
        <v>0.15</v>
      </c>
      <c r="F51" s="68">
        <f>E51*F48</f>
        <v>10.197000000000001</v>
      </c>
      <c r="G51" s="32"/>
      <c r="H51" s="236"/>
      <c r="I51" s="33">
        <v>37.450000000000003</v>
      </c>
      <c r="J51" s="73">
        <f>F51*I51</f>
        <v>381.87765000000007</v>
      </c>
      <c r="K51" s="263">
        <f t="shared" si="2"/>
        <v>381.87765000000007</v>
      </c>
      <c r="L51" s="1"/>
    </row>
    <row r="52" spans="1:12" s="44" customFormat="1" ht="15" hidden="1" customHeight="1">
      <c r="A52" s="279"/>
      <c r="B52" s="74" t="s">
        <v>55</v>
      </c>
      <c r="C52" s="38" t="s">
        <v>20</v>
      </c>
      <c r="D52" s="70" t="s">
        <v>56</v>
      </c>
      <c r="E52" s="102">
        <v>0.1</v>
      </c>
      <c r="F52" s="68">
        <f>E52*F48</f>
        <v>6.7980000000000009</v>
      </c>
      <c r="G52" s="32"/>
      <c r="H52" s="236"/>
      <c r="I52" s="33">
        <v>19.260000000000002</v>
      </c>
      <c r="J52" s="73">
        <f>F52*I52</f>
        <v>130.92948000000004</v>
      </c>
      <c r="K52" s="263">
        <f t="shared" si="2"/>
        <v>130.92948000000004</v>
      </c>
      <c r="L52" s="1"/>
    </row>
    <row r="53" spans="1:12" s="44" customFormat="1" ht="15" hidden="1" customHeight="1">
      <c r="A53" s="279"/>
      <c r="B53" s="74" t="s">
        <v>57</v>
      </c>
      <c r="C53" s="38" t="s">
        <v>20</v>
      </c>
      <c r="D53" s="70" t="s">
        <v>58</v>
      </c>
      <c r="E53" s="102">
        <v>1.1000000000000001</v>
      </c>
      <c r="F53" s="68">
        <f>E53*F48</f>
        <v>74.778000000000006</v>
      </c>
      <c r="G53" s="32"/>
      <c r="H53" s="236"/>
      <c r="I53" s="33">
        <v>3.1240000000000001</v>
      </c>
      <c r="J53" s="73">
        <f>F53*I53</f>
        <v>233.60647200000002</v>
      </c>
      <c r="K53" s="263">
        <f t="shared" si="2"/>
        <v>233.60647200000002</v>
      </c>
      <c r="L53" s="1"/>
    </row>
    <row r="54" spans="1:12" s="45" customFormat="1" ht="15" hidden="1" customHeight="1">
      <c r="A54" s="280">
        <f>A48+1</f>
        <v>12</v>
      </c>
      <c r="B54" s="61" t="s">
        <v>59</v>
      </c>
      <c r="C54" s="38" t="s">
        <v>20</v>
      </c>
      <c r="D54" s="38" t="s">
        <v>30</v>
      </c>
      <c r="E54" s="102"/>
      <c r="F54" s="97">
        <f>F48</f>
        <v>67.98</v>
      </c>
      <c r="G54" s="241">
        <v>200</v>
      </c>
      <c r="H54" s="235">
        <f>F54*G54</f>
        <v>13596</v>
      </c>
      <c r="I54" s="33"/>
      <c r="J54" s="66"/>
      <c r="K54" s="260">
        <f t="shared" si="2"/>
        <v>13596</v>
      </c>
      <c r="L54" s="1"/>
    </row>
    <row r="55" spans="1:12" s="44" customFormat="1" ht="25.5" hidden="1" customHeight="1">
      <c r="A55" s="279"/>
      <c r="B55" s="103" t="s">
        <v>60</v>
      </c>
      <c r="C55" s="38" t="s">
        <v>20</v>
      </c>
      <c r="D55" s="70" t="s">
        <v>21</v>
      </c>
      <c r="E55" s="104">
        <v>0.35</v>
      </c>
      <c r="F55" s="68">
        <f>E55*F54</f>
        <v>23.792999999999999</v>
      </c>
      <c r="G55" s="32"/>
      <c r="H55" s="236"/>
      <c r="I55" s="33">
        <v>122.50221999999999</v>
      </c>
      <c r="J55" s="73">
        <f>F55*I55</f>
        <v>2914.6953204599999</v>
      </c>
      <c r="K55" s="263">
        <f t="shared" si="2"/>
        <v>2914.6953204599999</v>
      </c>
      <c r="L55" s="1"/>
    </row>
    <row r="56" spans="1:12" s="44" customFormat="1" ht="15" hidden="1" customHeight="1">
      <c r="A56" s="279"/>
      <c r="B56" s="105" t="s">
        <v>34</v>
      </c>
      <c r="C56" s="38" t="s">
        <v>20</v>
      </c>
      <c r="D56" s="70" t="s">
        <v>21</v>
      </c>
      <c r="E56" s="102">
        <v>0.15</v>
      </c>
      <c r="F56" s="68">
        <f>E56*F54</f>
        <v>10.197000000000001</v>
      </c>
      <c r="G56" s="32"/>
      <c r="H56" s="236"/>
      <c r="I56" s="33">
        <v>37.450000000000003</v>
      </c>
      <c r="J56" s="73">
        <f>F56*I56</f>
        <v>381.87765000000007</v>
      </c>
      <c r="K56" s="263">
        <f t="shared" si="2"/>
        <v>381.87765000000007</v>
      </c>
      <c r="L56" s="1"/>
    </row>
    <row r="57" spans="1:12" s="45" customFormat="1" ht="15" hidden="1" customHeight="1">
      <c r="A57" s="281"/>
      <c r="B57" s="76"/>
      <c r="C57" s="77"/>
      <c r="D57" s="76"/>
      <c r="E57" s="106"/>
      <c r="F57" s="107"/>
      <c r="G57" s="32"/>
      <c r="H57" s="81"/>
      <c r="I57" s="33"/>
      <c r="J57" s="82"/>
      <c r="K57" s="264"/>
      <c r="L57" s="1"/>
    </row>
    <row r="58" spans="1:12" s="45" customFormat="1" ht="15" hidden="1" customHeight="1">
      <c r="A58" s="257"/>
      <c r="B58" s="53" t="s">
        <v>61</v>
      </c>
      <c r="C58" s="53"/>
      <c r="D58" s="54"/>
      <c r="E58" s="55"/>
      <c r="F58" s="56"/>
      <c r="G58" s="57"/>
      <c r="H58" s="58"/>
      <c r="I58" s="59"/>
      <c r="J58" s="60"/>
      <c r="K58" s="258"/>
      <c r="L58" s="1"/>
    </row>
    <row r="59" spans="1:12" s="45" customFormat="1" ht="15" hidden="1" customHeight="1">
      <c r="A59" s="277">
        <f>A54+1</f>
        <v>13</v>
      </c>
      <c r="B59" s="61" t="s">
        <v>188</v>
      </c>
      <c r="C59" s="62" t="s">
        <v>29</v>
      </c>
      <c r="D59" s="63" t="s">
        <v>30</v>
      </c>
      <c r="E59" s="64"/>
      <c r="F59" s="65">
        <f>534.41+196.7</f>
        <v>731.1099999999999</v>
      </c>
      <c r="G59" s="32">
        <v>180</v>
      </c>
      <c r="H59" s="235">
        <f>F59*G59</f>
        <v>131599.79999999999</v>
      </c>
      <c r="I59" s="33"/>
      <c r="J59" s="66"/>
      <c r="K59" s="260">
        <f>H59+J59</f>
        <v>131599.79999999999</v>
      </c>
      <c r="L59" s="1"/>
    </row>
    <row r="60" spans="1:12" s="45" customFormat="1" ht="15" hidden="1" customHeight="1">
      <c r="A60" s="259"/>
      <c r="B60" s="41" t="s">
        <v>31</v>
      </c>
      <c r="C60" s="62" t="s">
        <v>29</v>
      </c>
      <c r="D60" s="67" t="s">
        <v>25</v>
      </c>
      <c r="E60" s="64">
        <v>0.02</v>
      </c>
      <c r="F60" s="68">
        <f>E60*F59</f>
        <v>14.622199999999998</v>
      </c>
      <c r="G60" s="32"/>
      <c r="H60" s="69"/>
      <c r="I60" s="33">
        <v>288.47499999999997</v>
      </c>
      <c r="J60" s="43">
        <f>F60*I60</f>
        <v>4218.1391449999992</v>
      </c>
      <c r="K60" s="261">
        <f>H60+J60</f>
        <v>4218.1391449999992</v>
      </c>
      <c r="L60" s="1"/>
    </row>
    <row r="61" spans="1:12" s="45" customFormat="1" ht="15" hidden="1" customHeight="1">
      <c r="A61" s="262">
        <f>A59+1</f>
        <v>14</v>
      </c>
      <c r="B61" s="61" t="s">
        <v>59</v>
      </c>
      <c r="C61" s="38" t="s">
        <v>20</v>
      </c>
      <c r="D61" s="63" t="s">
        <v>30</v>
      </c>
      <c r="E61" s="64"/>
      <c r="F61" s="65">
        <f>F59</f>
        <v>731.1099999999999</v>
      </c>
      <c r="G61" s="32">
        <v>200</v>
      </c>
      <c r="H61" s="235">
        <f>F61*G61</f>
        <v>146221.99999999997</v>
      </c>
      <c r="I61" s="33"/>
      <c r="J61" s="66"/>
      <c r="K61" s="260">
        <f>H61+J61</f>
        <v>146221.99999999997</v>
      </c>
      <c r="L61" s="1"/>
    </row>
    <row r="62" spans="1:12" s="44" customFormat="1" ht="25.5" hidden="1" customHeight="1">
      <c r="A62" s="259"/>
      <c r="B62" s="70" t="s">
        <v>33</v>
      </c>
      <c r="C62" s="38" t="s">
        <v>20</v>
      </c>
      <c r="D62" s="71" t="s">
        <v>21</v>
      </c>
      <c r="E62" s="64">
        <v>0.35</v>
      </c>
      <c r="F62" s="72">
        <f>F61*E62</f>
        <v>255.88849999999994</v>
      </c>
      <c r="G62" s="32"/>
      <c r="H62" s="236"/>
      <c r="I62" s="33">
        <v>122.50221999999999</v>
      </c>
      <c r="J62" s="73">
        <f>F62*I62</f>
        <v>31346.90932246999</v>
      </c>
      <c r="K62" s="263">
        <f>H62+J62</f>
        <v>31346.90932246999</v>
      </c>
      <c r="L62" s="1"/>
    </row>
    <row r="63" spans="1:12" s="44" customFormat="1" ht="15" hidden="1" customHeight="1">
      <c r="A63" s="259"/>
      <c r="B63" s="74" t="s">
        <v>34</v>
      </c>
      <c r="C63" s="38" t="s">
        <v>20</v>
      </c>
      <c r="D63" s="71" t="s">
        <v>21</v>
      </c>
      <c r="E63" s="64">
        <v>0.15</v>
      </c>
      <c r="F63" s="72">
        <f>F61*E63</f>
        <v>109.66649999999998</v>
      </c>
      <c r="G63" s="32"/>
      <c r="H63" s="236"/>
      <c r="I63" s="33">
        <v>37.450000000000003</v>
      </c>
      <c r="J63" s="73">
        <f>F63*I63</f>
        <v>4107.0104249999995</v>
      </c>
      <c r="K63" s="263">
        <f>H63+J63</f>
        <v>4107.0104249999995</v>
      </c>
      <c r="L63" s="1"/>
    </row>
    <row r="64" spans="1:12" s="45" customFormat="1" ht="15" hidden="1" customHeight="1">
      <c r="A64" s="257"/>
      <c r="B64" s="76"/>
      <c r="C64" s="77"/>
      <c r="D64" s="78"/>
      <c r="E64" s="79"/>
      <c r="F64" s="80"/>
      <c r="G64" s="32"/>
      <c r="H64" s="81"/>
      <c r="I64" s="33"/>
      <c r="J64" s="82"/>
      <c r="K64" s="264"/>
      <c r="L64" s="1"/>
    </row>
    <row r="65" spans="1:12" s="45" customFormat="1" ht="15" hidden="1" customHeight="1">
      <c r="A65" s="282"/>
      <c r="B65" s="53" t="s">
        <v>62</v>
      </c>
      <c r="C65" s="53"/>
      <c r="D65" s="54"/>
      <c r="E65" s="108"/>
      <c r="F65" s="56"/>
      <c r="G65" s="57"/>
      <c r="H65" s="58"/>
      <c r="I65" s="59"/>
      <c r="J65" s="60"/>
      <c r="K65" s="258"/>
      <c r="L65" s="1"/>
    </row>
    <row r="66" spans="1:12" s="45" customFormat="1" ht="15" customHeight="1">
      <c r="A66" s="262">
        <f>A61+1</f>
        <v>15</v>
      </c>
      <c r="B66" s="61" t="s">
        <v>63</v>
      </c>
      <c r="C66" s="38" t="s">
        <v>17</v>
      </c>
      <c r="D66" s="38" t="s">
        <v>30</v>
      </c>
      <c r="E66" s="102"/>
      <c r="F66" s="97">
        <v>170.62</v>
      </c>
      <c r="G66" s="32">
        <v>250</v>
      </c>
      <c r="H66" s="235">
        <f>F66*G66</f>
        <v>42655</v>
      </c>
      <c r="I66" s="33"/>
      <c r="J66" s="66"/>
      <c r="K66" s="260">
        <f t="shared" ref="K66:K77" si="3">H66+J66</f>
        <v>42655</v>
      </c>
      <c r="L66" s="1"/>
    </row>
    <row r="67" spans="1:12" s="44" customFormat="1" ht="15" customHeight="1">
      <c r="A67" s="259"/>
      <c r="B67" s="103" t="s">
        <v>64</v>
      </c>
      <c r="C67" s="38" t="s">
        <v>17</v>
      </c>
      <c r="D67" s="70" t="s">
        <v>56</v>
      </c>
      <c r="E67" s="102">
        <v>0.4</v>
      </c>
      <c r="F67" s="37">
        <f>F66*E67</f>
        <v>68.248000000000005</v>
      </c>
      <c r="G67" s="32"/>
      <c r="H67" s="244"/>
      <c r="I67" s="33"/>
      <c r="J67" s="73">
        <f>F67*I67</f>
        <v>0</v>
      </c>
      <c r="K67" s="263">
        <f t="shared" si="3"/>
        <v>0</v>
      </c>
      <c r="L67" s="1"/>
    </row>
    <row r="68" spans="1:12" s="44" customFormat="1" ht="15" customHeight="1">
      <c r="A68" s="283"/>
      <c r="B68" s="103" t="s">
        <v>65</v>
      </c>
      <c r="C68" s="38" t="s">
        <v>17</v>
      </c>
      <c r="D68" s="70" t="s">
        <v>56</v>
      </c>
      <c r="E68" s="102">
        <v>0.4</v>
      </c>
      <c r="F68" s="37">
        <f>F66*E68</f>
        <v>68.248000000000005</v>
      </c>
      <c r="G68" s="32"/>
      <c r="H68" s="244"/>
      <c r="I68" s="33"/>
      <c r="J68" s="73">
        <f>F68*I68</f>
        <v>0</v>
      </c>
      <c r="K68" s="263">
        <f t="shared" si="3"/>
        <v>0</v>
      </c>
      <c r="L68" s="1"/>
    </row>
    <row r="69" spans="1:12" s="44" customFormat="1" ht="15" customHeight="1">
      <c r="A69" s="279"/>
      <c r="B69" s="103" t="s">
        <v>66</v>
      </c>
      <c r="C69" s="38" t="s">
        <v>17</v>
      </c>
      <c r="D69" s="70" t="s">
        <v>19</v>
      </c>
      <c r="E69" s="102">
        <v>25</v>
      </c>
      <c r="F69" s="37">
        <f>F66*E69</f>
        <v>4265.5</v>
      </c>
      <c r="G69" s="32"/>
      <c r="H69" s="244"/>
      <c r="I69" s="33"/>
      <c r="J69" s="73">
        <f>F69*I69</f>
        <v>0</v>
      </c>
      <c r="K69" s="263">
        <f t="shared" si="3"/>
        <v>0</v>
      </c>
      <c r="L69" s="1"/>
    </row>
    <row r="70" spans="1:12" s="44" customFormat="1" ht="17.399999999999999" customHeight="1">
      <c r="A70" s="279"/>
      <c r="B70" s="103" t="s">
        <v>67</v>
      </c>
      <c r="C70" s="38" t="s">
        <v>17</v>
      </c>
      <c r="D70" s="70" t="s">
        <v>19</v>
      </c>
      <c r="E70" s="102">
        <v>0.3</v>
      </c>
      <c r="F70" s="37">
        <f>F66*E70</f>
        <v>51.186</v>
      </c>
      <c r="G70" s="32"/>
      <c r="H70" s="244"/>
      <c r="I70" s="33"/>
      <c r="J70" s="73">
        <f>F70*I70</f>
        <v>0</v>
      </c>
      <c r="K70" s="263">
        <f t="shared" si="3"/>
        <v>0</v>
      </c>
      <c r="L70" s="1"/>
    </row>
    <row r="71" spans="1:12" s="44" customFormat="1" ht="15" customHeight="1">
      <c r="A71" s="279"/>
      <c r="B71" s="103" t="s">
        <v>68</v>
      </c>
      <c r="C71" s="38" t="s">
        <v>17</v>
      </c>
      <c r="D71" s="70" t="s">
        <v>41</v>
      </c>
      <c r="E71" s="102">
        <v>0.1</v>
      </c>
      <c r="F71" s="37">
        <f>F66*E71</f>
        <v>17.062000000000001</v>
      </c>
      <c r="G71" s="32"/>
      <c r="H71" s="244"/>
      <c r="I71" s="33"/>
      <c r="J71" s="73">
        <f>F71*I71</f>
        <v>0</v>
      </c>
      <c r="K71" s="263">
        <f t="shared" si="3"/>
        <v>0</v>
      </c>
      <c r="L71" s="1"/>
    </row>
    <row r="72" spans="1:12" s="45" customFormat="1" ht="15" hidden="1" customHeight="1">
      <c r="A72" s="277">
        <f>A66+1</f>
        <v>16</v>
      </c>
      <c r="B72" s="61" t="s">
        <v>69</v>
      </c>
      <c r="C72" s="38" t="s">
        <v>23</v>
      </c>
      <c r="D72" s="38" t="s">
        <v>30</v>
      </c>
      <c r="E72" s="109"/>
      <c r="F72" s="97">
        <f>F66</f>
        <v>170.62</v>
      </c>
      <c r="G72" s="32">
        <v>1000</v>
      </c>
      <c r="H72" s="235">
        <f>F72*G72</f>
        <v>170620</v>
      </c>
      <c r="I72" s="33"/>
      <c r="J72" s="66"/>
      <c r="K72" s="260">
        <f t="shared" si="3"/>
        <v>170620</v>
      </c>
      <c r="L72" s="1"/>
    </row>
    <row r="73" spans="1:12" s="45" customFormat="1" ht="15" hidden="1" customHeight="1">
      <c r="A73" s="279"/>
      <c r="B73" s="105" t="s">
        <v>70</v>
      </c>
      <c r="C73" s="38" t="s">
        <v>23</v>
      </c>
      <c r="D73" s="70" t="s">
        <v>41</v>
      </c>
      <c r="E73" s="109">
        <v>1.1000000000000001</v>
      </c>
      <c r="F73" s="37">
        <f>F72*E73</f>
        <v>187.68200000000002</v>
      </c>
      <c r="G73" s="32"/>
      <c r="H73" s="110"/>
      <c r="I73" s="33">
        <v>874.16317000000004</v>
      </c>
      <c r="J73" s="73">
        <f>F73*I73</f>
        <v>164064.69207194002</v>
      </c>
      <c r="K73" s="263">
        <f t="shared" si="3"/>
        <v>164064.69207194002</v>
      </c>
      <c r="L73" s="1"/>
    </row>
    <row r="74" spans="1:12" s="44" customFormat="1" ht="15" hidden="1" customHeight="1">
      <c r="A74" s="279"/>
      <c r="B74" s="105" t="s">
        <v>34</v>
      </c>
      <c r="C74" s="38" t="s">
        <v>23</v>
      </c>
      <c r="D74" s="70" t="s">
        <v>21</v>
      </c>
      <c r="E74" s="109">
        <v>0.15</v>
      </c>
      <c r="F74" s="37">
        <f>F72*E74</f>
        <v>25.593</v>
      </c>
      <c r="G74" s="32"/>
      <c r="H74" s="244"/>
      <c r="I74" s="33">
        <v>37.450000000000003</v>
      </c>
      <c r="J74" s="73">
        <f>F74*I74</f>
        <v>958.45785000000012</v>
      </c>
      <c r="K74" s="263">
        <f t="shared" si="3"/>
        <v>958.45785000000012</v>
      </c>
      <c r="L74" s="1"/>
    </row>
    <row r="75" spans="1:12" s="44" customFormat="1" ht="15" hidden="1" customHeight="1">
      <c r="A75" s="279"/>
      <c r="B75" s="105" t="s">
        <v>71</v>
      </c>
      <c r="C75" s="38" t="s">
        <v>23</v>
      </c>
      <c r="D75" s="70" t="s">
        <v>19</v>
      </c>
      <c r="E75" s="109">
        <v>7.6</v>
      </c>
      <c r="F75" s="37">
        <f>F72*E75</f>
        <v>1296.712</v>
      </c>
      <c r="G75" s="32"/>
      <c r="H75" s="244"/>
      <c r="I75" s="33">
        <v>7.6</v>
      </c>
      <c r="J75" s="73">
        <f>F75*I75</f>
        <v>9855.011199999999</v>
      </c>
      <c r="K75" s="263">
        <f t="shared" si="3"/>
        <v>9855.011199999999</v>
      </c>
      <c r="L75" s="1"/>
    </row>
    <row r="76" spans="1:12" s="45" customFormat="1" ht="15" hidden="1" customHeight="1">
      <c r="A76" s="279"/>
      <c r="B76" s="105" t="s">
        <v>72</v>
      </c>
      <c r="C76" s="38" t="s">
        <v>23</v>
      </c>
      <c r="D76" s="70" t="s">
        <v>56</v>
      </c>
      <c r="E76" s="109">
        <v>11</v>
      </c>
      <c r="F76" s="37">
        <f>F72*E76</f>
        <v>1876.8200000000002</v>
      </c>
      <c r="G76" s="32"/>
      <c r="H76" s="110"/>
      <c r="I76" s="33">
        <v>1.3007599999999999</v>
      </c>
      <c r="J76" s="73">
        <f>F76*I76</f>
        <v>2441.2923832000001</v>
      </c>
      <c r="K76" s="263">
        <f t="shared" si="3"/>
        <v>2441.2923832000001</v>
      </c>
      <c r="L76" s="1"/>
    </row>
    <row r="77" spans="1:12" s="44" customFormat="1" ht="15" hidden="1" customHeight="1">
      <c r="A77" s="279"/>
      <c r="B77" s="105" t="s">
        <v>73</v>
      </c>
      <c r="C77" s="38" t="s">
        <v>23</v>
      </c>
      <c r="D77" s="70" t="s">
        <v>19</v>
      </c>
      <c r="E77" s="109">
        <v>0.4</v>
      </c>
      <c r="F77" s="37">
        <f>F72*E77</f>
        <v>68.248000000000005</v>
      </c>
      <c r="G77" s="32"/>
      <c r="H77" s="244"/>
      <c r="I77" s="33">
        <v>123.5</v>
      </c>
      <c r="J77" s="73">
        <f>F77*I77</f>
        <v>8428.6280000000006</v>
      </c>
      <c r="K77" s="263">
        <f t="shared" si="3"/>
        <v>8428.6280000000006</v>
      </c>
      <c r="L77" s="1"/>
    </row>
    <row r="78" spans="1:12" s="45" customFormat="1" ht="15" hidden="1" customHeight="1">
      <c r="A78" s="279"/>
      <c r="B78" s="105"/>
      <c r="C78" s="75"/>
      <c r="D78" s="70"/>
      <c r="E78" s="109"/>
      <c r="F78" s="37"/>
      <c r="G78" s="32"/>
      <c r="H78" s="110"/>
      <c r="I78" s="33"/>
      <c r="J78" s="73"/>
      <c r="K78" s="263"/>
      <c r="L78" s="1"/>
    </row>
    <row r="79" spans="1:12" s="45" customFormat="1" ht="15" hidden="1" customHeight="1">
      <c r="A79" s="284"/>
      <c r="B79" s="111" t="s">
        <v>74</v>
      </c>
      <c r="C79" s="112"/>
      <c r="D79" s="113"/>
      <c r="E79" s="114"/>
      <c r="F79" s="113"/>
      <c r="G79" s="57"/>
      <c r="H79" s="113"/>
      <c r="I79" s="59"/>
      <c r="J79" s="115"/>
      <c r="K79" s="285"/>
      <c r="L79" s="1"/>
    </row>
    <row r="80" spans="1:12" s="45" customFormat="1" ht="15" hidden="1" customHeight="1">
      <c r="A80" s="277">
        <f>A72+1</f>
        <v>17</v>
      </c>
      <c r="B80" s="61" t="s">
        <v>52</v>
      </c>
      <c r="C80" s="38" t="s">
        <v>20</v>
      </c>
      <c r="D80" s="38" t="s">
        <v>30</v>
      </c>
      <c r="E80" s="102"/>
      <c r="F80" s="97">
        <f>161.76+164.62+56.06</f>
        <v>382.44</v>
      </c>
      <c r="G80" s="32">
        <v>250</v>
      </c>
      <c r="H80" s="235">
        <f>F80*G80</f>
        <v>95610</v>
      </c>
      <c r="I80" s="33"/>
      <c r="J80" s="66"/>
      <c r="K80" s="260">
        <f t="shared" ref="K80:K88" si="4">H80+J80</f>
        <v>95610</v>
      </c>
      <c r="L80" s="1"/>
    </row>
    <row r="81" spans="1:15" s="44" customFormat="1" ht="15" hidden="1" customHeight="1">
      <c r="A81" s="279"/>
      <c r="B81" s="74" t="s">
        <v>53</v>
      </c>
      <c r="C81" s="38" t="s">
        <v>20</v>
      </c>
      <c r="D81" s="70" t="s">
        <v>19</v>
      </c>
      <c r="E81" s="102">
        <v>1.8</v>
      </c>
      <c r="F81" s="101">
        <f>E81*F80</f>
        <v>688.39200000000005</v>
      </c>
      <c r="G81" s="32"/>
      <c r="H81" s="236"/>
      <c r="I81" s="33">
        <v>8.7200000000000006</v>
      </c>
      <c r="J81" s="73">
        <f>F81*I81</f>
        <v>6002.7782400000006</v>
      </c>
      <c r="K81" s="263">
        <f t="shared" si="4"/>
        <v>6002.7782400000006</v>
      </c>
      <c r="L81" s="1"/>
    </row>
    <row r="82" spans="1:15" s="44" customFormat="1" ht="15" hidden="1" customHeight="1">
      <c r="A82" s="279"/>
      <c r="B82" s="74" t="s">
        <v>54</v>
      </c>
      <c r="C82" s="38" t="s">
        <v>20</v>
      </c>
      <c r="D82" s="70" t="s">
        <v>19</v>
      </c>
      <c r="E82" s="102">
        <v>1.8</v>
      </c>
      <c r="F82" s="101">
        <f>E82*F80</f>
        <v>688.39200000000005</v>
      </c>
      <c r="G82" s="32"/>
      <c r="H82" s="236"/>
      <c r="I82" s="33">
        <v>18.690000000000001</v>
      </c>
      <c r="J82" s="73">
        <f>F82*I82</f>
        <v>12866.046480000003</v>
      </c>
      <c r="K82" s="263">
        <f t="shared" si="4"/>
        <v>12866.046480000003</v>
      </c>
      <c r="L82" s="1"/>
    </row>
    <row r="83" spans="1:15" s="44" customFormat="1" ht="15" hidden="1" customHeight="1">
      <c r="A83" s="279"/>
      <c r="B83" s="74" t="s">
        <v>34</v>
      </c>
      <c r="C83" s="38" t="s">
        <v>20</v>
      </c>
      <c r="D83" s="70" t="s">
        <v>21</v>
      </c>
      <c r="E83" s="102">
        <v>0.15</v>
      </c>
      <c r="F83" s="101">
        <f>E83*F80</f>
        <v>57.366</v>
      </c>
      <c r="G83" s="32"/>
      <c r="H83" s="236"/>
      <c r="I83" s="33">
        <v>37.450000000000003</v>
      </c>
      <c r="J83" s="73">
        <f>F83*I83</f>
        <v>2148.3567000000003</v>
      </c>
      <c r="K83" s="263">
        <f t="shared" si="4"/>
        <v>2148.3567000000003</v>
      </c>
      <c r="L83" s="1"/>
    </row>
    <row r="84" spans="1:15" s="44" customFormat="1" ht="15" hidden="1" customHeight="1">
      <c r="A84" s="279"/>
      <c r="B84" s="74" t="s">
        <v>55</v>
      </c>
      <c r="C84" s="38" t="s">
        <v>20</v>
      </c>
      <c r="D84" s="70" t="s">
        <v>56</v>
      </c>
      <c r="E84" s="102">
        <v>0.1</v>
      </c>
      <c r="F84" s="101">
        <f>E84*F80</f>
        <v>38.244</v>
      </c>
      <c r="G84" s="32"/>
      <c r="H84" s="236"/>
      <c r="I84" s="33">
        <v>19.260000000000002</v>
      </c>
      <c r="J84" s="73">
        <f>F84*I84</f>
        <v>736.57944000000009</v>
      </c>
      <c r="K84" s="263">
        <f t="shared" si="4"/>
        <v>736.57944000000009</v>
      </c>
      <c r="L84" s="1"/>
    </row>
    <row r="85" spans="1:15" s="44" customFormat="1" ht="15" hidden="1" customHeight="1">
      <c r="A85" s="279"/>
      <c r="B85" s="74" t="s">
        <v>57</v>
      </c>
      <c r="C85" s="38" t="s">
        <v>20</v>
      </c>
      <c r="D85" s="70" t="s">
        <v>58</v>
      </c>
      <c r="E85" s="102">
        <v>1.1000000000000001</v>
      </c>
      <c r="F85" s="101">
        <f>E85*F80</f>
        <v>420.68400000000003</v>
      </c>
      <c r="G85" s="32"/>
      <c r="H85" s="236"/>
      <c r="I85" s="33">
        <v>3.1240000000000001</v>
      </c>
      <c r="J85" s="73">
        <f>F85*I85</f>
        <v>1314.2168160000001</v>
      </c>
      <c r="K85" s="263">
        <f t="shared" si="4"/>
        <v>1314.2168160000001</v>
      </c>
      <c r="L85" s="1"/>
    </row>
    <row r="86" spans="1:15" s="45" customFormat="1" ht="15" hidden="1" customHeight="1">
      <c r="A86" s="279">
        <f>A80+1</f>
        <v>18</v>
      </c>
      <c r="B86" s="61" t="s">
        <v>59</v>
      </c>
      <c r="C86" s="38" t="s">
        <v>20</v>
      </c>
      <c r="D86" s="38" t="s">
        <v>30</v>
      </c>
      <c r="E86" s="102"/>
      <c r="F86" s="97">
        <f>F80</f>
        <v>382.44</v>
      </c>
      <c r="G86" s="32">
        <v>200</v>
      </c>
      <c r="H86" s="235">
        <f>F86*G86</f>
        <v>76488</v>
      </c>
      <c r="I86" s="33"/>
      <c r="J86" s="66"/>
      <c r="K86" s="260">
        <f t="shared" si="4"/>
        <v>76488</v>
      </c>
      <c r="L86" s="1"/>
    </row>
    <row r="87" spans="1:15" s="44" customFormat="1" ht="25.5" hidden="1" customHeight="1">
      <c r="A87" s="279"/>
      <c r="B87" s="103" t="s">
        <v>60</v>
      </c>
      <c r="C87" s="38" t="s">
        <v>20</v>
      </c>
      <c r="D87" s="70" t="s">
        <v>21</v>
      </c>
      <c r="E87" s="104">
        <v>0.35</v>
      </c>
      <c r="F87" s="101">
        <f>E87*F86</f>
        <v>133.85399999999998</v>
      </c>
      <c r="G87" s="32"/>
      <c r="H87" s="236"/>
      <c r="I87" s="33">
        <v>122.50221999999999</v>
      </c>
      <c r="J87" s="73">
        <f>F87*I87</f>
        <v>16397.412155879996</v>
      </c>
      <c r="K87" s="263">
        <f t="shared" si="4"/>
        <v>16397.412155879996</v>
      </c>
      <c r="L87" s="1"/>
    </row>
    <row r="88" spans="1:15" s="44" customFormat="1" ht="15" hidden="1" customHeight="1">
      <c r="A88" s="279"/>
      <c r="B88" s="105" t="s">
        <v>34</v>
      </c>
      <c r="C88" s="38" t="s">
        <v>20</v>
      </c>
      <c r="D88" s="70" t="s">
        <v>21</v>
      </c>
      <c r="E88" s="102">
        <v>0.15</v>
      </c>
      <c r="F88" s="101">
        <f>E88*F86</f>
        <v>57.366</v>
      </c>
      <c r="G88" s="32"/>
      <c r="H88" s="236"/>
      <c r="I88" s="33">
        <v>37.450000000000003</v>
      </c>
      <c r="J88" s="73">
        <f>F88*I88</f>
        <v>2148.3567000000003</v>
      </c>
      <c r="K88" s="263">
        <f t="shared" si="4"/>
        <v>2148.3567000000003</v>
      </c>
      <c r="L88" s="1"/>
    </row>
    <row r="89" spans="1:15" s="45" customFormat="1" ht="15" hidden="1" customHeight="1">
      <c r="A89" s="279"/>
      <c r="B89" s="70"/>
      <c r="C89" s="38"/>
      <c r="D89" s="70"/>
      <c r="E89" s="79"/>
      <c r="F89" s="37"/>
      <c r="G89" s="32"/>
      <c r="H89" s="116"/>
      <c r="I89" s="33"/>
      <c r="J89" s="73"/>
      <c r="K89" s="263"/>
      <c r="L89" s="1"/>
    </row>
    <row r="90" spans="1:15" s="45" customFormat="1" ht="15" hidden="1" customHeight="1">
      <c r="A90" s="284"/>
      <c r="B90" s="70"/>
      <c r="C90" s="38"/>
      <c r="D90" s="70"/>
      <c r="E90" s="79"/>
      <c r="F90" s="37"/>
      <c r="G90" s="32"/>
      <c r="H90" s="116"/>
      <c r="I90" s="33"/>
      <c r="J90" s="73"/>
      <c r="K90" s="263"/>
      <c r="L90" s="1"/>
    </row>
    <row r="91" spans="1:15" s="45" customFormat="1" ht="15" hidden="1" customHeight="1">
      <c r="A91" s="23"/>
      <c r="B91" s="24" t="s">
        <v>75</v>
      </c>
      <c r="C91" s="25"/>
      <c r="D91" s="26"/>
      <c r="E91" s="27"/>
      <c r="F91" s="28"/>
      <c r="G91" s="29"/>
      <c r="H91" s="29" t="str">
        <f>IF(ISBLANK(G91),"",G91*F91)</f>
        <v/>
      </c>
      <c r="I91" s="36"/>
      <c r="J91" s="30" t="str">
        <f>IF(ISBLANK(I91),"",I91*F91)</f>
        <v/>
      </c>
      <c r="K91" s="31"/>
      <c r="L91" s="1"/>
    </row>
    <row r="92" spans="1:15" s="45" customFormat="1" ht="25.5" hidden="1" customHeight="1">
      <c r="A92" s="282"/>
      <c r="B92" s="53" t="s">
        <v>76</v>
      </c>
      <c r="C92" s="265"/>
      <c r="D92" s="266"/>
      <c r="E92" s="267"/>
      <c r="F92" s="266"/>
      <c r="G92" s="57"/>
      <c r="H92" s="266"/>
      <c r="I92" s="59"/>
      <c r="J92" s="268"/>
      <c r="K92" s="269"/>
      <c r="L92" s="1"/>
    </row>
    <row r="93" spans="1:15" s="140" customFormat="1" ht="15" hidden="1" customHeight="1">
      <c r="A93" s="286">
        <f>A86+1</f>
        <v>19</v>
      </c>
      <c r="B93" s="61" t="s">
        <v>77</v>
      </c>
      <c r="C93" s="38" t="s">
        <v>23</v>
      </c>
      <c r="D93" s="38" t="s">
        <v>30</v>
      </c>
      <c r="E93" s="64"/>
      <c r="F93" s="97">
        <f>327.16</f>
        <v>327.16000000000003</v>
      </c>
      <c r="G93" s="32">
        <v>670</v>
      </c>
      <c r="H93" s="235">
        <f>F93*G93</f>
        <v>219197.2</v>
      </c>
      <c r="I93" s="33"/>
      <c r="J93" s="66"/>
      <c r="K93" s="260">
        <f t="shared" ref="K93:K107" si="5">H93+J93</f>
        <v>219197.2</v>
      </c>
      <c r="L93" s="141"/>
      <c r="M93" s="139"/>
      <c r="N93" s="139"/>
      <c r="O93" s="138"/>
    </row>
    <row r="94" spans="1:15" s="140" customFormat="1" ht="15" hidden="1" customHeight="1">
      <c r="A94" s="287"/>
      <c r="B94" s="105" t="s">
        <v>24</v>
      </c>
      <c r="C94" s="38" t="s">
        <v>23</v>
      </c>
      <c r="D94" s="70" t="s">
        <v>41</v>
      </c>
      <c r="E94" s="64">
        <v>1.1000000000000001</v>
      </c>
      <c r="F94" s="37">
        <v>315.63400000000007</v>
      </c>
      <c r="G94" s="32"/>
      <c r="H94" s="110"/>
      <c r="I94" s="33">
        <v>401.24249999999995</v>
      </c>
      <c r="J94" s="73">
        <f t="shared" ref="J94:J99" si="6">F94*I94</f>
        <v>126645.77524500001</v>
      </c>
      <c r="K94" s="263">
        <f t="shared" si="5"/>
        <v>126645.77524500001</v>
      </c>
      <c r="L94" s="141"/>
    </row>
    <row r="95" spans="1:15" s="140" customFormat="1" ht="15" hidden="1" customHeight="1">
      <c r="A95" s="287"/>
      <c r="B95" s="105" t="s">
        <v>78</v>
      </c>
      <c r="C95" s="38" t="s">
        <v>23</v>
      </c>
      <c r="D95" s="70" t="s">
        <v>41</v>
      </c>
      <c r="E95" s="64">
        <v>1.1000000000000001</v>
      </c>
      <c r="F95" s="37">
        <v>44.242000000000004</v>
      </c>
      <c r="G95" s="32"/>
      <c r="H95" s="110"/>
      <c r="I95" s="33">
        <v>874.16317000000004</v>
      </c>
      <c r="J95" s="73">
        <f t="shared" si="6"/>
        <v>38674.726967140006</v>
      </c>
      <c r="K95" s="263">
        <f t="shared" si="5"/>
        <v>38674.726967140006</v>
      </c>
      <c r="L95" s="138"/>
    </row>
    <row r="96" spans="1:15" s="44" customFormat="1" ht="15" hidden="1" customHeight="1">
      <c r="A96" s="287"/>
      <c r="B96" s="105" t="s">
        <v>34</v>
      </c>
      <c r="C96" s="38" t="s">
        <v>23</v>
      </c>
      <c r="D96" s="70" t="s">
        <v>21</v>
      </c>
      <c r="E96" s="64">
        <v>0.15</v>
      </c>
      <c r="F96" s="37">
        <v>49.074000000000005</v>
      </c>
      <c r="G96" s="32"/>
      <c r="H96" s="244"/>
      <c r="I96" s="33">
        <v>37.450000000000003</v>
      </c>
      <c r="J96" s="73">
        <f t="shared" si="6"/>
        <v>1837.8213000000003</v>
      </c>
      <c r="K96" s="263">
        <f t="shared" si="5"/>
        <v>1837.8213000000003</v>
      </c>
      <c r="L96" s="1"/>
    </row>
    <row r="97" spans="1:12" s="44" customFormat="1" ht="15" hidden="1" customHeight="1">
      <c r="A97" s="284"/>
      <c r="B97" s="105" t="s">
        <v>71</v>
      </c>
      <c r="C97" s="38" t="s">
        <v>23</v>
      </c>
      <c r="D97" s="70" t="s">
        <v>19</v>
      </c>
      <c r="E97" s="64">
        <v>7.6</v>
      </c>
      <c r="F97" s="37">
        <v>2486.4160000000002</v>
      </c>
      <c r="G97" s="32"/>
      <c r="H97" s="244"/>
      <c r="I97" s="33">
        <v>7.6</v>
      </c>
      <c r="J97" s="73">
        <f t="shared" si="6"/>
        <v>18896.761600000002</v>
      </c>
      <c r="K97" s="263">
        <f t="shared" si="5"/>
        <v>18896.761600000002</v>
      </c>
      <c r="L97" s="1"/>
    </row>
    <row r="98" spans="1:12" s="45" customFormat="1" ht="15" hidden="1" customHeight="1">
      <c r="A98" s="284"/>
      <c r="B98" s="105" t="s">
        <v>72</v>
      </c>
      <c r="C98" s="38" t="s">
        <v>23</v>
      </c>
      <c r="D98" s="70" t="s">
        <v>56</v>
      </c>
      <c r="E98" s="64">
        <v>11</v>
      </c>
      <c r="F98" s="37">
        <v>3598.76</v>
      </c>
      <c r="G98" s="32"/>
      <c r="H98" s="110"/>
      <c r="I98" s="33">
        <v>1.3007599999999999</v>
      </c>
      <c r="J98" s="73">
        <f t="shared" si="6"/>
        <v>4681.1230575999998</v>
      </c>
      <c r="K98" s="263">
        <f t="shared" si="5"/>
        <v>4681.1230575999998</v>
      </c>
      <c r="L98" s="1"/>
    </row>
    <row r="99" spans="1:12" s="44" customFormat="1" ht="15" hidden="1" customHeight="1">
      <c r="A99" s="284"/>
      <c r="B99" s="105" t="s">
        <v>73</v>
      </c>
      <c r="C99" s="38" t="s">
        <v>23</v>
      </c>
      <c r="D99" s="70" t="s">
        <v>19</v>
      </c>
      <c r="E99" s="64">
        <v>0.4</v>
      </c>
      <c r="F99" s="37">
        <v>130.864</v>
      </c>
      <c r="G99" s="32"/>
      <c r="H99" s="244"/>
      <c r="I99" s="33">
        <v>123.5</v>
      </c>
      <c r="J99" s="73">
        <f t="shared" si="6"/>
        <v>16161.704</v>
      </c>
      <c r="K99" s="263">
        <f t="shared" si="5"/>
        <v>16161.704</v>
      </c>
      <c r="L99" s="1"/>
    </row>
    <row r="100" spans="1:12" s="45" customFormat="1" ht="25.5" hidden="1" customHeight="1">
      <c r="A100" s="288">
        <f>A93+1</f>
        <v>20</v>
      </c>
      <c r="B100" s="61" t="s">
        <v>79</v>
      </c>
      <c r="C100" s="38" t="s">
        <v>29</v>
      </c>
      <c r="D100" s="38" t="s">
        <v>30</v>
      </c>
      <c r="E100" s="64"/>
      <c r="F100" s="97">
        <v>327.16000000000003</v>
      </c>
      <c r="G100" s="32">
        <v>250</v>
      </c>
      <c r="H100" s="235">
        <f>F100*G100</f>
        <v>81790</v>
      </c>
      <c r="I100" s="33"/>
      <c r="J100" s="66"/>
      <c r="K100" s="260">
        <f t="shared" si="5"/>
        <v>81790</v>
      </c>
      <c r="L100" s="1"/>
    </row>
    <row r="101" spans="1:12" s="44" customFormat="1" ht="15" hidden="1" customHeight="1">
      <c r="A101" s="284"/>
      <c r="B101" s="105" t="s">
        <v>80</v>
      </c>
      <c r="C101" s="38" t="s">
        <v>29</v>
      </c>
      <c r="D101" s="70" t="s">
        <v>81</v>
      </c>
      <c r="E101" s="64">
        <f>499*0.085*1.02/1000</f>
        <v>4.3263300000000011E-2</v>
      </c>
      <c r="F101" s="37">
        <f>F100*E101</f>
        <v>14.154021228000005</v>
      </c>
      <c r="G101" s="32"/>
      <c r="H101" s="244"/>
      <c r="I101" s="33">
        <v>5473.05</v>
      </c>
      <c r="J101" s="73">
        <f t="shared" ref="J101:J107" si="7">F101*I101</f>
        <v>77465.665881905428</v>
      </c>
      <c r="K101" s="263">
        <f t="shared" si="5"/>
        <v>77465.665881905428</v>
      </c>
      <c r="L101" s="1"/>
    </row>
    <row r="102" spans="1:12" s="44" customFormat="1" ht="15" hidden="1" customHeight="1">
      <c r="A102" s="284"/>
      <c r="B102" s="105" t="s">
        <v>82</v>
      </c>
      <c r="C102" s="38" t="s">
        <v>29</v>
      </c>
      <c r="D102" s="70" t="s">
        <v>81</v>
      </c>
      <c r="E102" s="64">
        <f>1792*0.8*0.085*1.02/1000</f>
        <v>0.12429312000000003</v>
      </c>
      <c r="F102" s="37">
        <f>F100*E102</f>
        <v>40.663737139200016</v>
      </c>
      <c r="G102" s="32"/>
      <c r="H102" s="244"/>
      <c r="I102" s="33">
        <v>823.63</v>
      </c>
      <c r="J102" s="73">
        <f t="shared" si="7"/>
        <v>33491.873819959306</v>
      </c>
      <c r="K102" s="263">
        <f t="shared" si="5"/>
        <v>33491.873819959306</v>
      </c>
      <c r="L102" s="1"/>
    </row>
    <row r="103" spans="1:12" s="45" customFormat="1" ht="15" hidden="1" customHeight="1">
      <c r="A103" s="284"/>
      <c r="B103" s="105" t="s">
        <v>83</v>
      </c>
      <c r="C103" s="38" t="s">
        <v>29</v>
      </c>
      <c r="D103" s="70" t="s">
        <v>81</v>
      </c>
      <c r="E103" s="64">
        <f>1792*0.2*0.85*1.02/1000</f>
        <v>0.31073280000000003</v>
      </c>
      <c r="F103" s="37">
        <f>F100*E103</f>
        <v>101.65934284800002</v>
      </c>
      <c r="G103" s="32"/>
      <c r="H103" s="110"/>
      <c r="I103" s="33">
        <v>374.49299999999999</v>
      </c>
      <c r="J103" s="73">
        <f t="shared" si="7"/>
        <v>38070.712281176071</v>
      </c>
      <c r="K103" s="263">
        <f t="shared" si="5"/>
        <v>38070.712281176071</v>
      </c>
      <c r="L103" s="1"/>
    </row>
    <row r="104" spans="1:12" s="45" customFormat="1" ht="15" hidden="1" customHeight="1">
      <c r="A104" s="284"/>
      <c r="B104" s="105" t="s">
        <v>84</v>
      </c>
      <c r="C104" s="38" t="s">
        <v>29</v>
      </c>
      <c r="D104" s="70" t="s">
        <v>41</v>
      </c>
      <c r="E104" s="64">
        <v>1.1000000000000001</v>
      </c>
      <c r="F104" s="37">
        <f>F100*E104</f>
        <v>359.87600000000003</v>
      </c>
      <c r="G104" s="32"/>
      <c r="H104" s="110"/>
      <c r="I104" s="33">
        <v>115.91449999999999</v>
      </c>
      <c r="J104" s="73">
        <f t="shared" si="7"/>
        <v>41714.846601999998</v>
      </c>
      <c r="K104" s="263">
        <f t="shared" si="5"/>
        <v>41714.846601999998</v>
      </c>
      <c r="L104" s="1"/>
    </row>
    <row r="105" spans="1:12" s="44" customFormat="1" ht="15" hidden="1" customHeight="1">
      <c r="A105" s="284"/>
      <c r="B105" s="105" t="s">
        <v>85</v>
      </c>
      <c r="C105" s="38" t="s">
        <v>29</v>
      </c>
      <c r="D105" s="70" t="s">
        <v>81</v>
      </c>
      <c r="E105" s="64">
        <f>0.21/1000</f>
        <v>2.0999999999999998E-4</v>
      </c>
      <c r="F105" s="37">
        <f>F100*E105</f>
        <v>6.8703600000000004E-2</v>
      </c>
      <c r="G105" s="32"/>
      <c r="H105" s="244"/>
      <c r="I105" s="33">
        <v>56431.8</v>
      </c>
      <c r="J105" s="73">
        <f t="shared" si="7"/>
        <v>3877.0678144800004</v>
      </c>
      <c r="K105" s="263">
        <f t="shared" si="5"/>
        <v>3877.0678144800004</v>
      </c>
      <c r="L105" s="1"/>
    </row>
    <row r="106" spans="1:12" s="45" customFormat="1" ht="15" hidden="1" customHeight="1">
      <c r="A106" s="284"/>
      <c r="B106" s="105" t="s">
        <v>86</v>
      </c>
      <c r="C106" s="38" t="s">
        <v>29</v>
      </c>
      <c r="D106" s="70" t="s">
        <v>56</v>
      </c>
      <c r="E106" s="64">
        <v>4</v>
      </c>
      <c r="F106" s="37">
        <f>F100*E106</f>
        <v>1308.6400000000001</v>
      </c>
      <c r="G106" s="32"/>
      <c r="H106" s="110"/>
      <c r="I106" s="33">
        <v>0.67135999999999996</v>
      </c>
      <c r="J106" s="73">
        <f t="shared" si="7"/>
        <v>878.56855040000005</v>
      </c>
      <c r="K106" s="263">
        <f t="shared" si="5"/>
        <v>878.56855040000005</v>
      </c>
      <c r="L106" s="1"/>
    </row>
    <row r="107" spans="1:12" s="44" customFormat="1" ht="15" hidden="1" customHeight="1">
      <c r="A107" s="284"/>
      <c r="B107" s="105" t="s">
        <v>87</v>
      </c>
      <c r="C107" s="38" t="s">
        <v>29</v>
      </c>
      <c r="D107" s="70" t="s">
        <v>58</v>
      </c>
      <c r="E107" s="64"/>
      <c r="F107" s="37">
        <f>F100</f>
        <v>327.16000000000003</v>
      </c>
      <c r="G107" s="32"/>
      <c r="H107" s="244"/>
      <c r="I107" s="33">
        <v>7.0979999999999999</v>
      </c>
      <c r="J107" s="73">
        <f t="shared" si="7"/>
        <v>2322.1816800000001</v>
      </c>
      <c r="K107" s="263">
        <f t="shared" si="5"/>
        <v>2322.1816800000001</v>
      </c>
      <c r="L107" s="1"/>
    </row>
    <row r="108" spans="1:12" s="45" customFormat="1" ht="15" hidden="1" customHeight="1">
      <c r="A108" s="284"/>
      <c r="B108" s="105"/>
      <c r="C108" s="75"/>
      <c r="D108" s="70"/>
      <c r="E108" s="64"/>
      <c r="F108" s="37"/>
      <c r="G108" s="32"/>
      <c r="H108" s="110"/>
      <c r="I108" s="33"/>
      <c r="J108" s="73"/>
      <c r="K108" s="263"/>
      <c r="L108" s="1"/>
    </row>
    <row r="109" spans="1:12" s="45" customFormat="1" ht="15" hidden="1" customHeight="1">
      <c r="A109" s="282"/>
      <c r="B109" s="117" t="s">
        <v>88</v>
      </c>
      <c r="C109" s="265"/>
      <c r="D109" s="266"/>
      <c r="E109" s="267"/>
      <c r="F109" s="266"/>
      <c r="G109" s="57"/>
      <c r="H109" s="266"/>
      <c r="I109" s="59"/>
      <c r="J109" s="268"/>
      <c r="K109" s="269"/>
      <c r="L109" s="1"/>
    </row>
    <row r="110" spans="1:12" s="45" customFormat="1" ht="15" hidden="1" customHeight="1">
      <c r="A110" s="288">
        <f>A100+1</f>
        <v>21</v>
      </c>
      <c r="B110" s="61" t="s">
        <v>77</v>
      </c>
      <c r="C110" s="38" t="s">
        <v>23</v>
      </c>
      <c r="D110" s="38" t="s">
        <v>30</v>
      </c>
      <c r="E110" s="102"/>
      <c r="F110" s="97">
        <v>52.89</v>
      </c>
      <c r="G110" s="32">
        <v>670</v>
      </c>
      <c r="H110" s="235">
        <f>F110*G110</f>
        <v>35436.300000000003</v>
      </c>
      <c r="I110" s="33"/>
      <c r="J110" s="66"/>
      <c r="K110" s="260">
        <f t="shared" ref="K110:K131" si="8">H110+J110</f>
        <v>35436.300000000003</v>
      </c>
      <c r="L110" s="1"/>
    </row>
    <row r="111" spans="1:12" s="45" customFormat="1" ht="15" hidden="1" customHeight="1">
      <c r="A111" s="284"/>
      <c r="B111" s="105" t="s">
        <v>24</v>
      </c>
      <c r="C111" s="38" t="s">
        <v>23</v>
      </c>
      <c r="D111" s="70" t="s">
        <v>41</v>
      </c>
      <c r="E111" s="102">
        <v>1.1000000000000001</v>
      </c>
      <c r="F111" s="37">
        <f>F110*E111</f>
        <v>58.179000000000002</v>
      </c>
      <c r="G111" s="32"/>
      <c r="H111" s="110"/>
      <c r="I111" s="33">
        <v>401.24249999999995</v>
      </c>
      <c r="J111" s="73">
        <f>F111*I111</f>
        <v>23343.887407499999</v>
      </c>
      <c r="K111" s="263">
        <f t="shared" si="8"/>
        <v>23343.887407499999</v>
      </c>
      <c r="L111" s="1"/>
    </row>
    <row r="112" spans="1:12" s="44" customFormat="1" ht="15" hidden="1" customHeight="1">
      <c r="A112" s="284"/>
      <c r="B112" s="105" t="s">
        <v>34</v>
      </c>
      <c r="C112" s="38" t="s">
        <v>23</v>
      </c>
      <c r="D112" s="70" t="s">
        <v>21</v>
      </c>
      <c r="E112" s="102">
        <v>0.2</v>
      </c>
      <c r="F112" s="37">
        <f>F110*E112</f>
        <v>10.578000000000001</v>
      </c>
      <c r="G112" s="32"/>
      <c r="H112" s="244"/>
      <c r="I112" s="33">
        <v>37.450000000000003</v>
      </c>
      <c r="J112" s="73">
        <f>F112*I112</f>
        <v>396.14610000000005</v>
      </c>
      <c r="K112" s="263">
        <f t="shared" si="8"/>
        <v>396.14610000000005</v>
      </c>
      <c r="L112" s="1"/>
    </row>
    <row r="113" spans="1:12" s="44" customFormat="1" ht="15" hidden="1" customHeight="1">
      <c r="A113" s="284"/>
      <c r="B113" s="105" t="s">
        <v>71</v>
      </c>
      <c r="C113" s="38" t="s">
        <v>23</v>
      </c>
      <c r="D113" s="70" t="s">
        <v>19</v>
      </c>
      <c r="E113" s="102">
        <v>7.6</v>
      </c>
      <c r="F113" s="37">
        <f>F110*E113</f>
        <v>401.964</v>
      </c>
      <c r="G113" s="32"/>
      <c r="H113" s="244"/>
      <c r="I113" s="33">
        <v>7.6</v>
      </c>
      <c r="J113" s="73">
        <f>F113*I113</f>
        <v>3054.9263999999998</v>
      </c>
      <c r="K113" s="263">
        <f t="shared" si="8"/>
        <v>3054.9263999999998</v>
      </c>
      <c r="L113" s="1"/>
    </row>
    <row r="114" spans="1:12" s="45" customFormat="1" ht="15" hidden="1" customHeight="1">
      <c r="A114" s="284"/>
      <c r="B114" s="105" t="s">
        <v>72</v>
      </c>
      <c r="C114" s="38" t="s">
        <v>23</v>
      </c>
      <c r="D114" s="70" t="s">
        <v>56</v>
      </c>
      <c r="E114" s="102">
        <v>11</v>
      </c>
      <c r="F114" s="37">
        <f>F110*E114</f>
        <v>581.79</v>
      </c>
      <c r="G114" s="32"/>
      <c r="H114" s="110"/>
      <c r="I114" s="33">
        <v>1.3007599999999999</v>
      </c>
      <c r="J114" s="73">
        <f>F114*I114</f>
        <v>756.76916039999992</v>
      </c>
      <c r="K114" s="263">
        <f t="shared" si="8"/>
        <v>756.76916039999992</v>
      </c>
      <c r="L114" s="1"/>
    </row>
    <row r="115" spans="1:12" s="44" customFormat="1" ht="15" hidden="1" customHeight="1">
      <c r="A115" s="284"/>
      <c r="B115" s="105" t="s">
        <v>73</v>
      </c>
      <c r="C115" s="38" t="s">
        <v>23</v>
      </c>
      <c r="D115" s="70" t="s">
        <v>19</v>
      </c>
      <c r="E115" s="102">
        <v>0.4</v>
      </c>
      <c r="F115" s="37">
        <f>F110*E115</f>
        <v>21.156000000000002</v>
      </c>
      <c r="G115" s="32"/>
      <c r="H115" s="244"/>
      <c r="I115" s="33">
        <v>123.5</v>
      </c>
      <c r="J115" s="73">
        <f>F115*I115</f>
        <v>2612.7660000000001</v>
      </c>
      <c r="K115" s="263">
        <f t="shared" si="8"/>
        <v>2612.7660000000001</v>
      </c>
      <c r="L115" s="1"/>
    </row>
    <row r="116" spans="1:12" s="45" customFormat="1" ht="15" hidden="1" customHeight="1">
      <c r="A116" s="288">
        <f>A110+1</f>
        <v>22</v>
      </c>
      <c r="B116" s="61" t="s">
        <v>89</v>
      </c>
      <c r="C116" s="38" t="s">
        <v>29</v>
      </c>
      <c r="D116" s="38" t="s">
        <v>30</v>
      </c>
      <c r="E116" s="102"/>
      <c r="F116" s="97">
        <f>F110</f>
        <v>52.89</v>
      </c>
      <c r="G116" s="32">
        <v>100</v>
      </c>
      <c r="H116" s="235">
        <f>F116*G116</f>
        <v>5289</v>
      </c>
      <c r="I116" s="33"/>
      <c r="J116" s="66"/>
      <c r="K116" s="260">
        <f t="shared" si="8"/>
        <v>5289</v>
      </c>
      <c r="L116" s="1"/>
    </row>
    <row r="117" spans="1:12" s="44" customFormat="1" ht="15" hidden="1" customHeight="1">
      <c r="A117" s="284"/>
      <c r="B117" s="105" t="s">
        <v>34</v>
      </c>
      <c r="C117" s="38" t="s">
        <v>29</v>
      </c>
      <c r="D117" s="70" t="s">
        <v>21</v>
      </c>
      <c r="E117" s="102">
        <v>0.2</v>
      </c>
      <c r="F117" s="37">
        <f>F116*E117</f>
        <v>10.578000000000001</v>
      </c>
      <c r="G117" s="32"/>
      <c r="H117" s="244"/>
      <c r="I117" s="33">
        <v>37.450000000000003</v>
      </c>
      <c r="J117" s="73">
        <f>F117*I117</f>
        <v>396.14610000000005</v>
      </c>
      <c r="K117" s="263">
        <f t="shared" si="8"/>
        <v>396.14610000000005</v>
      </c>
      <c r="L117" s="1"/>
    </row>
    <row r="118" spans="1:12" s="44" customFormat="1" ht="15" hidden="1" customHeight="1">
      <c r="A118" s="284"/>
      <c r="B118" s="105" t="s">
        <v>90</v>
      </c>
      <c r="C118" s="38" t="s">
        <v>29</v>
      </c>
      <c r="D118" s="70" t="s">
        <v>19</v>
      </c>
      <c r="E118" s="102">
        <v>4.8</v>
      </c>
      <c r="F118" s="37">
        <f>F116*E118</f>
        <v>253.87199999999999</v>
      </c>
      <c r="G118" s="32"/>
      <c r="H118" s="244"/>
      <c r="I118" s="33">
        <v>20.329999999999998</v>
      </c>
      <c r="J118" s="73">
        <f>F118*I118</f>
        <v>5161.2177599999995</v>
      </c>
      <c r="K118" s="263">
        <f t="shared" si="8"/>
        <v>5161.2177599999995</v>
      </c>
      <c r="L118" s="1"/>
    </row>
    <row r="119" spans="1:12" s="45" customFormat="1" ht="25.5" hidden="1" customHeight="1">
      <c r="A119" s="288">
        <f>A116+1</f>
        <v>23</v>
      </c>
      <c r="B119" s="61" t="s">
        <v>79</v>
      </c>
      <c r="C119" s="38" t="s">
        <v>29</v>
      </c>
      <c r="D119" s="38" t="s">
        <v>30</v>
      </c>
      <c r="E119" s="102"/>
      <c r="F119" s="97">
        <f>F110</f>
        <v>52.89</v>
      </c>
      <c r="G119" s="32">
        <v>250</v>
      </c>
      <c r="H119" s="235">
        <f>F119*G119</f>
        <v>13222.5</v>
      </c>
      <c r="I119" s="33"/>
      <c r="J119" s="66"/>
      <c r="K119" s="260">
        <f t="shared" si="8"/>
        <v>13222.5</v>
      </c>
      <c r="L119" s="1"/>
    </row>
    <row r="120" spans="1:12" s="44" customFormat="1" ht="15" hidden="1" customHeight="1">
      <c r="A120" s="284"/>
      <c r="B120" s="105" t="s">
        <v>80</v>
      </c>
      <c r="C120" s="38" t="s">
        <v>29</v>
      </c>
      <c r="D120" s="70" t="s">
        <v>81</v>
      </c>
      <c r="E120" s="102">
        <f>(499*0.085*1.02)/1000</f>
        <v>4.3263300000000011E-2</v>
      </c>
      <c r="F120" s="37">
        <f>F119*E120</f>
        <v>2.2881959370000007</v>
      </c>
      <c r="G120" s="32"/>
      <c r="H120" s="244"/>
      <c r="I120" s="33">
        <v>5473.05</v>
      </c>
      <c r="J120" s="73">
        <f t="shared" ref="J120:J126" si="9">F120*I120</f>
        <v>12523.410772997855</v>
      </c>
      <c r="K120" s="263">
        <f t="shared" si="8"/>
        <v>12523.410772997855</v>
      </c>
      <c r="L120" s="1"/>
    </row>
    <row r="121" spans="1:12" s="44" customFormat="1" ht="15" hidden="1" customHeight="1">
      <c r="A121" s="284"/>
      <c r="B121" s="105" t="s">
        <v>82</v>
      </c>
      <c r="C121" s="38" t="s">
        <v>29</v>
      </c>
      <c r="D121" s="70" t="s">
        <v>81</v>
      </c>
      <c r="E121" s="102">
        <f>(1792*0.8*0.085*1.02)/1000</f>
        <v>0.12429312000000003</v>
      </c>
      <c r="F121" s="37">
        <f>F119*E121</f>
        <v>6.5738631168000019</v>
      </c>
      <c r="G121" s="32"/>
      <c r="H121" s="244"/>
      <c r="I121" s="33">
        <v>823.63</v>
      </c>
      <c r="J121" s="73">
        <f t="shared" si="9"/>
        <v>5414.4308788899853</v>
      </c>
      <c r="K121" s="263">
        <f t="shared" si="8"/>
        <v>5414.4308788899853</v>
      </c>
      <c r="L121" s="1"/>
    </row>
    <row r="122" spans="1:12" s="45" customFormat="1" ht="15" hidden="1" customHeight="1">
      <c r="A122" s="284"/>
      <c r="B122" s="105" t="s">
        <v>83</v>
      </c>
      <c r="C122" s="38" t="s">
        <v>29</v>
      </c>
      <c r="D122" s="70" t="s">
        <v>81</v>
      </c>
      <c r="E122" s="102">
        <f>(1792*0.2*0.085*1.02)/1000</f>
        <v>3.1073280000000009E-2</v>
      </c>
      <c r="F122" s="37">
        <f>F119*E122</f>
        <v>1.6434657792000005</v>
      </c>
      <c r="G122" s="32"/>
      <c r="H122" s="110"/>
      <c r="I122" s="33">
        <v>374.49299999999999</v>
      </c>
      <c r="J122" s="73">
        <f t="shared" si="9"/>
        <v>615.46643004994576</v>
      </c>
      <c r="K122" s="263">
        <f t="shared" si="8"/>
        <v>615.46643004994576</v>
      </c>
      <c r="L122" s="1"/>
    </row>
    <row r="123" spans="1:12" s="45" customFormat="1" ht="15" hidden="1" customHeight="1">
      <c r="A123" s="284"/>
      <c r="B123" s="105" t="s">
        <v>84</v>
      </c>
      <c r="C123" s="38" t="s">
        <v>29</v>
      </c>
      <c r="D123" s="70" t="s">
        <v>41</v>
      </c>
      <c r="E123" s="102">
        <v>1.1000000000000001</v>
      </c>
      <c r="F123" s="37">
        <f>F119*E123</f>
        <v>58.179000000000002</v>
      </c>
      <c r="G123" s="32"/>
      <c r="H123" s="110"/>
      <c r="I123" s="33">
        <v>115.91449999999999</v>
      </c>
      <c r="J123" s="73">
        <f t="shared" si="9"/>
        <v>6743.7896954999997</v>
      </c>
      <c r="K123" s="263">
        <f t="shared" si="8"/>
        <v>6743.7896954999997</v>
      </c>
      <c r="L123" s="1"/>
    </row>
    <row r="124" spans="1:12" s="44" customFormat="1" ht="15" hidden="1" customHeight="1">
      <c r="A124" s="284"/>
      <c r="B124" s="105" t="s">
        <v>85</v>
      </c>
      <c r="C124" s="38" t="s">
        <v>29</v>
      </c>
      <c r="D124" s="70" t="s">
        <v>81</v>
      </c>
      <c r="E124" s="102">
        <f>0.21/1000</f>
        <v>2.0999999999999998E-4</v>
      </c>
      <c r="F124" s="37">
        <f>F119*E124</f>
        <v>1.1106899999999999E-2</v>
      </c>
      <c r="G124" s="32"/>
      <c r="H124" s="244"/>
      <c r="I124" s="33">
        <v>56431.8</v>
      </c>
      <c r="J124" s="73">
        <f t="shared" si="9"/>
        <v>626.78235942000003</v>
      </c>
      <c r="K124" s="263">
        <f t="shared" si="8"/>
        <v>626.78235942000003</v>
      </c>
      <c r="L124" s="1"/>
    </row>
    <row r="125" spans="1:12" s="45" customFormat="1" ht="15" hidden="1" customHeight="1">
      <c r="A125" s="284"/>
      <c r="B125" s="105" t="s">
        <v>86</v>
      </c>
      <c r="C125" s="38" t="s">
        <v>29</v>
      </c>
      <c r="D125" s="70" t="s">
        <v>56</v>
      </c>
      <c r="E125" s="102">
        <v>4</v>
      </c>
      <c r="F125" s="37">
        <f>F119*E125</f>
        <v>211.56</v>
      </c>
      <c r="G125" s="32"/>
      <c r="H125" s="110"/>
      <c r="I125" s="33">
        <v>0.67135999999999996</v>
      </c>
      <c r="J125" s="73">
        <f t="shared" si="9"/>
        <v>142.03292159999998</v>
      </c>
      <c r="K125" s="263">
        <f t="shared" si="8"/>
        <v>142.03292159999998</v>
      </c>
      <c r="L125" s="1"/>
    </row>
    <row r="126" spans="1:12" s="44" customFormat="1" ht="15" hidden="1" customHeight="1">
      <c r="A126" s="284"/>
      <c r="B126" s="105" t="s">
        <v>87</v>
      </c>
      <c r="C126" s="38" t="s">
        <v>29</v>
      </c>
      <c r="D126" s="70" t="s">
        <v>58</v>
      </c>
      <c r="E126" s="102"/>
      <c r="F126" s="37">
        <f>F119</f>
        <v>52.89</v>
      </c>
      <c r="G126" s="32"/>
      <c r="H126" s="244"/>
      <c r="I126" s="33">
        <v>7.0979999999999999</v>
      </c>
      <c r="J126" s="73">
        <f t="shared" si="9"/>
        <v>375.41322000000002</v>
      </c>
      <c r="K126" s="263">
        <f t="shared" si="8"/>
        <v>375.41322000000002</v>
      </c>
      <c r="L126" s="1"/>
    </row>
    <row r="127" spans="1:12" s="45" customFormat="1" ht="15" hidden="1" customHeight="1">
      <c r="A127" s="288">
        <f>A119+1</f>
        <v>24</v>
      </c>
      <c r="B127" s="61" t="s">
        <v>91</v>
      </c>
      <c r="C127" s="38" t="s">
        <v>29</v>
      </c>
      <c r="D127" s="38" t="s">
        <v>30</v>
      </c>
      <c r="E127" s="102"/>
      <c r="F127" s="97">
        <f>F110</f>
        <v>52.89</v>
      </c>
      <c r="G127" s="32">
        <v>50</v>
      </c>
      <c r="H127" s="235">
        <f>F127*G127</f>
        <v>2644.5</v>
      </c>
      <c r="I127" s="33"/>
      <c r="J127" s="66"/>
      <c r="K127" s="260">
        <f t="shared" si="8"/>
        <v>2644.5</v>
      </c>
      <c r="L127" s="1"/>
    </row>
    <row r="128" spans="1:12" s="45" customFormat="1" ht="15" hidden="1" customHeight="1">
      <c r="A128" s="284"/>
      <c r="B128" s="105" t="s">
        <v>92</v>
      </c>
      <c r="C128" s="38" t="s">
        <v>29</v>
      </c>
      <c r="D128" s="70" t="s">
        <v>41</v>
      </c>
      <c r="E128" s="102">
        <v>1.1000000000000001</v>
      </c>
      <c r="F128" s="37">
        <f>F127*E128</f>
        <v>58.179000000000002</v>
      </c>
      <c r="G128" s="32"/>
      <c r="H128" s="110"/>
      <c r="I128" s="33">
        <v>14.05</v>
      </c>
      <c r="J128" s="73">
        <f>F128*I128</f>
        <v>817.41495000000009</v>
      </c>
      <c r="K128" s="263">
        <f t="shared" si="8"/>
        <v>817.41495000000009</v>
      </c>
      <c r="L128" s="1"/>
    </row>
    <row r="129" spans="1:12" s="44" customFormat="1" ht="15" hidden="1" customHeight="1">
      <c r="A129" s="284"/>
      <c r="B129" s="105" t="s">
        <v>93</v>
      </c>
      <c r="C129" s="38" t="s">
        <v>29</v>
      </c>
      <c r="D129" s="70" t="s">
        <v>58</v>
      </c>
      <c r="E129" s="102"/>
      <c r="F129" s="37">
        <f>F127*E129</f>
        <v>0</v>
      </c>
      <c r="G129" s="32"/>
      <c r="H129" s="244"/>
      <c r="I129" s="33">
        <v>4.96</v>
      </c>
      <c r="J129" s="73">
        <f>F129*I129</f>
        <v>0</v>
      </c>
      <c r="K129" s="263">
        <f t="shared" si="8"/>
        <v>0</v>
      </c>
      <c r="L129" s="1"/>
    </row>
    <row r="130" spans="1:12" s="45" customFormat="1" ht="15" hidden="1" customHeight="1">
      <c r="A130" s="288">
        <f>A127+1</f>
        <v>25</v>
      </c>
      <c r="B130" s="61" t="s">
        <v>94</v>
      </c>
      <c r="C130" s="38" t="s">
        <v>29</v>
      </c>
      <c r="D130" s="38" t="s">
        <v>30</v>
      </c>
      <c r="E130" s="102"/>
      <c r="F130" s="97">
        <f>F110</f>
        <v>52.89</v>
      </c>
      <c r="G130" s="32">
        <v>350</v>
      </c>
      <c r="H130" s="235">
        <f>F130*G130</f>
        <v>18511.5</v>
      </c>
      <c r="I130" s="33"/>
      <c r="J130" s="66"/>
      <c r="K130" s="260">
        <f t="shared" si="8"/>
        <v>18511.5</v>
      </c>
      <c r="L130" s="1"/>
    </row>
    <row r="131" spans="1:12" s="45" customFormat="1" ht="15" hidden="1" customHeight="1">
      <c r="A131" s="284"/>
      <c r="B131" s="105" t="s">
        <v>95</v>
      </c>
      <c r="C131" s="38" t="s">
        <v>29</v>
      </c>
      <c r="D131" s="70" t="s">
        <v>96</v>
      </c>
      <c r="E131" s="102">
        <f>0.3*1.02</f>
        <v>0.30599999999999999</v>
      </c>
      <c r="F131" s="37">
        <f>F130*E131</f>
        <v>16.184339999999999</v>
      </c>
      <c r="G131" s="32"/>
      <c r="H131" s="110"/>
      <c r="I131" s="33">
        <v>2448.1561999999999</v>
      </c>
      <c r="J131" s="73">
        <f>F131*I131</f>
        <v>39621.792313907994</v>
      </c>
      <c r="K131" s="263">
        <f t="shared" si="8"/>
        <v>39621.792313907994</v>
      </c>
      <c r="L131" s="1"/>
    </row>
    <row r="132" spans="1:12" s="45" customFormat="1" ht="15" hidden="1" customHeight="1">
      <c r="A132" s="284"/>
      <c r="B132" s="105"/>
      <c r="C132" s="75"/>
      <c r="D132" s="70"/>
      <c r="E132" s="64"/>
      <c r="F132" s="37"/>
      <c r="G132" s="32"/>
      <c r="H132" s="110"/>
      <c r="I132" s="33"/>
      <c r="J132" s="73"/>
      <c r="K132" s="263"/>
      <c r="L132" s="1"/>
    </row>
    <row r="133" spans="1:12" s="45" customFormat="1" ht="15" hidden="1" customHeight="1">
      <c r="A133" s="282"/>
      <c r="B133" s="117" t="s">
        <v>97</v>
      </c>
      <c r="C133" s="265"/>
      <c r="D133" s="266"/>
      <c r="E133" s="267"/>
      <c r="F133" s="266"/>
      <c r="G133" s="57"/>
      <c r="H133" s="266"/>
      <c r="I133" s="59"/>
      <c r="J133" s="268"/>
      <c r="K133" s="269"/>
      <c r="L133" s="1"/>
    </row>
    <row r="134" spans="1:12" s="45" customFormat="1" ht="15" hidden="1" customHeight="1">
      <c r="A134" s="288">
        <f>A130+1</f>
        <v>26</v>
      </c>
      <c r="B134" s="61" t="s">
        <v>77</v>
      </c>
      <c r="C134" s="38" t="s">
        <v>23</v>
      </c>
      <c r="D134" s="38" t="s">
        <v>30</v>
      </c>
      <c r="E134" s="102"/>
      <c r="F134" s="97">
        <v>208.22</v>
      </c>
      <c r="G134" s="32">
        <v>670</v>
      </c>
      <c r="H134" s="235">
        <f>F134*G134</f>
        <v>139507.4</v>
      </c>
      <c r="I134" s="33"/>
      <c r="J134" s="66"/>
      <c r="K134" s="260">
        <f t="shared" ref="K134:K154" si="10">H134+J134</f>
        <v>139507.4</v>
      </c>
      <c r="L134" s="1"/>
    </row>
    <row r="135" spans="1:12" s="45" customFormat="1" ht="15" hidden="1" customHeight="1">
      <c r="A135" s="284"/>
      <c r="B135" s="105" t="s">
        <v>24</v>
      </c>
      <c r="C135" s="38" t="s">
        <v>23</v>
      </c>
      <c r="D135" s="70" t="s">
        <v>41</v>
      </c>
      <c r="E135" s="102">
        <v>1.1000000000000001</v>
      </c>
      <c r="F135" s="37">
        <f>F134*E135</f>
        <v>229.04200000000003</v>
      </c>
      <c r="G135" s="32"/>
      <c r="H135" s="110"/>
      <c r="I135" s="33">
        <v>401.24249999999995</v>
      </c>
      <c r="J135" s="73">
        <f>F135*I135</f>
        <v>91901.384684999997</v>
      </c>
      <c r="K135" s="263">
        <f t="shared" si="10"/>
        <v>91901.384684999997</v>
      </c>
      <c r="L135" s="1"/>
    </row>
    <row r="136" spans="1:12" s="44" customFormat="1" ht="15" hidden="1" customHeight="1">
      <c r="A136" s="284"/>
      <c r="B136" s="105" t="s">
        <v>34</v>
      </c>
      <c r="C136" s="38" t="s">
        <v>23</v>
      </c>
      <c r="D136" s="70" t="s">
        <v>21</v>
      </c>
      <c r="E136" s="102">
        <v>0.2</v>
      </c>
      <c r="F136" s="37">
        <f>F134*E136</f>
        <v>41.644000000000005</v>
      </c>
      <c r="G136" s="32"/>
      <c r="H136" s="244"/>
      <c r="I136" s="33">
        <v>37.450000000000003</v>
      </c>
      <c r="J136" s="73">
        <f>F136*I136</f>
        <v>1559.5678000000003</v>
      </c>
      <c r="K136" s="263">
        <f t="shared" si="10"/>
        <v>1559.5678000000003</v>
      </c>
      <c r="L136" s="1"/>
    </row>
    <row r="137" spans="1:12" s="44" customFormat="1" ht="15" hidden="1" customHeight="1">
      <c r="A137" s="284"/>
      <c r="B137" s="105" t="s">
        <v>71</v>
      </c>
      <c r="C137" s="38" t="s">
        <v>23</v>
      </c>
      <c r="D137" s="70" t="s">
        <v>19</v>
      </c>
      <c r="E137" s="102">
        <v>7.6</v>
      </c>
      <c r="F137" s="37">
        <f>F134*E137</f>
        <v>1582.472</v>
      </c>
      <c r="G137" s="32"/>
      <c r="H137" s="244"/>
      <c r="I137" s="33">
        <v>7.6</v>
      </c>
      <c r="J137" s="73">
        <f>F137*I137</f>
        <v>12026.787199999999</v>
      </c>
      <c r="K137" s="263">
        <f t="shared" si="10"/>
        <v>12026.787199999999</v>
      </c>
      <c r="L137" s="1"/>
    </row>
    <row r="138" spans="1:12" s="45" customFormat="1" ht="15" hidden="1" customHeight="1">
      <c r="A138" s="284"/>
      <c r="B138" s="105" t="s">
        <v>72</v>
      </c>
      <c r="C138" s="38" t="s">
        <v>23</v>
      </c>
      <c r="D138" s="70" t="s">
        <v>56</v>
      </c>
      <c r="E138" s="102">
        <v>11</v>
      </c>
      <c r="F138" s="37">
        <f>F134*E138</f>
        <v>2290.42</v>
      </c>
      <c r="G138" s="32"/>
      <c r="H138" s="110"/>
      <c r="I138" s="33">
        <v>1.3007599999999999</v>
      </c>
      <c r="J138" s="73">
        <f>F138*I138</f>
        <v>2979.2867191999999</v>
      </c>
      <c r="K138" s="263">
        <f t="shared" si="10"/>
        <v>2979.2867191999999</v>
      </c>
      <c r="L138" s="1"/>
    </row>
    <row r="139" spans="1:12" s="44" customFormat="1" ht="15" hidden="1" customHeight="1">
      <c r="A139" s="284"/>
      <c r="B139" s="105" t="s">
        <v>73</v>
      </c>
      <c r="C139" s="38" t="s">
        <v>23</v>
      </c>
      <c r="D139" s="70" t="s">
        <v>19</v>
      </c>
      <c r="E139" s="102">
        <v>0.4</v>
      </c>
      <c r="F139" s="37">
        <f>F134*E139</f>
        <v>83.288000000000011</v>
      </c>
      <c r="G139" s="32"/>
      <c r="H139" s="244"/>
      <c r="I139" s="33">
        <v>123.5</v>
      </c>
      <c r="J139" s="73">
        <f>F139*I139</f>
        <v>10286.068000000001</v>
      </c>
      <c r="K139" s="263">
        <f t="shared" si="10"/>
        <v>10286.068000000001</v>
      </c>
      <c r="L139" s="1"/>
    </row>
    <row r="140" spans="1:12" s="45" customFormat="1" ht="25.5" hidden="1" customHeight="1">
      <c r="A140" s="288">
        <f>A134+1</f>
        <v>27</v>
      </c>
      <c r="B140" s="61" t="s">
        <v>183</v>
      </c>
      <c r="C140" s="38" t="s">
        <v>29</v>
      </c>
      <c r="D140" s="38" t="s">
        <v>30</v>
      </c>
      <c r="E140" s="102"/>
      <c r="F140" s="97">
        <f>F134</f>
        <v>208.22</v>
      </c>
      <c r="G140" s="32">
        <v>250</v>
      </c>
      <c r="H140" s="235">
        <f>F140*G140</f>
        <v>52055</v>
      </c>
      <c r="I140" s="33"/>
      <c r="J140" s="66"/>
      <c r="K140" s="260">
        <f t="shared" si="10"/>
        <v>52055</v>
      </c>
      <c r="L140" s="1"/>
    </row>
    <row r="141" spans="1:12" s="44" customFormat="1" ht="15" hidden="1" customHeight="1">
      <c r="A141" s="284"/>
      <c r="B141" s="105" t="s">
        <v>80</v>
      </c>
      <c r="C141" s="38" t="s">
        <v>29</v>
      </c>
      <c r="D141" s="70" t="s">
        <v>81</v>
      </c>
      <c r="E141" s="102">
        <f>(499*0.08*1.02)/1000</f>
        <v>4.0718400000000002E-2</v>
      </c>
      <c r="F141" s="37">
        <f>F140*E141</f>
        <v>8.4783852480000004</v>
      </c>
      <c r="G141" s="32"/>
      <c r="H141" s="244"/>
      <c r="I141" s="33">
        <v>5473.05</v>
      </c>
      <c r="J141" s="73">
        <f t="shared" ref="J141:J147" si="11">F141*I141</f>
        <v>46402.626381566406</v>
      </c>
      <c r="K141" s="263">
        <f t="shared" si="10"/>
        <v>46402.626381566406</v>
      </c>
      <c r="L141" s="1"/>
    </row>
    <row r="142" spans="1:12" s="44" customFormat="1" ht="15" hidden="1" customHeight="1">
      <c r="A142" s="284"/>
      <c r="B142" s="105" t="s">
        <v>82</v>
      </c>
      <c r="C142" s="38" t="s">
        <v>29</v>
      </c>
      <c r="D142" s="70" t="s">
        <v>81</v>
      </c>
      <c r="E142" s="102">
        <f>(1792*0.8*0.08*1.02)/1000</f>
        <v>0.11698176000000002</v>
      </c>
      <c r="F142" s="37">
        <f>F140*E142</f>
        <v>24.357942067200003</v>
      </c>
      <c r="G142" s="32"/>
      <c r="H142" s="244"/>
      <c r="I142" s="33">
        <v>823.63</v>
      </c>
      <c r="J142" s="73">
        <f t="shared" si="11"/>
        <v>20061.93182480794</v>
      </c>
      <c r="K142" s="263">
        <f t="shared" si="10"/>
        <v>20061.93182480794</v>
      </c>
      <c r="L142" s="1"/>
    </row>
    <row r="143" spans="1:12" s="45" customFormat="1" ht="15" hidden="1" customHeight="1">
      <c r="A143" s="283"/>
      <c r="B143" s="105" t="s">
        <v>83</v>
      </c>
      <c r="C143" s="38" t="s">
        <v>29</v>
      </c>
      <c r="D143" s="70" t="s">
        <v>81</v>
      </c>
      <c r="E143" s="102">
        <f>(1792*0.2*0.08*1.02)/1000</f>
        <v>2.9245440000000004E-2</v>
      </c>
      <c r="F143" s="37">
        <f>F140*E143</f>
        <v>6.0894855168000008</v>
      </c>
      <c r="G143" s="32"/>
      <c r="H143" s="110"/>
      <c r="I143" s="33">
        <v>374.49299999999999</v>
      </c>
      <c r="J143" s="73">
        <f t="shared" si="11"/>
        <v>2280.4696996429825</v>
      </c>
      <c r="K143" s="263">
        <f t="shared" si="10"/>
        <v>2280.4696996429825</v>
      </c>
      <c r="L143" s="1"/>
    </row>
    <row r="144" spans="1:12" s="45" customFormat="1" ht="15" hidden="1" customHeight="1">
      <c r="A144" s="284"/>
      <c r="B144" s="105" t="s">
        <v>84</v>
      </c>
      <c r="C144" s="38" t="s">
        <v>29</v>
      </c>
      <c r="D144" s="70" t="s">
        <v>41</v>
      </c>
      <c r="E144" s="102">
        <v>1.1000000000000001</v>
      </c>
      <c r="F144" s="37">
        <f>F140*E144</f>
        <v>229.04200000000003</v>
      </c>
      <c r="G144" s="32"/>
      <c r="H144" s="110"/>
      <c r="I144" s="33">
        <v>115.91449999999999</v>
      </c>
      <c r="J144" s="73">
        <f t="shared" si="11"/>
        <v>26549.288909000003</v>
      </c>
      <c r="K144" s="263">
        <f t="shared" si="10"/>
        <v>26549.288909000003</v>
      </c>
      <c r="L144" s="1"/>
    </row>
    <row r="145" spans="1:12" s="44" customFormat="1" ht="15" hidden="1" customHeight="1">
      <c r="A145" s="284"/>
      <c r="B145" s="105" t="s">
        <v>85</v>
      </c>
      <c r="C145" s="38" t="s">
        <v>29</v>
      </c>
      <c r="D145" s="70" t="s">
        <v>81</v>
      </c>
      <c r="E145" s="102">
        <f>0.21/1000</f>
        <v>2.0999999999999998E-4</v>
      </c>
      <c r="F145" s="37">
        <f>F140*E145</f>
        <v>4.3726199999999993E-2</v>
      </c>
      <c r="G145" s="32"/>
      <c r="H145" s="244"/>
      <c r="I145" s="33">
        <v>56431.8</v>
      </c>
      <c r="J145" s="73">
        <f t="shared" si="11"/>
        <v>2467.5481731599998</v>
      </c>
      <c r="K145" s="263">
        <f t="shared" si="10"/>
        <v>2467.5481731599998</v>
      </c>
      <c r="L145" s="1"/>
    </row>
    <row r="146" spans="1:12" s="45" customFormat="1" ht="15" hidden="1" customHeight="1">
      <c r="A146" s="284"/>
      <c r="B146" s="105" t="s">
        <v>86</v>
      </c>
      <c r="C146" s="38" t="s">
        <v>29</v>
      </c>
      <c r="D146" s="70" t="s">
        <v>56</v>
      </c>
      <c r="E146" s="102">
        <v>4</v>
      </c>
      <c r="F146" s="37">
        <f>F140*E146</f>
        <v>832.88</v>
      </c>
      <c r="G146" s="32"/>
      <c r="H146" s="110"/>
      <c r="I146" s="33">
        <v>0.67135999999999996</v>
      </c>
      <c r="J146" s="73">
        <f t="shared" si="11"/>
        <v>559.16231679999999</v>
      </c>
      <c r="K146" s="263">
        <f t="shared" si="10"/>
        <v>559.16231679999999</v>
      </c>
      <c r="L146" s="1"/>
    </row>
    <row r="147" spans="1:12" s="44" customFormat="1" ht="15" hidden="1" customHeight="1">
      <c r="A147" s="284"/>
      <c r="B147" s="105" t="s">
        <v>87</v>
      </c>
      <c r="C147" s="38" t="s">
        <v>29</v>
      </c>
      <c r="D147" s="70" t="s">
        <v>58</v>
      </c>
      <c r="E147" s="102"/>
      <c r="F147" s="37">
        <f>F140</f>
        <v>208.22</v>
      </c>
      <c r="G147" s="32"/>
      <c r="H147" s="244"/>
      <c r="I147" s="33">
        <v>7.0979999999999999</v>
      </c>
      <c r="J147" s="73">
        <f t="shared" si="11"/>
        <v>1477.9455599999999</v>
      </c>
      <c r="K147" s="263">
        <f t="shared" si="10"/>
        <v>1477.9455599999999</v>
      </c>
      <c r="L147" s="1"/>
    </row>
    <row r="148" spans="1:12" s="45" customFormat="1" ht="25.5" hidden="1" customHeight="1">
      <c r="A148" s="288">
        <f>A140+1</f>
        <v>28</v>
      </c>
      <c r="B148" s="61" t="s">
        <v>98</v>
      </c>
      <c r="C148" s="38" t="s">
        <v>29</v>
      </c>
      <c r="D148" s="38" t="s">
        <v>30</v>
      </c>
      <c r="E148" s="102"/>
      <c r="F148" s="97">
        <f>F134</f>
        <v>208.22</v>
      </c>
      <c r="G148" s="32">
        <v>120</v>
      </c>
      <c r="H148" s="235">
        <f>F148*G148</f>
        <v>24986.400000000001</v>
      </c>
      <c r="I148" s="33"/>
      <c r="J148" s="66"/>
      <c r="K148" s="260">
        <f t="shared" si="10"/>
        <v>24986.400000000001</v>
      </c>
      <c r="L148" s="1"/>
    </row>
    <row r="149" spans="1:12" s="44" customFormat="1" ht="15" hidden="1" customHeight="1">
      <c r="A149" s="284"/>
      <c r="B149" s="105" t="s">
        <v>99</v>
      </c>
      <c r="C149" s="38" t="s">
        <v>29</v>
      </c>
      <c r="D149" s="70" t="s">
        <v>41</v>
      </c>
      <c r="E149" s="102">
        <v>1.1499999999999999</v>
      </c>
      <c r="F149" s="37">
        <f>F148*E149</f>
        <v>239.45299999999997</v>
      </c>
      <c r="G149" s="32"/>
      <c r="H149" s="244"/>
      <c r="I149" s="33">
        <v>161.51</v>
      </c>
      <c r="J149" s="73">
        <f>F149*I149</f>
        <v>38674.054029999992</v>
      </c>
      <c r="K149" s="263">
        <f t="shared" si="10"/>
        <v>38674.054029999992</v>
      </c>
      <c r="L149" s="1"/>
    </row>
    <row r="150" spans="1:12" s="45" customFormat="1" ht="15" hidden="1" customHeight="1">
      <c r="A150" s="284"/>
      <c r="B150" s="105" t="s">
        <v>100</v>
      </c>
      <c r="C150" s="38" t="s">
        <v>29</v>
      </c>
      <c r="D150" s="70" t="s">
        <v>58</v>
      </c>
      <c r="E150" s="102"/>
      <c r="F150" s="37">
        <f>F148</f>
        <v>208.22</v>
      </c>
      <c r="G150" s="32"/>
      <c r="H150" s="110"/>
      <c r="I150" s="33">
        <v>0.90213999999999994</v>
      </c>
      <c r="J150" s="73">
        <f>F150*I150</f>
        <v>187.84359079999999</v>
      </c>
      <c r="K150" s="263">
        <f t="shared" si="10"/>
        <v>187.84359079999999</v>
      </c>
      <c r="L150" s="1"/>
    </row>
    <row r="151" spans="1:12" s="45" customFormat="1" ht="15" hidden="1" customHeight="1">
      <c r="A151" s="288">
        <f>A148+1</f>
        <v>29</v>
      </c>
      <c r="B151" s="61" t="s">
        <v>101</v>
      </c>
      <c r="C151" s="38" t="s">
        <v>29</v>
      </c>
      <c r="D151" s="38" t="s">
        <v>30</v>
      </c>
      <c r="E151" s="102"/>
      <c r="F151" s="97">
        <f>F134</f>
        <v>208.22</v>
      </c>
      <c r="G151" s="32">
        <v>150</v>
      </c>
      <c r="H151" s="235">
        <f>F151*G151</f>
        <v>31233</v>
      </c>
      <c r="I151" s="33"/>
      <c r="J151" s="66"/>
      <c r="K151" s="260">
        <f t="shared" si="10"/>
        <v>31233</v>
      </c>
      <c r="L151" s="1"/>
    </row>
    <row r="152" spans="1:12" s="45" customFormat="1" ht="15" hidden="1" customHeight="1">
      <c r="A152" s="284"/>
      <c r="B152" s="105" t="s">
        <v>102</v>
      </c>
      <c r="C152" s="38" t="s">
        <v>29</v>
      </c>
      <c r="D152" s="70" t="s">
        <v>41</v>
      </c>
      <c r="E152" s="102">
        <f>1.15</f>
        <v>1.1499999999999999</v>
      </c>
      <c r="F152" s="37">
        <f>F151*E152</f>
        <v>239.45299999999997</v>
      </c>
      <c r="G152" s="32"/>
      <c r="H152" s="110"/>
      <c r="I152" s="33">
        <v>38.708099999999995</v>
      </c>
      <c r="J152" s="73">
        <f>F152*I152</f>
        <v>9268.7706692999982</v>
      </c>
      <c r="K152" s="263">
        <f t="shared" si="10"/>
        <v>9268.7706692999982</v>
      </c>
      <c r="L152" s="1"/>
    </row>
    <row r="153" spans="1:12" s="44" customFormat="1" ht="15" hidden="1" customHeight="1">
      <c r="A153" s="284"/>
      <c r="B153" s="105" t="s">
        <v>103</v>
      </c>
      <c r="C153" s="38" t="s">
        <v>29</v>
      </c>
      <c r="D153" s="70" t="s">
        <v>19</v>
      </c>
      <c r="E153" s="102">
        <v>0.3</v>
      </c>
      <c r="F153" s="37">
        <f>F151*E153</f>
        <v>62.465999999999994</v>
      </c>
      <c r="G153" s="32"/>
      <c r="H153" s="244"/>
      <c r="I153" s="33">
        <v>60.6</v>
      </c>
      <c r="J153" s="73">
        <f>F153*I153</f>
        <v>3785.4395999999997</v>
      </c>
      <c r="K153" s="263">
        <f t="shared" si="10"/>
        <v>3785.4395999999997</v>
      </c>
      <c r="L153" s="1"/>
    </row>
    <row r="154" spans="1:12" s="45" customFormat="1" ht="15" hidden="1" customHeight="1">
      <c r="A154" s="288"/>
      <c r="B154" s="105" t="s">
        <v>104</v>
      </c>
      <c r="C154" s="38" t="s">
        <v>29</v>
      </c>
      <c r="D154" s="70" t="s">
        <v>21</v>
      </c>
      <c r="E154" s="64">
        <v>1</v>
      </c>
      <c r="F154" s="37">
        <f>E154*F151</f>
        <v>208.22</v>
      </c>
      <c r="G154" s="32"/>
      <c r="H154" s="110"/>
      <c r="I154" s="33">
        <v>35</v>
      </c>
      <c r="J154" s="73">
        <f>F154*I154</f>
        <v>7287.7</v>
      </c>
      <c r="K154" s="263">
        <f t="shared" si="10"/>
        <v>7287.7</v>
      </c>
      <c r="L154" s="1"/>
    </row>
    <row r="155" spans="1:12" s="45" customFormat="1" ht="15" hidden="1" customHeight="1">
      <c r="A155" s="282"/>
      <c r="B155" s="117" t="s">
        <v>105</v>
      </c>
      <c r="C155" s="265"/>
      <c r="D155" s="266"/>
      <c r="E155" s="267"/>
      <c r="F155" s="266"/>
      <c r="G155" s="57"/>
      <c r="H155" s="266"/>
      <c r="I155" s="59"/>
      <c r="J155" s="268"/>
      <c r="K155" s="269"/>
      <c r="L155" s="1"/>
    </row>
    <row r="156" spans="1:12" s="45" customFormat="1" ht="25.5" hidden="1" customHeight="1">
      <c r="A156" s="288">
        <f>A151+1</f>
        <v>30</v>
      </c>
      <c r="B156" s="61" t="s">
        <v>106</v>
      </c>
      <c r="C156" s="38" t="s">
        <v>23</v>
      </c>
      <c r="D156" s="38" t="s">
        <v>58</v>
      </c>
      <c r="E156" s="64"/>
      <c r="F156" s="97">
        <f>911.9+165.87+62.25</f>
        <v>1140.02</v>
      </c>
      <c r="G156" s="32">
        <v>200</v>
      </c>
      <c r="H156" s="235">
        <f>F156*G156</f>
        <v>228004</v>
      </c>
      <c r="I156" s="33"/>
      <c r="J156" s="66"/>
      <c r="K156" s="260">
        <f>H156+J156</f>
        <v>228004</v>
      </c>
      <c r="L156" s="1"/>
    </row>
    <row r="157" spans="1:12" s="45" customFormat="1" ht="15" hidden="1" customHeight="1">
      <c r="A157" s="284"/>
      <c r="B157" s="105" t="s">
        <v>24</v>
      </c>
      <c r="C157" s="38" t="s">
        <v>23</v>
      </c>
      <c r="D157" s="70" t="s">
        <v>41</v>
      </c>
      <c r="E157" s="64">
        <f>1.1*0.1</f>
        <v>0.11000000000000001</v>
      </c>
      <c r="F157" s="37">
        <f>F156*E157</f>
        <v>125.40220000000001</v>
      </c>
      <c r="G157" s="32"/>
      <c r="H157" s="110"/>
      <c r="I157" s="33">
        <v>401.24249999999995</v>
      </c>
      <c r="J157" s="73">
        <f>F157*I157</f>
        <v>50316.692233499998</v>
      </c>
      <c r="K157" s="263">
        <f>H157+J157</f>
        <v>50316.692233499998</v>
      </c>
      <c r="L157" s="1"/>
    </row>
    <row r="158" spans="1:12" s="44" customFormat="1" ht="15" hidden="1" customHeight="1">
      <c r="A158" s="284"/>
      <c r="B158" s="105" t="s">
        <v>34</v>
      </c>
      <c r="C158" s="38" t="s">
        <v>23</v>
      </c>
      <c r="D158" s="70" t="s">
        <v>21</v>
      </c>
      <c r="E158" s="64">
        <f>0.15*0.1</f>
        <v>1.4999999999999999E-2</v>
      </c>
      <c r="F158" s="37">
        <f>F156*E158</f>
        <v>17.100300000000001</v>
      </c>
      <c r="G158" s="32"/>
      <c r="H158" s="244"/>
      <c r="I158" s="33">
        <v>37.450000000000003</v>
      </c>
      <c r="J158" s="73">
        <f>F158*I158</f>
        <v>640.40623500000004</v>
      </c>
      <c r="K158" s="263">
        <f>H158+J158</f>
        <v>640.40623500000004</v>
      </c>
      <c r="L158" s="1"/>
    </row>
    <row r="159" spans="1:12" s="44" customFormat="1" ht="15" hidden="1" customHeight="1">
      <c r="A159" s="284"/>
      <c r="B159" s="105" t="s">
        <v>71</v>
      </c>
      <c r="C159" s="38" t="s">
        <v>23</v>
      </c>
      <c r="D159" s="70" t="s">
        <v>19</v>
      </c>
      <c r="E159" s="64">
        <f>7.6*0.1</f>
        <v>0.76</v>
      </c>
      <c r="F159" s="37">
        <f>F156*E159</f>
        <v>866.41520000000003</v>
      </c>
      <c r="G159" s="32"/>
      <c r="H159" s="244"/>
      <c r="I159" s="33">
        <v>7.6</v>
      </c>
      <c r="J159" s="73">
        <f>F159*I159</f>
        <v>6584.7555199999997</v>
      </c>
      <c r="K159" s="263">
        <f>H159+J159</f>
        <v>6584.7555199999997</v>
      </c>
      <c r="L159" s="1"/>
    </row>
    <row r="160" spans="1:12" s="44" customFormat="1" ht="15" hidden="1" customHeight="1">
      <c r="A160" s="284"/>
      <c r="B160" s="105" t="s">
        <v>73</v>
      </c>
      <c r="C160" s="38" t="s">
        <v>23</v>
      </c>
      <c r="D160" s="70" t="s">
        <v>19</v>
      </c>
      <c r="E160" s="64">
        <f>0.4*0.1</f>
        <v>4.0000000000000008E-2</v>
      </c>
      <c r="F160" s="37">
        <f>F156*E160</f>
        <v>45.600800000000007</v>
      </c>
      <c r="G160" s="32"/>
      <c r="H160" s="244"/>
      <c r="I160" s="33">
        <v>123.5</v>
      </c>
      <c r="J160" s="73">
        <f>F160*I160</f>
        <v>5631.698800000001</v>
      </c>
      <c r="K160" s="263">
        <f>H160+J160</f>
        <v>5631.698800000001</v>
      </c>
      <c r="L160" s="1"/>
    </row>
    <row r="161" spans="1:12" s="45" customFormat="1" ht="15" hidden="1" customHeight="1">
      <c r="A161" s="289"/>
      <c r="B161" s="76"/>
      <c r="C161" s="77"/>
      <c r="D161" s="76"/>
      <c r="E161" s="106"/>
      <c r="F161" s="107"/>
      <c r="G161" s="32"/>
      <c r="H161" s="81"/>
      <c r="I161" s="33"/>
      <c r="J161" s="82"/>
      <c r="K161" s="264"/>
      <c r="L161" s="1"/>
    </row>
    <row r="162" spans="1:12" s="45" customFormat="1" ht="15" hidden="1" customHeight="1">
      <c r="A162" s="249"/>
      <c r="B162" s="46" t="s">
        <v>107</v>
      </c>
      <c r="C162" s="250"/>
      <c r="D162" s="251"/>
      <c r="E162" s="252"/>
      <c r="F162" s="251"/>
      <c r="G162" s="39"/>
      <c r="H162" s="251"/>
      <c r="I162" s="40"/>
      <c r="J162" s="118"/>
      <c r="K162" s="254"/>
      <c r="L162" s="1"/>
    </row>
    <row r="163" spans="1:12" s="45" customFormat="1" ht="15" hidden="1" customHeight="1">
      <c r="A163" s="255"/>
      <c r="B163" s="24" t="s">
        <v>16</v>
      </c>
      <c r="C163" s="47"/>
      <c r="D163" s="48"/>
      <c r="E163" s="49"/>
      <c r="F163" s="50"/>
      <c r="G163" s="29"/>
      <c r="H163" s="51"/>
      <c r="I163" s="36"/>
      <c r="J163" s="52"/>
      <c r="K163" s="256"/>
      <c r="L163" s="1"/>
    </row>
    <row r="164" spans="1:12" s="45" customFormat="1" ht="25.5" hidden="1" customHeight="1">
      <c r="A164" s="257"/>
      <c r="B164" s="53" t="s">
        <v>108</v>
      </c>
      <c r="C164" s="53"/>
      <c r="D164" s="54"/>
      <c r="E164" s="55"/>
      <c r="F164" s="56"/>
      <c r="G164" s="57"/>
      <c r="H164" s="58"/>
      <c r="I164" s="59"/>
      <c r="J164" s="60"/>
      <c r="K164" s="258"/>
      <c r="L164" s="1"/>
    </row>
    <row r="165" spans="1:12" s="45" customFormat="1" ht="15" hidden="1" customHeight="1">
      <c r="A165" s="259" t="s">
        <v>15</v>
      </c>
      <c r="B165" s="61" t="s">
        <v>28</v>
      </c>
      <c r="C165" s="62" t="s">
        <v>29</v>
      </c>
      <c r="D165" s="63" t="s">
        <v>30</v>
      </c>
      <c r="E165" s="64"/>
      <c r="F165" s="65">
        <f>101.93+119.14+49.73</f>
        <v>270.8</v>
      </c>
      <c r="G165" s="32">
        <v>180</v>
      </c>
      <c r="H165" s="235">
        <f>F165*G165</f>
        <v>48744</v>
      </c>
      <c r="I165" s="33"/>
      <c r="J165" s="66"/>
      <c r="K165" s="260">
        <f>H165+J165</f>
        <v>48744</v>
      </c>
      <c r="L165" s="1"/>
    </row>
    <row r="166" spans="1:12" s="45" customFormat="1" ht="15" hidden="1" customHeight="1">
      <c r="A166" s="259"/>
      <c r="B166" s="41" t="s">
        <v>31</v>
      </c>
      <c r="C166" s="62" t="s">
        <v>29</v>
      </c>
      <c r="D166" s="67" t="s">
        <v>25</v>
      </c>
      <c r="E166" s="64">
        <v>0.02</v>
      </c>
      <c r="F166" s="68">
        <f>E166*F165</f>
        <v>5.4160000000000004</v>
      </c>
      <c r="G166" s="32"/>
      <c r="H166" s="69"/>
      <c r="I166" s="33">
        <v>288.47499999999997</v>
      </c>
      <c r="J166" s="43">
        <f>F166*I166</f>
        <v>1562.3806</v>
      </c>
      <c r="K166" s="261">
        <f>H166+J166</f>
        <v>1562.3806</v>
      </c>
      <c r="L166" s="1"/>
    </row>
    <row r="167" spans="1:12" s="45" customFormat="1" ht="15" hidden="1" customHeight="1">
      <c r="A167" s="262">
        <f>A165+1</f>
        <v>2</v>
      </c>
      <c r="B167" s="61" t="s">
        <v>32</v>
      </c>
      <c r="C167" s="38" t="s">
        <v>20</v>
      </c>
      <c r="D167" s="63" t="s">
        <v>30</v>
      </c>
      <c r="E167" s="64"/>
      <c r="F167" s="65">
        <f>F165</f>
        <v>270.8</v>
      </c>
      <c r="G167" s="32">
        <v>200</v>
      </c>
      <c r="H167" s="235">
        <f>F167*G167</f>
        <v>54160</v>
      </c>
      <c r="I167" s="33"/>
      <c r="J167" s="66"/>
      <c r="K167" s="260">
        <f>H167+J167</f>
        <v>54160</v>
      </c>
      <c r="L167" s="1"/>
    </row>
    <row r="168" spans="1:12" s="44" customFormat="1" ht="25.5" hidden="1" customHeight="1">
      <c r="A168" s="259"/>
      <c r="B168" s="70" t="s">
        <v>33</v>
      </c>
      <c r="C168" s="38" t="s">
        <v>20</v>
      </c>
      <c r="D168" s="71" t="s">
        <v>21</v>
      </c>
      <c r="E168" s="64">
        <v>0.35</v>
      </c>
      <c r="F168" s="72">
        <f>F167*E168</f>
        <v>94.78</v>
      </c>
      <c r="G168" s="32"/>
      <c r="H168" s="236"/>
      <c r="I168" s="33">
        <v>122.50221999999999</v>
      </c>
      <c r="J168" s="73">
        <f>F168*I168</f>
        <v>11610.7604116</v>
      </c>
      <c r="K168" s="263">
        <f>H168+J168</f>
        <v>11610.7604116</v>
      </c>
      <c r="L168" s="1"/>
    </row>
    <row r="169" spans="1:12" s="44" customFormat="1" ht="15" hidden="1" customHeight="1">
      <c r="A169" s="259"/>
      <c r="B169" s="74" t="s">
        <v>34</v>
      </c>
      <c r="C169" s="38" t="s">
        <v>20</v>
      </c>
      <c r="D169" s="71" t="s">
        <v>21</v>
      </c>
      <c r="E169" s="64">
        <v>0.15</v>
      </c>
      <c r="F169" s="72">
        <f>F167*E169</f>
        <v>40.619999999999997</v>
      </c>
      <c r="G169" s="32"/>
      <c r="H169" s="236"/>
      <c r="I169" s="33">
        <v>37.450000000000003</v>
      </c>
      <c r="J169" s="73">
        <f>F169*I169</f>
        <v>1521.2190000000001</v>
      </c>
      <c r="K169" s="263">
        <f>H169+J169</f>
        <v>1521.2190000000001</v>
      </c>
      <c r="L169" s="1"/>
    </row>
    <row r="170" spans="1:12" s="45" customFormat="1" ht="15" hidden="1" customHeight="1">
      <c r="A170" s="257"/>
      <c r="B170" s="76"/>
      <c r="C170" s="77"/>
      <c r="D170" s="78"/>
      <c r="E170" s="79"/>
      <c r="F170" s="80"/>
      <c r="G170" s="32"/>
      <c r="H170" s="81"/>
      <c r="I170" s="33"/>
      <c r="J170" s="82"/>
      <c r="K170" s="264"/>
      <c r="L170" s="1"/>
    </row>
    <row r="171" spans="1:12" s="45" customFormat="1" ht="25.5" hidden="1" customHeight="1">
      <c r="A171" s="257"/>
      <c r="B171" s="53" t="s">
        <v>109</v>
      </c>
      <c r="C171" s="265"/>
      <c r="D171" s="266"/>
      <c r="E171" s="267"/>
      <c r="F171" s="266"/>
      <c r="G171" s="57"/>
      <c r="H171" s="266"/>
      <c r="I171" s="59"/>
      <c r="J171" s="268"/>
      <c r="K171" s="269"/>
      <c r="L171" s="1"/>
    </row>
    <row r="172" spans="1:12" s="45" customFormat="1" ht="15" hidden="1" customHeight="1">
      <c r="A172" s="274">
        <f>A167+1</f>
        <v>3</v>
      </c>
      <c r="B172" s="83" t="s">
        <v>36</v>
      </c>
      <c r="C172" s="19" t="s">
        <v>20</v>
      </c>
      <c r="D172" s="19" t="s">
        <v>30</v>
      </c>
      <c r="E172" s="69"/>
      <c r="F172" s="84">
        <f>998+131.9+103.5+34</f>
        <v>1267.4000000000001</v>
      </c>
      <c r="G172" s="32">
        <v>50</v>
      </c>
      <c r="H172" s="237">
        <f>F172*G172</f>
        <v>63370.000000000007</v>
      </c>
      <c r="I172" s="33"/>
      <c r="J172" s="43"/>
      <c r="K172" s="271">
        <f t="shared" ref="K172:K179" si="12">H172+J172</f>
        <v>63370.000000000007</v>
      </c>
      <c r="L172" s="1"/>
    </row>
    <row r="173" spans="1:12" s="44" customFormat="1" ht="15" hidden="1" customHeight="1">
      <c r="A173" s="272"/>
      <c r="B173" s="85" t="s">
        <v>37</v>
      </c>
      <c r="C173" s="19" t="s">
        <v>20</v>
      </c>
      <c r="D173" s="41" t="s">
        <v>19</v>
      </c>
      <c r="E173" s="21">
        <v>0.15</v>
      </c>
      <c r="F173" s="68">
        <f>E173*F172</f>
        <v>190.11</v>
      </c>
      <c r="G173" s="32"/>
      <c r="H173" s="238"/>
      <c r="I173" s="33">
        <v>37.81</v>
      </c>
      <c r="J173" s="43">
        <f>F173*I173</f>
        <v>7188.0591000000013</v>
      </c>
      <c r="K173" s="273">
        <f t="shared" si="12"/>
        <v>7188.0591000000013</v>
      </c>
      <c r="L173" s="1"/>
    </row>
    <row r="174" spans="1:12" s="45" customFormat="1" ht="15" hidden="1" customHeight="1">
      <c r="A174" s="274">
        <f>A172+1</f>
        <v>4</v>
      </c>
      <c r="B174" s="86" t="s">
        <v>38</v>
      </c>
      <c r="C174" s="69" t="s">
        <v>190</v>
      </c>
      <c r="D174" s="19" t="s">
        <v>30</v>
      </c>
      <c r="E174" s="69"/>
      <c r="F174" s="69">
        <f>F172</f>
        <v>1267.4000000000001</v>
      </c>
      <c r="G174" s="241">
        <v>200</v>
      </c>
      <c r="H174" s="237">
        <f>F174*G174</f>
        <v>253480.00000000003</v>
      </c>
      <c r="I174" s="33"/>
      <c r="J174" s="43"/>
      <c r="K174" s="271">
        <f t="shared" si="12"/>
        <v>253480.00000000003</v>
      </c>
      <c r="L174" s="137"/>
    </row>
    <row r="175" spans="1:12" s="44" customFormat="1" ht="15" hidden="1" customHeight="1">
      <c r="A175" s="275"/>
      <c r="B175" s="87" t="s">
        <v>39</v>
      </c>
      <c r="C175" s="69" t="s">
        <v>190</v>
      </c>
      <c r="D175" s="41" t="s">
        <v>19</v>
      </c>
      <c r="E175" s="21">
        <v>5</v>
      </c>
      <c r="F175" s="34">
        <f>E175*F174</f>
        <v>6337</v>
      </c>
      <c r="G175" s="241"/>
      <c r="H175" s="239"/>
      <c r="I175" s="33">
        <v>12.67</v>
      </c>
      <c r="J175" s="43">
        <f>F175*I175</f>
        <v>80289.789999999994</v>
      </c>
      <c r="K175" s="273">
        <f t="shared" si="12"/>
        <v>80289.789999999994</v>
      </c>
      <c r="L175" s="1"/>
    </row>
    <row r="176" spans="1:12" s="45" customFormat="1" ht="15" hidden="1" customHeight="1" thickBot="1">
      <c r="A176" s="275"/>
      <c r="B176" s="88" t="s">
        <v>40</v>
      </c>
      <c r="C176" s="69" t="s">
        <v>190</v>
      </c>
      <c r="D176" s="88" t="s">
        <v>41</v>
      </c>
      <c r="E176" s="89">
        <v>1.05</v>
      </c>
      <c r="F176" s="34">
        <f>E176*F174</f>
        <v>1330.7700000000002</v>
      </c>
      <c r="G176" s="241"/>
      <c r="H176" s="240"/>
      <c r="I176" s="33">
        <v>629.42999999999995</v>
      </c>
      <c r="J176" s="90">
        <f>F176*I176</f>
        <v>837626.56110000005</v>
      </c>
      <c r="K176" s="261">
        <f t="shared" si="12"/>
        <v>837626.56110000005</v>
      </c>
      <c r="L176" s="1"/>
    </row>
    <row r="177" spans="1:14" s="45" customFormat="1" ht="15" hidden="1" customHeight="1">
      <c r="A177" s="274">
        <f>A174+1</f>
        <v>5</v>
      </c>
      <c r="B177" s="61" t="s">
        <v>32</v>
      </c>
      <c r="C177" s="38" t="s">
        <v>20</v>
      </c>
      <c r="D177" s="38" t="s">
        <v>30</v>
      </c>
      <c r="E177" s="64"/>
      <c r="F177" s="97">
        <f>F172</f>
        <v>1267.4000000000001</v>
      </c>
      <c r="G177" s="241">
        <v>200</v>
      </c>
      <c r="H177" s="235">
        <f>F177*G177</f>
        <v>253480.00000000003</v>
      </c>
      <c r="I177" s="33"/>
      <c r="J177" s="66"/>
      <c r="K177" s="260">
        <f t="shared" si="12"/>
        <v>253480.00000000003</v>
      </c>
      <c r="L177" s="1"/>
    </row>
    <row r="178" spans="1:14" s="44" customFormat="1" ht="15" hidden="1" customHeight="1">
      <c r="A178" s="275"/>
      <c r="B178" s="74" t="s">
        <v>48</v>
      </c>
      <c r="C178" s="38" t="s">
        <v>20</v>
      </c>
      <c r="D178" s="70" t="s">
        <v>21</v>
      </c>
      <c r="E178" s="64">
        <v>0.35</v>
      </c>
      <c r="F178" s="68">
        <f>E178*F177</f>
        <v>443.59000000000003</v>
      </c>
      <c r="G178" s="32"/>
      <c r="H178" s="236"/>
      <c r="I178" s="33">
        <v>122.50221999999999</v>
      </c>
      <c r="J178" s="73">
        <f>F178*I178</f>
        <v>54340.759769800003</v>
      </c>
      <c r="K178" s="263">
        <f t="shared" si="12"/>
        <v>54340.759769800003</v>
      </c>
      <c r="L178" s="1"/>
    </row>
    <row r="179" spans="1:14" s="44" customFormat="1" ht="15" hidden="1" customHeight="1">
      <c r="A179" s="276"/>
      <c r="B179" s="98" t="s">
        <v>37</v>
      </c>
      <c r="C179" s="38" t="s">
        <v>20</v>
      </c>
      <c r="D179" s="41" t="s">
        <v>19</v>
      </c>
      <c r="E179" s="21">
        <v>0.15</v>
      </c>
      <c r="F179" s="68">
        <f>E179*F177</f>
        <v>190.11</v>
      </c>
      <c r="G179" s="32"/>
      <c r="H179" s="238"/>
      <c r="I179" s="33">
        <v>37.81</v>
      </c>
      <c r="J179" s="43">
        <f>F179*I179</f>
        <v>7188.0591000000013</v>
      </c>
      <c r="K179" s="273">
        <f t="shared" si="12"/>
        <v>7188.0591000000013</v>
      </c>
      <c r="L179" s="1"/>
    </row>
    <row r="180" spans="1:14" s="45" customFormat="1" ht="15" hidden="1" customHeight="1">
      <c r="A180" s="278"/>
      <c r="B180" s="98"/>
      <c r="C180" s="20"/>
      <c r="D180" s="41"/>
      <c r="E180" s="21"/>
      <c r="F180" s="68"/>
      <c r="G180" s="32"/>
      <c r="H180" s="43"/>
      <c r="I180" s="33"/>
      <c r="J180" s="43"/>
      <c r="K180" s="273"/>
      <c r="L180" s="1"/>
    </row>
    <row r="181" spans="1:14" s="45" customFormat="1" ht="15" hidden="1" customHeight="1">
      <c r="A181" s="23"/>
      <c r="B181" s="24" t="s">
        <v>22</v>
      </c>
      <c r="C181" s="25"/>
      <c r="D181" s="26"/>
      <c r="E181" s="27"/>
      <c r="F181" s="28"/>
      <c r="G181" s="29"/>
      <c r="H181" s="29" t="str">
        <f>IF(ISBLANK(G181),"",G181*F181)</f>
        <v/>
      </c>
      <c r="I181" s="36"/>
      <c r="J181" s="30" t="str">
        <f>IF(ISBLANK(I181),"",I181*F181)</f>
        <v/>
      </c>
      <c r="K181" s="290"/>
      <c r="L181" s="1"/>
    </row>
    <row r="182" spans="1:14" s="45" customFormat="1" ht="15" hidden="1" customHeight="1">
      <c r="A182" s="257"/>
      <c r="B182" s="53" t="s">
        <v>110</v>
      </c>
      <c r="C182" s="265"/>
      <c r="D182" s="266"/>
      <c r="E182" s="267"/>
      <c r="F182" s="266"/>
      <c r="G182" s="57"/>
      <c r="H182" s="266"/>
      <c r="I182" s="59"/>
      <c r="J182" s="268"/>
      <c r="K182" s="285"/>
      <c r="L182" s="1"/>
      <c r="M182" s="119"/>
      <c r="N182" s="119"/>
    </row>
    <row r="183" spans="1:14" s="45" customFormat="1" ht="15" hidden="1" customHeight="1">
      <c r="A183" s="262">
        <f>A177+1</f>
        <v>6</v>
      </c>
      <c r="B183" s="61" t="s">
        <v>52</v>
      </c>
      <c r="C183" s="38" t="s">
        <v>20</v>
      </c>
      <c r="D183" s="38" t="s">
        <v>30</v>
      </c>
      <c r="E183" s="102"/>
      <c r="F183" s="97">
        <f>354.7</f>
        <v>354.7</v>
      </c>
      <c r="G183" s="32">
        <v>250</v>
      </c>
      <c r="H183" s="235">
        <f>F183*G183</f>
        <v>88675</v>
      </c>
      <c r="I183" s="33"/>
      <c r="J183" s="66"/>
      <c r="K183" s="260">
        <f t="shared" ref="K183:K191" si="13">H183+J183</f>
        <v>88675</v>
      </c>
      <c r="L183" s="1"/>
    </row>
    <row r="184" spans="1:14" s="44" customFormat="1" ht="15" hidden="1" customHeight="1">
      <c r="A184" s="279"/>
      <c r="B184" s="74" t="s">
        <v>53</v>
      </c>
      <c r="C184" s="38" t="s">
        <v>20</v>
      </c>
      <c r="D184" s="70" t="s">
        <v>19</v>
      </c>
      <c r="E184" s="102">
        <v>1.8</v>
      </c>
      <c r="F184" s="68">
        <f>E184*F183</f>
        <v>638.46</v>
      </c>
      <c r="G184" s="32"/>
      <c r="H184" s="236"/>
      <c r="I184" s="33">
        <v>8.7200000000000006</v>
      </c>
      <c r="J184" s="73">
        <f>F184*I184</f>
        <v>5567.3712000000005</v>
      </c>
      <c r="K184" s="263">
        <f t="shared" si="13"/>
        <v>5567.3712000000005</v>
      </c>
      <c r="L184" s="1"/>
    </row>
    <row r="185" spans="1:14" s="44" customFormat="1" ht="15" hidden="1" customHeight="1">
      <c r="A185" s="279"/>
      <c r="B185" s="74" t="s">
        <v>54</v>
      </c>
      <c r="C185" s="38" t="s">
        <v>20</v>
      </c>
      <c r="D185" s="70" t="s">
        <v>19</v>
      </c>
      <c r="E185" s="102">
        <v>1.8</v>
      </c>
      <c r="F185" s="68">
        <f>E185*F183</f>
        <v>638.46</v>
      </c>
      <c r="G185" s="32"/>
      <c r="H185" s="236"/>
      <c r="I185" s="33">
        <v>18.690000000000001</v>
      </c>
      <c r="J185" s="73">
        <f>F185*I185</f>
        <v>11932.817400000002</v>
      </c>
      <c r="K185" s="263">
        <f t="shared" si="13"/>
        <v>11932.817400000002</v>
      </c>
      <c r="L185" s="1"/>
    </row>
    <row r="186" spans="1:14" s="44" customFormat="1" ht="15" hidden="1" customHeight="1">
      <c r="A186" s="279"/>
      <c r="B186" s="74" t="s">
        <v>34</v>
      </c>
      <c r="C186" s="38" t="s">
        <v>20</v>
      </c>
      <c r="D186" s="70" t="s">
        <v>21</v>
      </c>
      <c r="E186" s="102">
        <v>0.15</v>
      </c>
      <c r="F186" s="68">
        <f>E186*F183</f>
        <v>53.204999999999998</v>
      </c>
      <c r="G186" s="32"/>
      <c r="H186" s="236"/>
      <c r="I186" s="33">
        <v>37.450000000000003</v>
      </c>
      <c r="J186" s="73">
        <f>F186*I186</f>
        <v>1992.5272500000001</v>
      </c>
      <c r="K186" s="263">
        <f t="shared" si="13"/>
        <v>1992.5272500000001</v>
      </c>
      <c r="L186" s="1"/>
    </row>
    <row r="187" spans="1:14" s="44" customFormat="1" ht="15" hidden="1" customHeight="1">
      <c r="A187" s="279"/>
      <c r="B187" s="74" t="s">
        <v>55</v>
      </c>
      <c r="C187" s="38" t="s">
        <v>20</v>
      </c>
      <c r="D187" s="70" t="s">
        <v>56</v>
      </c>
      <c r="E187" s="102">
        <v>0.1</v>
      </c>
      <c r="F187" s="68">
        <f>E187*F183</f>
        <v>35.47</v>
      </c>
      <c r="G187" s="32"/>
      <c r="H187" s="236"/>
      <c r="I187" s="33">
        <v>19.260000000000002</v>
      </c>
      <c r="J187" s="73">
        <f>F187*I187</f>
        <v>683.15219999999999</v>
      </c>
      <c r="K187" s="263">
        <f t="shared" si="13"/>
        <v>683.15219999999999</v>
      </c>
      <c r="L187" s="1"/>
    </row>
    <row r="188" spans="1:14" s="44" customFormat="1" ht="15" hidden="1" customHeight="1">
      <c r="A188" s="279"/>
      <c r="B188" s="74" t="s">
        <v>57</v>
      </c>
      <c r="C188" s="38" t="s">
        <v>20</v>
      </c>
      <c r="D188" s="70" t="s">
        <v>58</v>
      </c>
      <c r="E188" s="102">
        <v>1.1000000000000001</v>
      </c>
      <c r="F188" s="68">
        <f>E188*F183</f>
        <v>390.17</v>
      </c>
      <c r="G188" s="32"/>
      <c r="H188" s="236"/>
      <c r="I188" s="33">
        <v>3.1240000000000001</v>
      </c>
      <c r="J188" s="73">
        <f>F188*I188</f>
        <v>1218.8910800000001</v>
      </c>
      <c r="K188" s="263">
        <f t="shared" si="13"/>
        <v>1218.8910800000001</v>
      </c>
      <c r="L188" s="1"/>
    </row>
    <row r="189" spans="1:14" s="45" customFormat="1" ht="15" hidden="1" customHeight="1">
      <c r="A189" s="280">
        <f>A183+1</f>
        <v>7</v>
      </c>
      <c r="B189" s="61" t="s">
        <v>59</v>
      </c>
      <c r="C189" s="38" t="s">
        <v>20</v>
      </c>
      <c r="D189" s="38" t="s">
        <v>30</v>
      </c>
      <c r="E189" s="102"/>
      <c r="F189" s="97">
        <f>F183</f>
        <v>354.7</v>
      </c>
      <c r="G189" s="32">
        <v>200</v>
      </c>
      <c r="H189" s="235">
        <f>F189*G189</f>
        <v>70940</v>
      </c>
      <c r="I189" s="33"/>
      <c r="J189" s="66"/>
      <c r="K189" s="260">
        <f t="shared" si="13"/>
        <v>70940</v>
      </c>
      <c r="L189" s="1"/>
    </row>
    <row r="190" spans="1:14" s="44" customFormat="1" ht="25.5" hidden="1" customHeight="1">
      <c r="A190" s="279"/>
      <c r="B190" s="103" t="s">
        <v>60</v>
      </c>
      <c r="C190" s="38" t="s">
        <v>20</v>
      </c>
      <c r="D190" s="70" t="s">
        <v>21</v>
      </c>
      <c r="E190" s="104">
        <v>0.35</v>
      </c>
      <c r="F190" s="68">
        <f>E190*F189</f>
        <v>124.14499999999998</v>
      </c>
      <c r="G190" s="32"/>
      <c r="H190" s="236"/>
      <c r="I190" s="33">
        <v>122.50221999999999</v>
      </c>
      <c r="J190" s="73">
        <f>F190*I190</f>
        <v>15208.038101899998</v>
      </c>
      <c r="K190" s="263">
        <f t="shared" si="13"/>
        <v>15208.038101899998</v>
      </c>
      <c r="L190" s="1"/>
    </row>
    <row r="191" spans="1:14" s="44" customFormat="1" ht="15" hidden="1" customHeight="1">
      <c r="A191" s="279"/>
      <c r="B191" s="105" t="s">
        <v>34</v>
      </c>
      <c r="C191" s="38" t="s">
        <v>20</v>
      </c>
      <c r="D191" s="70" t="s">
        <v>21</v>
      </c>
      <c r="E191" s="102">
        <v>0.15</v>
      </c>
      <c r="F191" s="68">
        <f>E191*F189</f>
        <v>53.204999999999998</v>
      </c>
      <c r="G191" s="32"/>
      <c r="H191" s="236"/>
      <c r="I191" s="33">
        <v>37.450000000000003</v>
      </c>
      <c r="J191" s="73">
        <f>F191*I191</f>
        <v>1992.5272500000001</v>
      </c>
      <c r="K191" s="263">
        <f t="shared" si="13"/>
        <v>1992.5272500000001</v>
      </c>
      <c r="L191" s="1"/>
    </row>
    <row r="192" spans="1:14" s="45" customFormat="1" ht="15" hidden="1" customHeight="1">
      <c r="A192" s="281"/>
      <c r="B192" s="76"/>
      <c r="C192" s="77"/>
      <c r="D192" s="76"/>
      <c r="E192" s="106"/>
      <c r="F192" s="107"/>
      <c r="G192" s="32"/>
      <c r="H192" s="81"/>
      <c r="I192" s="33"/>
      <c r="J192" s="82"/>
      <c r="K192" s="264"/>
      <c r="L192" s="1"/>
    </row>
    <row r="193" spans="1:12" s="45" customFormat="1" ht="15" hidden="1" customHeight="1">
      <c r="A193" s="257"/>
      <c r="B193" s="53" t="s">
        <v>111</v>
      </c>
      <c r="C193" s="53"/>
      <c r="D193" s="54"/>
      <c r="E193" s="55"/>
      <c r="F193" s="56"/>
      <c r="G193" s="57"/>
      <c r="H193" s="58"/>
      <c r="I193" s="59"/>
      <c r="J193" s="60"/>
      <c r="K193" s="258"/>
      <c r="L193" s="1"/>
    </row>
    <row r="194" spans="1:12" s="45" customFormat="1" ht="15" hidden="1" customHeight="1">
      <c r="A194" s="277">
        <f>A189+1</f>
        <v>8</v>
      </c>
      <c r="B194" s="61" t="s">
        <v>188</v>
      </c>
      <c r="C194" s="62" t="s">
        <v>29</v>
      </c>
      <c r="D194" s="63" t="s">
        <v>30</v>
      </c>
      <c r="E194" s="64"/>
      <c r="F194" s="65">
        <f>124.2+350.09</f>
        <v>474.28999999999996</v>
      </c>
      <c r="G194" s="32">
        <v>180</v>
      </c>
      <c r="H194" s="235">
        <f>F194*G194</f>
        <v>85372.2</v>
      </c>
      <c r="I194" s="33"/>
      <c r="J194" s="66"/>
      <c r="K194" s="260">
        <f>H194+J194</f>
        <v>85372.2</v>
      </c>
      <c r="L194" s="1"/>
    </row>
    <row r="195" spans="1:12" s="45" customFormat="1" ht="15" hidden="1" customHeight="1">
      <c r="A195" s="259"/>
      <c r="B195" s="41" t="s">
        <v>31</v>
      </c>
      <c r="C195" s="62" t="s">
        <v>29</v>
      </c>
      <c r="D195" s="67" t="s">
        <v>25</v>
      </c>
      <c r="E195" s="64">
        <v>0.02</v>
      </c>
      <c r="F195" s="68">
        <f>E195*F194</f>
        <v>9.4857999999999993</v>
      </c>
      <c r="G195" s="32"/>
      <c r="H195" s="69"/>
      <c r="I195" s="33">
        <v>288.47499999999997</v>
      </c>
      <c r="J195" s="43">
        <f>F195*I195</f>
        <v>2736.4161549999994</v>
      </c>
      <c r="K195" s="261">
        <f>H195+J195</f>
        <v>2736.4161549999994</v>
      </c>
      <c r="L195" s="1"/>
    </row>
    <row r="196" spans="1:12" s="45" customFormat="1" ht="15" hidden="1" customHeight="1">
      <c r="A196" s="262">
        <f>A194+1</f>
        <v>9</v>
      </c>
      <c r="B196" s="61" t="s">
        <v>59</v>
      </c>
      <c r="C196" s="38" t="s">
        <v>20</v>
      </c>
      <c r="D196" s="63" t="s">
        <v>30</v>
      </c>
      <c r="E196" s="64"/>
      <c r="F196" s="65">
        <f>F194</f>
        <v>474.28999999999996</v>
      </c>
      <c r="G196" s="241">
        <v>200</v>
      </c>
      <c r="H196" s="235">
        <f>F196*G196</f>
        <v>94858</v>
      </c>
      <c r="I196" s="33"/>
      <c r="J196" s="66"/>
      <c r="K196" s="260">
        <f>H196+J196</f>
        <v>94858</v>
      </c>
      <c r="L196" s="1"/>
    </row>
    <row r="197" spans="1:12" s="44" customFormat="1" ht="25.5" hidden="1" customHeight="1">
      <c r="A197" s="259"/>
      <c r="B197" s="70" t="s">
        <v>33</v>
      </c>
      <c r="C197" s="38" t="s">
        <v>20</v>
      </c>
      <c r="D197" s="71" t="s">
        <v>21</v>
      </c>
      <c r="E197" s="64">
        <v>0.35</v>
      </c>
      <c r="F197" s="72">
        <f>F196*E197</f>
        <v>166.00149999999996</v>
      </c>
      <c r="G197" s="32"/>
      <c r="H197" s="236"/>
      <c r="I197" s="33">
        <v>122.50221999999999</v>
      </c>
      <c r="J197" s="73">
        <f>F197*I197</f>
        <v>20335.552273329995</v>
      </c>
      <c r="K197" s="263">
        <f>H197+J197</f>
        <v>20335.552273329995</v>
      </c>
      <c r="L197" s="1"/>
    </row>
    <row r="198" spans="1:12" s="44" customFormat="1" ht="15" hidden="1" customHeight="1">
      <c r="A198" s="259"/>
      <c r="B198" s="74" t="s">
        <v>34</v>
      </c>
      <c r="C198" s="38" t="s">
        <v>20</v>
      </c>
      <c r="D198" s="71" t="s">
        <v>21</v>
      </c>
      <c r="E198" s="64">
        <v>0.15</v>
      </c>
      <c r="F198" s="72">
        <f>F196*E198</f>
        <v>71.143499999999989</v>
      </c>
      <c r="G198" s="32"/>
      <c r="H198" s="236"/>
      <c r="I198" s="33">
        <v>37.450000000000003</v>
      </c>
      <c r="J198" s="73">
        <f>F198*I198</f>
        <v>2664.324075</v>
      </c>
      <c r="K198" s="263">
        <f>H198+J198</f>
        <v>2664.324075</v>
      </c>
      <c r="L198" s="1"/>
    </row>
    <row r="199" spans="1:12" s="45" customFormat="1" ht="15" hidden="1" customHeight="1">
      <c r="A199" s="257"/>
      <c r="B199" s="76"/>
      <c r="C199" s="77"/>
      <c r="D199" s="78"/>
      <c r="E199" s="79"/>
      <c r="F199" s="80"/>
      <c r="G199" s="32"/>
      <c r="H199" s="81"/>
      <c r="I199" s="33"/>
      <c r="J199" s="82"/>
      <c r="K199" s="264"/>
      <c r="L199" s="1"/>
    </row>
    <row r="200" spans="1:12" s="45" customFormat="1" ht="15" hidden="1" customHeight="1">
      <c r="A200" s="282"/>
      <c r="B200" s="53" t="s">
        <v>62</v>
      </c>
      <c r="C200" s="53"/>
      <c r="D200" s="54"/>
      <c r="E200" s="108"/>
      <c r="F200" s="56"/>
      <c r="G200" s="57"/>
      <c r="H200" s="58"/>
      <c r="I200" s="59"/>
      <c r="J200" s="60"/>
      <c r="K200" s="258"/>
      <c r="L200" s="1"/>
    </row>
    <row r="201" spans="1:12" s="45" customFormat="1" ht="15" customHeight="1">
      <c r="A201" s="262">
        <f>A196+1</f>
        <v>10</v>
      </c>
      <c r="B201" s="61" t="s">
        <v>63</v>
      </c>
      <c r="C201" s="38" t="s">
        <v>17</v>
      </c>
      <c r="D201" s="38" t="s">
        <v>30</v>
      </c>
      <c r="E201" s="102"/>
      <c r="F201" s="97">
        <v>180.38</v>
      </c>
      <c r="G201" s="32">
        <v>250</v>
      </c>
      <c r="H201" s="235">
        <f>F201*G201</f>
        <v>45095</v>
      </c>
      <c r="I201" s="33"/>
      <c r="J201" s="66"/>
      <c r="K201" s="260">
        <f t="shared" ref="K201:K212" si="14">H201+J201</f>
        <v>45095</v>
      </c>
      <c r="L201" s="1"/>
    </row>
    <row r="202" spans="1:12" s="44" customFormat="1" ht="15" customHeight="1">
      <c r="A202" s="259"/>
      <c r="B202" s="103" t="s">
        <v>64</v>
      </c>
      <c r="C202" s="38" t="s">
        <v>17</v>
      </c>
      <c r="D202" s="70" t="s">
        <v>56</v>
      </c>
      <c r="E202" s="102">
        <v>0.4</v>
      </c>
      <c r="F202" s="37">
        <f>F201*E202</f>
        <v>72.152000000000001</v>
      </c>
      <c r="G202" s="32"/>
      <c r="H202" s="244"/>
      <c r="I202" s="33"/>
      <c r="J202" s="73">
        <f>F202*I202</f>
        <v>0</v>
      </c>
      <c r="K202" s="263">
        <f t="shared" si="14"/>
        <v>0</v>
      </c>
      <c r="L202" s="1"/>
    </row>
    <row r="203" spans="1:12" s="44" customFormat="1" ht="15" customHeight="1">
      <c r="A203" s="283"/>
      <c r="B203" s="103" t="s">
        <v>65</v>
      </c>
      <c r="C203" s="38" t="s">
        <v>17</v>
      </c>
      <c r="D203" s="70" t="s">
        <v>56</v>
      </c>
      <c r="E203" s="102">
        <v>0.4</v>
      </c>
      <c r="F203" s="37">
        <f>F201*E203</f>
        <v>72.152000000000001</v>
      </c>
      <c r="G203" s="32"/>
      <c r="H203" s="244"/>
      <c r="I203" s="33"/>
      <c r="J203" s="73">
        <f>F203*I203</f>
        <v>0</v>
      </c>
      <c r="K203" s="263">
        <f t="shared" si="14"/>
        <v>0</v>
      </c>
      <c r="L203" s="1"/>
    </row>
    <row r="204" spans="1:12" s="44" customFormat="1" ht="15" customHeight="1">
      <c r="A204" s="279"/>
      <c r="B204" s="103" t="s">
        <v>66</v>
      </c>
      <c r="C204" s="38" t="s">
        <v>17</v>
      </c>
      <c r="D204" s="70" t="s">
        <v>19</v>
      </c>
      <c r="E204" s="102">
        <v>25</v>
      </c>
      <c r="F204" s="37">
        <f>F201*E204</f>
        <v>4509.5</v>
      </c>
      <c r="G204" s="32"/>
      <c r="H204" s="244"/>
      <c r="I204" s="33"/>
      <c r="J204" s="73">
        <f>F204*I204</f>
        <v>0</v>
      </c>
      <c r="K204" s="263">
        <f t="shared" si="14"/>
        <v>0</v>
      </c>
      <c r="L204" s="1"/>
    </row>
    <row r="205" spans="1:12" s="44" customFormat="1" ht="15" customHeight="1">
      <c r="A205" s="279"/>
      <c r="B205" s="103" t="s">
        <v>67</v>
      </c>
      <c r="C205" s="38" t="s">
        <v>17</v>
      </c>
      <c r="D205" s="70" t="s">
        <v>19</v>
      </c>
      <c r="E205" s="102">
        <v>0.3</v>
      </c>
      <c r="F205" s="37">
        <f>F201*E205</f>
        <v>54.113999999999997</v>
      </c>
      <c r="G205" s="32"/>
      <c r="H205" s="244"/>
      <c r="I205" s="33"/>
      <c r="J205" s="73">
        <f>F205*I205</f>
        <v>0</v>
      </c>
      <c r="K205" s="263">
        <f t="shared" si="14"/>
        <v>0</v>
      </c>
      <c r="L205" s="1"/>
    </row>
    <row r="206" spans="1:12" s="44" customFormat="1" ht="15" customHeight="1" thickBot="1">
      <c r="A206" s="279"/>
      <c r="B206" s="103" t="s">
        <v>68</v>
      </c>
      <c r="C206" s="38" t="s">
        <v>17</v>
      </c>
      <c r="D206" s="70" t="s">
        <v>41</v>
      </c>
      <c r="E206" s="102">
        <v>0.1</v>
      </c>
      <c r="F206" s="37">
        <f>F201*E206</f>
        <v>18.038</v>
      </c>
      <c r="G206" s="32"/>
      <c r="H206" s="244"/>
      <c r="I206" s="33"/>
      <c r="J206" s="73">
        <f>F206*I206</f>
        <v>0</v>
      </c>
      <c r="K206" s="263">
        <f t="shared" si="14"/>
        <v>0</v>
      </c>
      <c r="L206" s="1"/>
    </row>
    <row r="207" spans="1:12" s="45" customFormat="1" ht="15" hidden="1" customHeight="1">
      <c r="A207" s="277">
        <f>A201+1</f>
        <v>11</v>
      </c>
      <c r="B207" s="61" t="s">
        <v>69</v>
      </c>
      <c r="C207" s="38" t="s">
        <v>23</v>
      </c>
      <c r="D207" s="38" t="s">
        <v>30</v>
      </c>
      <c r="E207" s="109"/>
      <c r="F207" s="97">
        <f>F201</f>
        <v>180.38</v>
      </c>
      <c r="G207" s="32">
        <v>1000</v>
      </c>
      <c r="H207" s="235">
        <f>F207*G207</f>
        <v>180380</v>
      </c>
      <c r="I207" s="33"/>
      <c r="J207" s="66"/>
      <c r="K207" s="260">
        <f t="shared" si="14"/>
        <v>180380</v>
      </c>
      <c r="L207" s="1"/>
    </row>
    <row r="208" spans="1:12" s="45" customFormat="1" ht="15" hidden="1" customHeight="1">
      <c r="A208" s="279"/>
      <c r="B208" s="105" t="s">
        <v>70</v>
      </c>
      <c r="C208" s="38" t="s">
        <v>23</v>
      </c>
      <c r="D208" s="70" t="s">
        <v>41</v>
      </c>
      <c r="E208" s="109">
        <v>1.1000000000000001</v>
      </c>
      <c r="F208" s="37">
        <f>F207*E208</f>
        <v>198.41800000000001</v>
      </c>
      <c r="G208" s="32"/>
      <c r="H208" s="110"/>
      <c r="I208" s="33">
        <v>874.16317000000004</v>
      </c>
      <c r="J208" s="73">
        <f>F208*I208</f>
        <v>173449.70786506002</v>
      </c>
      <c r="K208" s="263">
        <f t="shared" si="14"/>
        <v>173449.70786506002</v>
      </c>
      <c r="L208" s="1"/>
    </row>
    <row r="209" spans="1:12" s="44" customFormat="1" ht="15" hidden="1" customHeight="1">
      <c r="A209" s="279"/>
      <c r="B209" s="105" t="s">
        <v>34</v>
      </c>
      <c r="C209" s="38" t="s">
        <v>23</v>
      </c>
      <c r="D209" s="70" t="s">
        <v>21</v>
      </c>
      <c r="E209" s="109">
        <v>0.15</v>
      </c>
      <c r="F209" s="37">
        <f>F207*E209</f>
        <v>27.056999999999999</v>
      </c>
      <c r="G209" s="32"/>
      <c r="H209" s="244"/>
      <c r="I209" s="33">
        <v>37.450000000000003</v>
      </c>
      <c r="J209" s="73">
        <f>F209*I209</f>
        <v>1013.2846500000001</v>
      </c>
      <c r="K209" s="263">
        <f t="shared" si="14"/>
        <v>1013.2846500000001</v>
      </c>
      <c r="L209" s="1"/>
    </row>
    <row r="210" spans="1:12" s="44" customFormat="1" ht="15" hidden="1" customHeight="1">
      <c r="A210" s="279"/>
      <c r="B210" s="105" t="s">
        <v>71</v>
      </c>
      <c r="C210" s="38" t="s">
        <v>23</v>
      </c>
      <c r="D210" s="70" t="s">
        <v>19</v>
      </c>
      <c r="E210" s="109">
        <v>7.6</v>
      </c>
      <c r="F210" s="37">
        <f>F207*E210</f>
        <v>1370.8879999999999</v>
      </c>
      <c r="G210" s="32"/>
      <c r="H210" s="244"/>
      <c r="I210" s="33">
        <v>7.6</v>
      </c>
      <c r="J210" s="73">
        <f>F210*I210</f>
        <v>10418.748799999999</v>
      </c>
      <c r="K210" s="263">
        <f t="shared" si="14"/>
        <v>10418.748799999999</v>
      </c>
      <c r="L210" s="1"/>
    </row>
    <row r="211" spans="1:12" s="45" customFormat="1" ht="15" hidden="1" customHeight="1">
      <c r="A211" s="279"/>
      <c r="B211" s="105" t="s">
        <v>72</v>
      </c>
      <c r="C211" s="38" t="s">
        <v>23</v>
      </c>
      <c r="D211" s="70" t="s">
        <v>56</v>
      </c>
      <c r="E211" s="109">
        <v>11</v>
      </c>
      <c r="F211" s="37">
        <f>F207*E211</f>
        <v>1984.1799999999998</v>
      </c>
      <c r="G211" s="32"/>
      <c r="H211" s="110"/>
      <c r="I211" s="33">
        <v>1.3007599999999999</v>
      </c>
      <c r="J211" s="73">
        <f>F211*I211</f>
        <v>2580.9419767999998</v>
      </c>
      <c r="K211" s="263">
        <f t="shared" si="14"/>
        <v>2580.9419767999998</v>
      </c>
      <c r="L211" s="1"/>
    </row>
    <row r="212" spans="1:12" s="44" customFormat="1" ht="15" hidden="1" customHeight="1">
      <c r="A212" s="279"/>
      <c r="B212" s="105" t="s">
        <v>73</v>
      </c>
      <c r="C212" s="38" t="s">
        <v>23</v>
      </c>
      <c r="D212" s="70" t="s">
        <v>19</v>
      </c>
      <c r="E212" s="109">
        <v>0.4</v>
      </c>
      <c r="F212" s="37">
        <f>F207*E212</f>
        <v>72.152000000000001</v>
      </c>
      <c r="G212" s="32"/>
      <c r="H212" s="244"/>
      <c r="I212" s="33">
        <v>123.5</v>
      </c>
      <c r="J212" s="73">
        <f>F212*I212</f>
        <v>8910.7720000000008</v>
      </c>
      <c r="K212" s="263">
        <f t="shared" si="14"/>
        <v>8910.7720000000008</v>
      </c>
      <c r="L212" s="1"/>
    </row>
    <row r="213" spans="1:12" s="45" customFormat="1" ht="15" hidden="1" customHeight="1">
      <c r="A213" s="281"/>
      <c r="B213" s="76"/>
      <c r="C213" s="77"/>
      <c r="D213" s="76"/>
      <c r="E213" s="106"/>
      <c r="F213" s="107"/>
      <c r="G213" s="32"/>
      <c r="H213" s="81"/>
      <c r="I213" s="33"/>
      <c r="J213" s="82"/>
      <c r="K213" s="264"/>
      <c r="L213" s="1"/>
    </row>
    <row r="214" spans="1:12" s="45" customFormat="1" ht="15" hidden="1" customHeight="1">
      <c r="A214" s="282"/>
      <c r="B214" s="53" t="s">
        <v>112</v>
      </c>
      <c r="C214" s="53"/>
      <c r="D214" s="54"/>
      <c r="E214" s="108"/>
      <c r="F214" s="56"/>
      <c r="G214" s="57"/>
      <c r="H214" s="58"/>
      <c r="I214" s="59"/>
      <c r="J214" s="60"/>
      <c r="K214" s="258"/>
      <c r="L214" s="1"/>
    </row>
    <row r="215" spans="1:12" s="45" customFormat="1" ht="15" hidden="1" customHeight="1">
      <c r="A215" s="277">
        <f>A207+1</f>
        <v>12</v>
      </c>
      <c r="B215" s="61" t="s">
        <v>52</v>
      </c>
      <c r="C215" s="38" t="s">
        <v>20</v>
      </c>
      <c r="D215" s="38" t="s">
        <v>30</v>
      </c>
      <c r="E215" s="109"/>
      <c r="F215" s="97">
        <f>87.14+300+330.1</f>
        <v>717.24</v>
      </c>
      <c r="G215" s="32">
        <v>250</v>
      </c>
      <c r="H215" s="235">
        <f>F215*G215</f>
        <v>179310</v>
      </c>
      <c r="I215" s="33"/>
      <c r="J215" s="66"/>
      <c r="K215" s="260">
        <f t="shared" ref="K215:K223" si="15">H215+J215</f>
        <v>179310</v>
      </c>
      <c r="L215" s="1"/>
    </row>
    <row r="216" spans="1:12" s="44" customFormat="1" ht="15" hidden="1" customHeight="1">
      <c r="A216" s="279"/>
      <c r="B216" s="74" t="s">
        <v>53</v>
      </c>
      <c r="C216" s="38" t="s">
        <v>20</v>
      </c>
      <c r="D216" s="70" t="s">
        <v>19</v>
      </c>
      <c r="E216" s="109">
        <v>1.8</v>
      </c>
      <c r="F216" s="68">
        <f>E216*F215</f>
        <v>1291.0320000000002</v>
      </c>
      <c r="G216" s="32"/>
      <c r="H216" s="236"/>
      <c r="I216" s="33">
        <v>8.7200000000000006</v>
      </c>
      <c r="J216" s="73">
        <f>F216*I216</f>
        <v>11257.799040000002</v>
      </c>
      <c r="K216" s="263">
        <f t="shared" si="15"/>
        <v>11257.799040000002</v>
      </c>
      <c r="L216" s="1"/>
    </row>
    <row r="217" spans="1:12" s="44" customFormat="1" ht="15" hidden="1" customHeight="1">
      <c r="A217" s="279"/>
      <c r="B217" s="74" t="s">
        <v>54</v>
      </c>
      <c r="C217" s="38" t="s">
        <v>20</v>
      </c>
      <c r="D217" s="70" t="s">
        <v>19</v>
      </c>
      <c r="E217" s="109">
        <v>1.8</v>
      </c>
      <c r="F217" s="68">
        <f>E217*F215</f>
        <v>1291.0320000000002</v>
      </c>
      <c r="G217" s="32"/>
      <c r="H217" s="236"/>
      <c r="I217" s="33">
        <v>18.690000000000001</v>
      </c>
      <c r="J217" s="73">
        <f>F217*I217</f>
        <v>24129.388080000004</v>
      </c>
      <c r="K217" s="263">
        <f t="shared" si="15"/>
        <v>24129.388080000004</v>
      </c>
      <c r="L217" s="1"/>
    </row>
    <row r="218" spans="1:12" s="44" customFormat="1" ht="15" hidden="1" customHeight="1">
      <c r="A218" s="279"/>
      <c r="B218" s="74" t="s">
        <v>34</v>
      </c>
      <c r="C218" s="38" t="s">
        <v>20</v>
      </c>
      <c r="D218" s="70" t="s">
        <v>21</v>
      </c>
      <c r="E218" s="109">
        <v>0.15</v>
      </c>
      <c r="F218" s="68">
        <f>E218*F215</f>
        <v>107.586</v>
      </c>
      <c r="G218" s="32"/>
      <c r="H218" s="236"/>
      <c r="I218" s="33">
        <v>37.450000000000003</v>
      </c>
      <c r="J218" s="73">
        <f>F218*I218</f>
        <v>4029.0957000000003</v>
      </c>
      <c r="K218" s="263">
        <f t="shared" si="15"/>
        <v>4029.0957000000003</v>
      </c>
      <c r="L218" s="1"/>
    </row>
    <row r="219" spans="1:12" s="44" customFormat="1" ht="15" hidden="1" customHeight="1">
      <c r="A219" s="279"/>
      <c r="B219" s="74" t="s">
        <v>55</v>
      </c>
      <c r="C219" s="38" t="s">
        <v>20</v>
      </c>
      <c r="D219" s="70" t="s">
        <v>56</v>
      </c>
      <c r="E219" s="109">
        <v>0.1</v>
      </c>
      <c r="F219" s="68">
        <f>E219*F215</f>
        <v>71.724000000000004</v>
      </c>
      <c r="G219" s="32"/>
      <c r="H219" s="236"/>
      <c r="I219" s="33">
        <v>19.260000000000002</v>
      </c>
      <c r="J219" s="73">
        <f>F219*I219</f>
        <v>1381.4042400000001</v>
      </c>
      <c r="K219" s="263">
        <f t="shared" si="15"/>
        <v>1381.4042400000001</v>
      </c>
      <c r="L219" s="1"/>
    </row>
    <row r="220" spans="1:12" s="44" customFormat="1" ht="15" hidden="1" customHeight="1">
      <c r="A220" s="279"/>
      <c r="B220" s="74" t="s">
        <v>57</v>
      </c>
      <c r="C220" s="38" t="s">
        <v>20</v>
      </c>
      <c r="D220" s="70" t="s">
        <v>58</v>
      </c>
      <c r="E220" s="109">
        <v>1.1000000000000001</v>
      </c>
      <c r="F220" s="68">
        <f>E220*F215</f>
        <v>788.96400000000006</v>
      </c>
      <c r="G220" s="32"/>
      <c r="H220" s="236"/>
      <c r="I220" s="33">
        <v>3.1240000000000001</v>
      </c>
      <c r="J220" s="73">
        <f>F220*I220</f>
        <v>2464.7235360000004</v>
      </c>
      <c r="K220" s="263">
        <f t="shared" si="15"/>
        <v>2464.7235360000004</v>
      </c>
      <c r="L220" s="1"/>
    </row>
    <row r="221" spans="1:12" s="45" customFormat="1" ht="15" hidden="1" customHeight="1">
      <c r="A221" s="280">
        <f>A215+1</f>
        <v>13</v>
      </c>
      <c r="B221" s="61" t="s">
        <v>59</v>
      </c>
      <c r="C221" s="38" t="s">
        <v>20</v>
      </c>
      <c r="D221" s="38" t="s">
        <v>30</v>
      </c>
      <c r="E221" s="109"/>
      <c r="F221" s="97">
        <f>F215</f>
        <v>717.24</v>
      </c>
      <c r="G221" s="32">
        <v>200</v>
      </c>
      <c r="H221" s="235">
        <f>F221*G221</f>
        <v>143448</v>
      </c>
      <c r="I221" s="33"/>
      <c r="J221" s="66"/>
      <c r="K221" s="260">
        <f t="shared" si="15"/>
        <v>143448</v>
      </c>
      <c r="L221" s="1"/>
    </row>
    <row r="222" spans="1:12" s="44" customFormat="1" ht="25.5" hidden="1" customHeight="1">
      <c r="A222" s="279"/>
      <c r="B222" s="103" t="s">
        <v>60</v>
      </c>
      <c r="C222" s="38" t="s">
        <v>20</v>
      </c>
      <c r="D222" s="70" t="s">
        <v>21</v>
      </c>
      <c r="E222" s="64">
        <v>0.35</v>
      </c>
      <c r="F222" s="68">
        <f>E222*F221</f>
        <v>251.03399999999999</v>
      </c>
      <c r="G222" s="32"/>
      <c r="H222" s="236"/>
      <c r="I222" s="33">
        <v>122.50221999999999</v>
      </c>
      <c r="J222" s="73">
        <f>F222*I222</f>
        <v>30752.222295479998</v>
      </c>
      <c r="K222" s="263">
        <f t="shared" si="15"/>
        <v>30752.222295479998</v>
      </c>
      <c r="L222" s="1"/>
    </row>
    <row r="223" spans="1:12" s="44" customFormat="1" ht="15" hidden="1" customHeight="1">
      <c r="A223" s="279"/>
      <c r="B223" s="105" t="s">
        <v>34</v>
      </c>
      <c r="C223" s="38" t="s">
        <v>20</v>
      </c>
      <c r="D223" s="70" t="s">
        <v>21</v>
      </c>
      <c r="E223" s="109">
        <v>0.15</v>
      </c>
      <c r="F223" s="68">
        <f>E223*F221</f>
        <v>107.586</v>
      </c>
      <c r="G223" s="32"/>
      <c r="H223" s="236"/>
      <c r="I223" s="33">
        <v>37.450000000000003</v>
      </c>
      <c r="J223" s="73">
        <f>F223*I223</f>
        <v>4029.0957000000003</v>
      </c>
      <c r="K223" s="263">
        <f t="shared" si="15"/>
        <v>4029.0957000000003</v>
      </c>
      <c r="L223" s="1"/>
    </row>
    <row r="224" spans="1:12" s="45" customFormat="1" ht="15" hidden="1" customHeight="1">
      <c r="A224" s="278"/>
      <c r="B224" s="41"/>
      <c r="C224" s="19"/>
      <c r="D224" s="41"/>
      <c r="E224" s="21"/>
      <c r="F224" s="34"/>
      <c r="G224" s="32"/>
      <c r="H224" s="42"/>
      <c r="I224" s="33"/>
      <c r="J224" s="43"/>
      <c r="K224" s="273"/>
      <c r="L224" s="1"/>
    </row>
    <row r="225" spans="1:12" s="45" customFormat="1" ht="15" hidden="1" customHeight="1">
      <c r="A225" s="23"/>
      <c r="B225" s="24" t="s">
        <v>75</v>
      </c>
      <c r="C225" s="25"/>
      <c r="D225" s="26"/>
      <c r="E225" s="27"/>
      <c r="F225" s="28"/>
      <c r="G225" s="29"/>
      <c r="H225" s="29" t="str">
        <f>IF(ISBLANK(G225),"",G225*F225)</f>
        <v/>
      </c>
      <c r="I225" s="36"/>
      <c r="J225" s="30" t="str">
        <f>IF(ISBLANK(I225),"",I225*F225)</f>
        <v/>
      </c>
      <c r="K225" s="31"/>
      <c r="L225" s="1"/>
    </row>
    <row r="226" spans="1:12" s="45" customFormat="1" ht="15" hidden="1" customHeight="1">
      <c r="A226" s="282"/>
      <c r="B226" s="53" t="s">
        <v>113</v>
      </c>
      <c r="C226" s="291"/>
      <c r="D226" s="292"/>
      <c r="E226" s="293"/>
      <c r="F226" s="292"/>
      <c r="G226" s="57"/>
      <c r="H226" s="292"/>
      <c r="I226" s="59"/>
      <c r="J226" s="294"/>
      <c r="K226" s="295"/>
      <c r="L226" s="1"/>
    </row>
    <row r="227" spans="1:12" s="140" customFormat="1" ht="15" hidden="1" customHeight="1">
      <c r="A227" s="296" t="s">
        <v>184</v>
      </c>
      <c r="B227" s="61" t="s">
        <v>77</v>
      </c>
      <c r="C227" s="38" t="s">
        <v>23</v>
      </c>
      <c r="D227" s="38" t="s">
        <v>30</v>
      </c>
      <c r="E227" s="64"/>
      <c r="F227" s="97">
        <v>122.15</v>
      </c>
      <c r="G227" s="32">
        <v>670</v>
      </c>
      <c r="H227" s="235">
        <f>F227*G227</f>
        <v>81840.5</v>
      </c>
      <c r="I227" s="33"/>
      <c r="J227" s="66"/>
      <c r="K227" s="260">
        <f t="shared" ref="K227:K241" si="16">H227+J227</f>
        <v>81840.5</v>
      </c>
      <c r="L227" s="138"/>
    </row>
    <row r="228" spans="1:12" s="140" customFormat="1" ht="15" hidden="1" customHeight="1">
      <c r="A228" s="287"/>
      <c r="B228" s="105" t="s">
        <v>24</v>
      </c>
      <c r="C228" s="38" t="s">
        <v>23</v>
      </c>
      <c r="D228" s="70" t="s">
        <v>41</v>
      </c>
      <c r="E228" s="64">
        <v>1.1000000000000001</v>
      </c>
      <c r="F228" s="37">
        <v>79.860000000000014</v>
      </c>
      <c r="G228" s="32"/>
      <c r="H228" s="110"/>
      <c r="I228" s="33">
        <v>401.24249999999995</v>
      </c>
      <c r="J228" s="73">
        <f t="shared" ref="J228:J233" si="17">F228*I228</f>
        <v>32043.226050000001</v>
      </c>
      <c r="K228" s="263">
        <f t="shared" si="16"/>
        <v>32043.226050000001</v>
      </c>
      <c r="L228" s="138"/>
    </row>
    <row r="229" spans="1:12" s="140" customFormat="1" ht="15" hidden="1" customHeight="1">
      <c r="A229" s="287"/>
      <c r="B229" s="105" t="s">
        <v>70</v>
      </c>
      <c r="C229" s="38" t="s">
        <v>23</v>
      </c>
      <c r="D229" s="70" t="s">
        <v>41</v>
      </c>
      <c r="E229" s="109">
        <v>1.1000000000000001</v>
      </c>
      <c r="F229" s="37">
        <v>54.505000000000003</v>
      </c>
      <c r="G229" s="32"/>
      <c r="H229" s="110"/>
      <c r="I229" s="33">
        <v>874.16317000000004</v>
      </c>
      <c r="J229" s="73">
        <f t="shared" si="17"/>
        <v>47646.263580850005</v>
      </c>
      <c r="K229" s="263">
        <f t="shared" si="16"/>
        <v>47646.263580850005</v>
      </c>
      <c r="L229" s="138"/>
    </row>
    <row r="230" spans="1:12" s="44" customFormat="1" ht="15" hidden="1" customHeight="1">
      <c r="A230" s="287"/>
      <c r="B230" s="105" t="s">
        <v>34</v>
      </c>
      <c r="C230" s="38" t="s">
        <v>23</v>
      </c>
      <c r="D230" s="70" t="s">
        <v>21</v>
      </c>
      <c r="E230" s="64">
        <v>0.15</v>
      </c>
      <c r="F230" s="37">
        <v>18.322500000000002</v>
      </c>
      <c r="G230" s="32"/>
      <c r="H230" s="244"/>
      <c r="I230" s="33">
        <v>37.450000000000003</v>
      </c>
      <c r="J230" s="73">
        <f t="shared" si="17"/>
        <v>686.17762500000015</v>
      </c>
      <c r="K230" s="263">
        <f t="shared" si="16"/>
        <v>686.17762500000015</v>
      </c>
      <c r="L230" s="1"/>
    </row>
    <row r="231" spans="1:12" s="44" customFormat="1" ht="15" hidden="1" customHeight="1">
      <c r="A231" s="284"/>
      <c r="B231" s="105" t="s">
        <v>71</v>
      </c>
      <c r="C231" s="38" t="s">
        <v>23</v>
      </c>
      <c r="D231" s="70" t="s">
        <v>19</v>
      </c>
      <c r="E231" s="64">
        <v>7.6</v>
      </c>
      <c r="F231" s="37">
        <v>928.34</v>
      </c>
      <c r="G231" s="32"/>
      <c r="H231" s="244"/>
      <c r="I231" s="33">
        <v>7.6</v>
      </c>
      <c r="J231" s="73">
        <f t="shared" si="17"/>
        <v>7055.384</v>
      </c>
      <c r="K231" s="263">
        <f t="shared" si="16"/>
        <v>7055.384</v>
      </c>
      <c r="L231" s="1"/>
    </row>
    <row r="232" spans="1:12" s="45" customFormat="1" ht="15" hidden="1" customHeight="1">
      <c r="A232" s="284"/>
      <c r="B232" s="105" t="s">
        <v>72</v>
      </c>
      <c r="C232" s="38" t="s">
        <v>23</v>
      </c>
      <c r="D232" s="70" t="s">
        <v>56</v>
      </c>
      <c r="E232" s="64">
        <v>11</v>
      </c>
      <c r="F232" s="37">
        <v>1343.65</v>
      </c>
      <c r="G232" s="32"/>
      <c r="H232" s="110"/>
      <c r="I232" s="33">
        <v>1.3007599999999999</v>
      </c>
      <c r="J232" s="73">
        <f t="shared" si="17"/>
        <v>1747.7661740000001</v>
      </c>
      <c r="K232" s="263">
        <f t="shared" si="16"/>
        <v>1747.7661740000001</v>
      </c>
      <c r="L232" s="1"/>
    </row>
    <row r="233" spans="1:12" s="44" customFormat="1" ht="15" hidden="1" customHeight="1">
      <c r="A233" s="284"/>
      <c r="B233" s="105" t="s">
        <v>73</v>
      </c>
      <c r="C233" s="38" t="s">
        <v>23</v>
      </c>
      <c r="D233" s="70" t="s">
        <v>19</v>
      </c>
      <c r="E233" s="64">
        <v>0.4</v>
      </c>
      <c r="F233" s="37">
        <v>48.860000000000007</v>
      </c>
      <c r="G233" s="32"/>
      <c r="H233" s="244"/>
      <c r="I233" s="33">
        <v>123.5</v>
      </c>
      <c r="J233" s="73">
        <f t="shared" si="17"/>
        <v>6034.2100000000009</v>
      </c>
      <c r="K233" s="263">
        <f t="shared" si="16"/>
        <v>6034.2100000000009</v>
      </c>
      <c r="L233" s="1"/>
    </row>
    <row r="234" spans="1:12" s="45" customFormat="1" ht="25.5" hidden="1" customHeight="1">
      <c r="A234" s="288">
        <f>A227+1</f>
        <v>15</v>
      </c>
      <c r="B234" s="61" t="s">
        <v>79</v>
      </c>
      <c r="C234" s="38" t="s">
        <v>29</v>
      </c>
      <c r="D234" s="38" t="s">
        <v>30</v>
      </c>
      <c r="E234" s="64"/>
      <c r="F234" s="97">
        <v>122.15</v>
      </c>
      <c r="G234" s="32">
        <v>250</v>
      </c>
      <c r="H234" s="235">
        <f>F234*G234</f>
        <v>30537.5</v>
      </c>
      <c r="I234" s="33"/>
      <c r="J234" s="66"/>
      <c r="K234" s="260">
        <f t="shared" si="16"/>
        <v>30537.5</v>
      </c>
      <c r="L234" s="1"/>
    </row>
    <row r="235" spans="1:12" s="44" customFormat="1" ht="15" hidden="1" customHeight="1">
      <c r="A235" s="284"/>
      <c r="B235" s="105" t="s">
        <v>80</v>
      </c>
      <c r="C235" s="38" t="s">
        <v>29</v>
      </c>
      <c r="D235" s="70" t="s">
        <v>81</v>
      </c>
      <c r="E235" s="64">
        <f>499*0.085*1.02/1000</f>
        <v>4.3263300000000011E-2</v>
      </c>
      <c r="F235" s="37">
        <f>F234*E235</f>
        <v>5.2846120950000017</v>
      </c>
      <c r="G235" s="32"/>
      <c r="H235" s="244"/>
      <c r="I235" s="33">
        <v>5473.05</v>
      </c>
      <c r="J235" s="73">
        <f t="shared" ref="J235:J241" si="18">F235*I235</f>
        <v>28922.94622653976</v>
      </c>
      <c r="K235" s="263">
        <f t="shared" si="16"/>
        <v>28922.94622653976</v>
      </c>
      <c r="L235" s="1"/>
    </row>
    <row r="236" spans="1:12" s="44" customFormat="1" ht="15" hidden="1" customHeight="1">
      <c r="A236" s="284"/>
      <c r="B236" s="105" t="s">
        <v>82</v>
      </c>
      <c r="C236" s="38" t="s">
        <v>29</v>
      </c>
      <c r="D236" s="70" t="s">
        <v>81</v>
      </c>
      <c r="E236" s="64">
        <f>1792*0.8*0.085*1.02/1000</f>
        <v>0.12429312000000003</v>
      </c>
      <c r="F236" s="37">
        <f>F234*E236</f>
        <v>15.182404608000004</v>
      </c>
      <c r="G236" s="32"/>
      <c r="H236" s="244"/>
      <c r="I236" s="33">
        <v>823.63</v>
      </c>
      <c r="J236" s="73">
        <f t="shared" si="18"/>
        <v>12504.683907287043</v>
      </c>
      <c r="K236" s="263">
        <f t="shared" si="16"/>
        <v>12504.683907287043</v>
      </c>
      <c r="L236" s="1"/>
    </row>
    <row r="237" spans="1:12" s="45" customFormat="1" ht="15" hidden="1" customHeight="1">
      <c r="A237" s="284"/>
      <c r="B237" s="105" t="s">
        <v>83</v>
      </c>
      <c r="C237" s="38" t="s">
        <v>29</v>
      </c>
      <c r="D237" s="70" t="s">
        <v>81</v>
      </c>
      <c r="E237" s="64">
        <f>1792*0.2*0.85*1.02/1000</f>
        <v>0.31073280000000003</v>
      </c>
      <c r="F237" s="37">
        <f>F234*E237</f>
        <v>37.956011520000004</v>
      </c>
      <c r="G237" s="32"/>
      <c r="H237" s="110"/>
      <c r="I237" s="33">
        <v>374.49299999999999</v>
      </c>
      <c r="J237" s="73">
        <f t="shared" si="18"/>
        <v>14214.260622159361</v>
      </c>
      <c r="K237" s="263">
        <f t="shared" si="16"/>
        <v>14214.260622159361</v>
      </c>
      <c r="L237" s="1"/>
    </row>
    <row r="238" spans="1:12" s="45" customFormat="1" ht="15" hidden="1" customHeight="1">
      <c r="A238" s="284"/>
      <c r="B238" s="105" t="s">
        <v>84</v>
      </c>
      <c r="C238" s="38" t="s">
        <v>29</v>
      </c>
      <c r="D238" s="70" t="s">
        <v>41</v>
      </c>
      <c r="E238" s="64">
        <v>1.1000000000000001</v>
      </c>
      <c r="F238" s="37">
        <f>F234*E238</f>
        <v>134.36500000000001</v>
      </c>
      <c r="G238" s="32"/>
      <c r="H238" s="110"/>
      <c r="I238" s="33">
        <v>115.91449999999999</v>
      </c>
      <c r="J238" s="73">
        <f t="shared" si="18"/>
        <v>15574.8517925</v>
      </c>
      <c r="K238" s="263">
        <f t="shared" si="16"/>
        <v>15574.8517925</v>
      </c>
      <c r="L238" s="1"/>
    </row>
    <row r="239" spans="1:12" s="44" customFormat="1" ht="15" hidden="1" customHeight="1">
      <c r="A239" s="284"/>
      <c r="B239" s="105" t="s">
        <v>85</v>
      </c>
      <c r="C239" s="38" t="s">
        <v>29</v>
      </c>
      <c r="D239" s="70" t="s">
        <v>81</v>
      </c>
      <c r="E239" s="64">
        <f>0.21/1000</f>
        <v>2.0999999999999998E-4</v>
      </c>
      <c r="F239" s="37">
        <f>F234*E239</f>
        <v>2.5651499999999997E-2</v>
      </c>
      <c r="G239" s="32"/>
      <c r="H239" s="244"/>
      <c r="I239" s="33">
        <v>56431.8</v>
      </c>
      <c r="J239" s="73">
        <f t="shared" si="18"/>
        <v>1447.5603176999998</v>
      </c>
      <c r="K239" s="263">
        <f t="shared" si="16"/>
        <v>1447.5603176999998</v>
      </c>
      <c r="L239" s="1"/>
    </row>
    <row r="240" spans="1:12" s="45" customFormat="1" ht="15" hidden="1" customHeight="1">
      <c r="A240" s="284"/>
      <c r="B240" s="105" t="s">
        <v>86</v>
      </c>
      <c r="C240" s="38" t="s">
        <v>29</v>
      </c>
      <c r="D240" s="70" t="s">
        <v>56</v>
      </c>
      <c r="E240" s="64">
        <v>4</v>
      </c>
      <c r="F240" s="37">
        <f>F234*E240</f>
        <v>488.6</v>
      </c>
      <c r="G240" s="32"/>
      <c r="H240" s="110"/>
      <c r="I240" s="33">
        <v>0.67135999999999996</v>
      </c>
      <c r="J240" s="73">
        <f t="shared" si="18"/>
        <v>328.02649600000001</v>
      </c>
      <c r="K240" s="263">
        <f t="shared" si="16"/>
        <v>328.02649600000001</v>
      </c>
      <c r="L240" s="1"/>
    </row>
    <row r="241" spans="1:12" s="35" customFormat="1" ht="15" hidden="1" customHeight="1">
      <c r="A241" s="284"/>
      <c r="B241" s="105" t="s">
        <v>87</v>
      </c>
      <c r="C241" s="38" t="s">
        <v>29</v>
      </c>
      <c r="D241" s="70" t="s">
        <v>58</v>
      </c>
      <c r="E241" s="64"/>
      <c r="F241" s="37">
        <f>F234</f>
        <v>122.15</v>
      </c>
      <c r="G241" s="32"/>
      <c r="H241" s="244"/>
      <c r="I241" s="33">
        <v>7.0979999999999999</v>
      </c>
      <c r="J241" s="73">
        <f t="shared" si="18"/>
        <v>867.02070000000003</v>
      </c>
      <c r="K241" s="263">
        <f t="shared" si="16"/>
        <v>867.02070000000003</v>
      </c>
      <c r="L241" s="1"/>
    </row>
    <row r="242" spans="1:12" ht="15" hidden="1" customHeight="1">
      <c r="A242" s="284"/>
      <c r="B242" s="105"/>
      <c r="C242" s="75"/>
      <c r="D242" s="70"/>
      <c r="E242" s="64"/>
      <c r="F242" s="37"/>
      <c r="G242" s="32"/>
      <c r="H242" s="110"/>
      <c r="I242" s="33"/>
      <c r="J242" s="73"/>
      <c r="K242" s="263"/>
    </row>
    <row r="243" spans="1:12" ht="15" hidden="1" customHeight="1">
      <c r="A243" s="282"/>
      <c r="B243" s="53" t="s">
        <v>114</v>
      </c>
      <c r="C243" s="291"/>
      <c r="D243" s="292"/>
      <c r="E243" s="293"/>
      <c r="F243" s="292"/>
      <c r="G243" s="57"/>
      <c r="H243" s="292"/>
      <c r="I243" s="59"/>
      <c r="J243" s="294"/>
      <c r="K243" s="295"/>
    </row>
    <row r="244" spans="1:12" ht="15" hidden="1" customHeight="1">
      <c r="A244" s="288">
        <f>A234+1</f>
        <v>16</v>
      </c>
      <c r="B244" s="61" t="s">
        <v>77</v>
      </c>
      <c r="C244" s="38" t="s">
        <v>23</v>
      </c>
      <c r="D244" s="38" t="s">
        <v>30</v>
      </c>
      <c r="E244" s="109"/>
      <c r="F244" s="97">
        <v>75.489999999999995</v>
      </c>
      <c r="G244" s="32">
        <v>670</v>
      </c>
      <c r="H244" s="235">
        <f>F244*G244</f>
        <v>50578.299999999996</v>
      </c>
      <c r="I244" s="33"/>
      <c r="J244" s="66"/>
      <c r="K244" s="260">
        <f t="shared" ref="K244:K260" si="19">H244+J244</f>
        <v>50578.299999999996</v>
      </c>
    </row>
    <row r="245" spans="1:12" ht="15" hidden="1" customHeight="1">
      <c r="A245" s="284"/>
      <c r="B245" s="105" t="s">
        <v>24</v>
      </c>
      <c r="C245" s="38" t="s">
        <v>23</v>
      </c>
      <c r="D245" s="70" t="s">
        <v>41</v>
      </c>
      <c r="E245" s="109">
        <v>1.1000000000000001</v>
      </c>
      <c r="F245" s="37">
        <f>F244*E245</f>
        <v>83.039000000000001</v>
      </c>
      <c r="G245" s="32"/>
      <c r="H245" s="110"/>
      <c r="I245" s="33">
        <v>401.24249999999995</v>
      </c>
      <c r="J245" s="73">
        <f>F245*I245</f>
        <v>33318.775957499995</v>
      </c>
      <c r="K245" s="263">
        <f t="shared" si="19"/>
        <v>33318.775957499995</v>
      </c>
    </row>
    <row r="246" spans="1:12" s="35" customFormat="1" ht="15" hidden="1" customHeight="1">
      <c r="A246" s="284"/>
      <c r="B246" s="105" t="s">
        <v>34</v>
      </c>
      <c r="C246" s="38" t="s">
        <v>23</v>
      </c>
      <c r="D246" s="70" t="s">
        <v>21</v>
      </c>
      <c r="E246" s="109">
        <v>0.2</v>
      </c>
      <c r="F246" s="37">
        <f>F244*E246</f>
        <v>15.097999999999999</v>
      </c>
      <c r="G246" s="32"/>
      <c r="H246" s="244"/>
      <c r="I246" s="33">
        <v>37.450000000000003</v>
      </c>
      <c r="J246" s="73">
        <f>F246*I246</f>
        <v>565.42010000000005</v>
      </c>
      <c r="K246" s="263">
        <f t="shared" si="19"/>
        <v>565.42010000000005</v>
      </c>
      <c r="L246" s="1"/>
    </row>
    <row r="247" spans="1:12" s="35" customFormat="1" ht="15" hidden="1" customHeight="1">
      <c r="A247" s="284"/>
      <c r="B247" s="105" t="s">
        <v>71</v>
      </c>
      <c r="C247" s="38" t="s">
        <v>23</v>
      </c>
      <c r="D247" s="70" t="s">
        <v>19</v>
      </c>
      <c r="E247" s="109">
        <v>7.6</v>
      </c>
      <c r="F247" s="37">
        <f>F244*E247</f>
        <v>573.72399999999993</v>
      </c>
      <c r="G247" s="32"/>
      <c r="H247" s="244"/>
      <c r="I247" s="33">
        <v>7.6</v>
      </c>
      <c r="J247" s="73">
        <f>F247*I247</f>
        <v>4360.3023999999996</v>
      </c>
      <c r="K247" s="263">
        <f t="shared" si="19"/>
        <v>4360.3023999999996</v>
      </c>
      <c r="L247" s="1"/>
    </row>
    <row r="248" spans="1:12" ht="15" hidden="1" customHeight="1">
      <c r="A248" s="284"/>
      <c r="B248" s="105" t="s">
        <v>72</v>
      </c>
      <c r="C248" s="38" t="s">
        <v>23</v>
      </c>
      <c r="D248" s="70" t="s">
        <v>56</v>
      </c>
      <c r="E248" s="109">
        <v>11</v>
      </c>
      <c r="F248" s="37">
        <f>F244*E248</f>
        <v>830.39</v>
      </c>
      <c r="G248" s="32"/>
      <c r="H248" s="110"/>
      <c r="I248" s="33">
        <v>1.3007599999999999</v>
      </c>
      <c r="J248" s="73">
        <f>F248*I248</f>
        <v>1080.1380964</v>
      </c>
      <c r="K248" s="263">
        <f t="shared" si="19"/>
        <v>1080.1380964</v>
      </c>
    </row>
    <row r="249" spans="1:12" s="35" customFormat="1" ht="15" hidden="1" customHeight="1">
      <c r="A249" s="284"/>
      <c r="B249" s="105" t="s">
        <v>73</v>
      </c>
      <c r="C249" s="38" t="s">
        <v>23</v>
      </c>
      <c r="D249" s="70" t="s">
        <v>19</v>
      </c>
      <c r="E249" s="109">
        <v>0.4</v>
      </c>
      <c r="F249" s="37">
        <f>F244*E249</f>
        <v>30.195999999999998</v>
      </c>
      <c r="G249" s="32"/>
      <c r="H249" s="244"/>
      <c r="I249" s="33">
        <v>123.5</v>
      </c>
      <c r="J249" s="73">
        <f>F249*I249</f>
        <v>3729.2059999999997</v>
      </c>
      <c r="K249" s="263">
        <f t="shared" si="19"/>
        <v>3729.2059999999997</v>
      </c>
      <c r="L249" s="1"/>
    </row>
    <row r="250" spans="1:12" ht="25.5" hidden="1" customHeight="1">
      <c r="A250" s="288">
        <f>A244+1</f>
        <v>17</v>
      </c>
      <c r="B250" s="61" t="s">
        <v>115</v>
      </c>
      <c r="C250" s="38" t="s">
        <v>29</v>
      </c>
      <c r="D250" s="38" t="s">
        <v>30</v>
      </c>
      <c r="E250" s="109"/>
      <c r="F250" s="97">
        <f>F244</f>
        <v>75.489999999999995</v>
      </c>
      <c r="G250" s="32">
        <v>250</v>
      </c>
      <c r="H250" s="235">
        <f>F250*G250</f>
        <v>18872.5</v>
      </c>
      <c r="I250" s="33"/>
      <c r="J250" s="66"/>
      <c r="K250" s="260">
        <f t="shared" si="19"/>
        <v>18872.5</v>
      </c>
    </row>
    <row r="251" spans="1:12" s="35" customFormat="1" ht="15" hidden="1" customHeight="1">
      <c r="A251" s="284"/>
      <c r="B251" s="105" t="s">
        <v>80</v>
      </c>
      <c r="C251" s="38" t="s">
        <v>29</v>
      </c>
      <c r="D251" s="70" t="s">
        <v>81</v>
      </c>
      <c r="E251" s="109">
        <f>(499*0.075*1.02)/1000</f>
        <v>3.8173499999999999E-2</v>
      </c>
      <c r="F251" s="37">
        <f>F250*E251</f>
        <v>2.8817175149999996</v>
      </c>
      <c r="G251" s="32"/>
      <c r="H251" s="244"/>
      <c r="I251" s="33">
        <v>5473.05</v>
      </c>
      <c r="J251" s="73">
        <f t="shared" ref="J251:J257" si="20">F251*I251</f>
        <v>15771.784045470749</v>
      </c>
      <c r="K251" s="263">
        <f t="shared" si="19"/>
        <v>15771.784045470749</v>
      </c>
      <c r="L251" s="1"/>
    </row>
    <row r="252" spans="1:12" s="35" customFormat="1" ht="15" hidden="1" customHeight="1">
      <c r="A252" s="284"/>
      <c r="B252" s="105" t="s">
        <v>82</v>
      </c>
      <c r="C252" s="38" t="s">
        <v>29</v>
      </c>
      <c r="D252" s="70" t="s">
        <v>81</v>
      </c>
      <c r="E252" s="109">
        <f>(1792*0.8*0.075*1.02)/1000</f>
        <v>0.10967040000000002</v>
      </c>
      <c r="F252" s="37">
        <f>F250*E252</f>
        <v>8.2790184960000008</v>
      </c>
      <c r="G252" s="32"/>
      <c r="H252" s="244"/>
      <c r="I252" s="33">
        <v>823.63</v>
      </c>
      <c r="J252" s="73">
        <f t="shared" si="20"/>
        <v>6818.8480038604803</v>
      </c>
      <c r="K252" s="263">
        <f t="shared" si="19"/>
        <v>6818.8480038604803</v>
      </c>
      <c r="L252" s="1"/>
    </row>
    <row r="253" spans="1:12" ht="15" hidden="1" customHeight="1">
      <c r="A253" s="297"/>
      <c r="B253" s="105" t="s">
        <v>83</v>
      </c>
      <c r="C253" s="38" t="s">
        <v>29</v>
      </c>
      <c r="D253" s="70" t="s">
        <v>81</v>
      </c>
      <c r="E253" s="109">
        <f>(1792*0.2*0.075*1.02)/1000</f>
        <v>2.7417600000000004E-2</v>
      </c>
      <c r="F253" s="37">
        <f>F250*E253</f>
        <v>2.0697546240000002</v>
      </c>
      <c r="G253" s="32"/>
      <c r="H253" s="110"/>
      <c r="I253" s="33">
        <v>374.49299999999999</v>
      </c>
      <c r="J253" s="73">
        <f t="shared" si="20"/>
        <v>775.10861840563211</v>
      </c>
      <c r="K253" s="263">
        <f t="shared" si="19"/>
        <v>775.10861840563211</v>
      </c>
    </row>
    <row r="254" spans="1:12" ht="15" hidden="1" customHeight="1">
      <c r="A254" s="284"/>
      <c r="B254" s="105" t="s">
        <v>84</v>
      </c>
      <c r="C254" s="38" t="s">
        <v>29</v>
      </c>
      <c r="D254" s="70" t="s">
        <v>41</v>
      </c>
      <c r="E254" s="109">
        <v>1.1000000000000001</v>
      </c>
      <c r="F254" s="37">
        <f>F250*E254</f>
        <v>83.039000000000001</v>
      </c>
      <c r="G254" s="32"/>
      <c r="H254" s="110"/>
      <c r="I254" s="33">
        <v>115.91449999999999</v>
      </c>
      <c r="J254" s="73">
        <f t="shared" si="20"/>
        <v>9625.4241654999987</v>
      </c>
      <c r="K254" s="263">
        <f t="shared" si="19"/>
        <v>9625.4241654999987</v>
      </c>
    </row>
    <row r="255" spans="1:12" s="35" customFormat="1" ht="15" hidden="1" customHeight="1">
      <c r="A255" s="284"/>
      <c r="B255" s="105" t="s">
        <v>85</v>
      </c>
      <c r="C255" s="38" t="s">
        <v>29</v>
      </c>
      <c r="D255" s="70" t="s">
        <v>81</v>
      </c>
      <c r="E255" s="109">
        <f>0.21/1000</f>
        <v>2.0999999999999998E-4</v>
      </c>
      <c r="F255" s="37">
        <f>F250*E255</f>
        <v>1.5852899999999996E-2</v>
      </c>
      <c r="G255" s="32"/>
      <c r="H255" s="244"/>
      <c r="I255" s="33">
        <v>56431.8</v>
      </c>
      <c r="J255" s="73">
        <f t="shared" si="20"/>
        <v>894.60768221999979</v>
      </c>
      <c r="K255" s="263">
        <f t="shared" si="19"/>
        <v>894.60768221999979</v>
      </c>
      <c r="L255" s="1"/>
    </row>
    <row r="256" spans="1:12" ht="15" hidden="1" customHeight="1">
      <c r="A256" s="284"/>
      <c r="B256" s="105" t="s">
        <v>86</v>
      </c>
      <c r="C256" s="38" t="s">
        <v>29</v>
      </c>
      <c r="D256" s="70" t="s">
        <v>56</v>
      </c>
      <c r="E256" s="109">
        <v>4</v>
      </c>
      <c r="F256" s="37">
        <f>F250*E256</f>
        <v>301.95999999999998</v>
      </c>
      <c r="G256" s="32"/>
      <c r="H256" s="110"/>
      <c r="I256" s="33">
        <v>0.67135999999999996</v>
      </c>
      <c r="J256" s="73">
        <f t="shared" si="20"/>
        <v>202.72386559999998</v>
      </c>
      <c r="K256" s="263">
        <f t="shared" si="19"/>
        <v>202.72386559999998</v>
      </c>
    </row>
    <row r="257" spans="1:12" s="44" customFormat="1" ht="15" hidden="1" customHeight="1">
      <c r="A257" s="284"/>
      <c r="B257" s="105" t="s">
        <v>87</v>
      </c>
      <c r="C257" s="38" t="s">
        <v>29</v>
      </c>
      <c r="D257" s="70" t="s">
        <v>58</v>
      </c>
      <c r="E257" s="109"/>
      <c r="F257" s="37">
        <f>F250</f>
        <v>75.489999999999995</v>
      </c>
      <c r="G257" s="32"/>
      <c r="H257" s="244"/>
      <c r="I257" s="33">
        <v>7.0979999999999999</v>
      </c>
      <c r="J257" s="73">
        <f t="shared" si="20"/>
        <v>535.82801999999992</v>
      </c>
      <c r="K257" s="263">
        <f t="shared" si="19"/>
        <v>535.82801999999992</v>
      </c>
      <c r="L257" s="1"/>
    </row>
    <row r="258" spans="1:12" s="45" customFormat="1" ht="25.5" hidden="1" customHeight="1">
      <c r="A258" s="288">
        <f>A250+1</f>
        <v>18</v>
      </c>
      <c r="B258" s="61" t="s">
        <v>98</v>
      </c>
      <c r="C258" s="38" t="s">
        <v>29</v>
      </c>
      <c r="D258" s="38" t="s">
        <v>30</v>
      </c>
      <c r="E258" s="109"/>
      <c r="F258" s="97">
        <f>F244</f>
        <v>75.489999999999995</v>
      </c>
      <c r="G258" s="32">
        <v>120</v>
      </c>
      <c r="H258" s="235">
        <f>F258*G258</f>
        <v>9058.7999999999993</v>
      </c>
      <c r="I258" s="33"/>
      <c r="J258" s="66"/>
      <c r="K258" s="260">
        <f t="shared" si="19"/>
        <v>9058.7999999999993</v>
      </c>
      <c r="L258" s="1"/>
    </row>
    <row r="259" spans="1:12" s="44" customFormat="1" ht="15" hidden="1" customHeight="1">
      <c r="A259" s="284"/>
      <c r="B259" s="105" t="s">
        <v>99</v>
      </c>
      <c r="C259" s="38" t="s">
        <v>29</v>
      </c>
      <c r="D259" s="70" t="s">
        <v>41</v>
      </c>
      <c r="E259" s="109">
        <v>1.1499999999999999</v>
      </c>
      <c r="F259" s="37">
        <f>F258*E259</f>
        <v>86.813499999999991</v>
      </c>
      <c r="G259" s="32"/>
      <c r="H259" s="244"/>
      <c r="I259" s="33">
        <v>161.51</v>
      </c>
      <c r="J259" s="73">
        <f>F259*I259</f>
        <v>14021.248384999997</v>
      </c>
      <c r="K259" s="263">
        <f t="shared" si="19"/>
        <v>14021.248384999997</v>
      </c>
      <c r="L259" s="1"/>
    </row>
    <row r="260" spans="1:12" s="45" customFormat="1" ht="15" hidden="1" customHeight="1">
      <c r="A260" s="284"/>
      <c r="B260" s="105" t="s">
        <v>100</v>
      </c>
      <c r="C260" s="38" t="s">
        <v>29</v>
      </c>
      <c r="D260" s="70" t="s">
        <v>58</v>
      </c>
      <c r="E260" s="109"/>
      <c r="F260" s="37">
        <f>F258</f>
        <v>75.489999999999995</v>
      </c>
      <c r="G260" s="32"/>
      <c r="H260" s="110"/>
      <c r="I260" s="33">
        <v>0.90213999999999994</v>
      </c>
      <c r="J260" s="73">
        <f>F260*I260</f>
        <v>68.102548599999992</v>
      </c>
      <c r="K260" s="263">
        <f t="shared" si="19"/>
        <v>68.102548599999992</v>
      </c>
      <c r="L260" s="1"/>
    </row>
    <row r="261" spans="1:12" s="45" customFormat="1" ht="15" hidden="1" customHeight="1">
      <c r="A261" s="284"/>
      <c r="B261" s="105"/>
      <c r="C261" s="75"/>
      <c r="D261" s="70"/>
      <c r="E261" s="64"/>
      <c r="F261" s="37"/>
      <c r="G261" s="32"/>
      <c r="H261" s="110"/>
      <c r="I261" s="33"/>
      <c r="J261" s="73"/>
      <c r="K261" s="263"/>
      <c r="L261" s="1"/>
    </row>
    <row r="262" spans="1:12" s="45" customFormat="1" ht="15" hidden="1" customHeight="1">
      <c r="A262" s="282"/>
      <c r="B262" s="120" t="s">
        <v>116</v>
      </c>
      <c r="C262" s="291"/>
      <c r="D262" s="292"/>
      <c r="E262" s="293"/>
      <c r="F262" s="292"/>
      <c r="G262" s="57"/>
      <c r="H262" s="292"/>
      <c r="I262" s="59"/>
      <c r="J262" s="294"/>
      <c r="K262" s="295"/>
      <c r="L262" s="1"/>
    </row>
    <row r="263" spans="1:12" s="45" customFormat="1" ht="15" hidden="1" customHeight="1">
      <c r="A263" s="288">
        <f>A258+1</f>
        <v>19</v>
      </c>
      <c r="B263" s="61" t="s">
        <v>77</v>
      </c>
      <c r="C263" s="38" t="s">
        <v>23</v>
      </c>
      <c r="D263" s="38" t="s">
        <v>30</v>
      </c>
      <c r="E263" s="109"/>
      <c r="F263" s="97">
        <v>50.1</v>
      </c>
      <c r="G263" s="32">
        <v>670</v>
      </c>
      <c r="H263" s="235">
        <f>F263*G263</f>
        <v>33567</v>
      </c>
      <c r="I263" s="33"/>
      <c r="J263" s="66"/>
      <c r="K263" s="260">
        <f t="shared" ref="K263:K283" si="21">H263+J263</f>
        <v>33567</v>
      </c>
      <c r="L263" s="1"/>
    </row>
    <row r="264" spans="1:12" s="45" customFormat="1" ht="15" hidden="1" customHeight="1">
      <c r="A264" s="284"/>
      <c r="B264" s="105" t="s">
        <v>24</v>
      </c>
      <c r="C264" s="38" t="s">
        <v>23</v>
      </c>
      <c r="D264" s="70" t="s">
        <v>41</v>
      </c>
      <c r="E264" s="109">
        <v>1.1000000000000001</v>
      </c>
      <c r="F264" s="37">
        <f>F263*E264</f>
        <v>55.110000000000007</v>
      </c>
      <c r="G264" s="32"/>
      <c r="H264" s="110"/>
      <c r="I264" s="33">
        <v>401.24249999999995</v>
      </c>
      <c r="J264" s="73">
        <f>F264*I264</f>
        <v>22112.474174999999</v>
      </c>
      <c r="K264" s="263">
        <f t="shared" si="21"/>
        <v>22112.474174999999</v>
      </c>
      <c r="L264" s="1"/>
    </row>
    <row r="265" spans="1:12" s="44" customFormat="1" ht="15" hidden="1" customHeight="1">
      <c r="A265" s="284"/>
      <c r="B265" s="105" t="s">
        <v>34</v>
      </c>
      <c r="C265" s="38" t="s">
        <v>23</v>
      </c>
      <c r="D265" s="70" t="s">
        <v>21</v>
      </c>
      <c r="E265" s="109">
        <v>0.2</v>
      </c>
      <c r="F265" s="37">
        <f>F263*E265</f>
        <v>10.020000000000001</v>
      </c>
      <c r="G265" s="32"/>
      <c r="H265" s="244"/>
      <c r="I265" s="33">
        <v>37.450000000000003</v>
      </c>
      <c r="J265" s="73">
        <f>F265*I265</f>
        <v>375.24900000000008</v>
      </c>
      <c r="K265" s="263">
        <f t="shared" si="21"/>
        <v>375.24900000000008</v>
      </c>
      <c r="L265" s="1"/>
    </row>
    <row r="266" spans="1:12" s="44" customFormat="1" ht="15" hidden="1" customHeight="1">
      <c r="A266" s="284"/>
      <c r="B266" s="105" t="s">
        <v>71</v>
      </c>
      <c r="C266" s="38" t="s">
        <v>23</v>
      </c>
      <c r="D266" s="70" t="s">
        <v>19</v>
      </c>
      <c r="E266" s="109">
        <v>7.6</v>
      </c>
      <c r="F266" s="37">
        <f>F263*E266</f>
        <v>380.76</v>
      </c>
      <c r="G266" s="32"/>
      <c r="H266" s="244"/>
      <c r="I266" s="33">
        <v>7.6</v>
      </c>
      <c r="J266" s="73">
        <f>F266*I266</f>
        <v>2893.7759999999998</v>
      </c>
      <c r="K266" s="263">
        <f t="shared" si="21"/>
        <v>2893.7759999999998</v>
      </c>
      <c r="L266" s="1"/>
    </row>
    <row r="267" spans="1:12" s="45" customFormat="1" ht="15" hidden="1" customHeight="1">
      <c r="A267" s="284"/>
      <c r="B267" s="105" t="s">
        <v>72</v>
      </c>
      <c r="C267" s="38" t="s">
        <v>23</v>
      </c>
      <c r="D267" s="70" t="s">
        <v>56</v>
      </c>
      <c r="E267" s="109">
        <v>11</v>
      </c>
      <c r="F267" s="37">
        <f>F263*E267</f>
        <v>551.1</v>
      </c>
      <c r="G267" s="32"/>
      <c r="H267" s="110"/>
      <c r="I267" s="33">
        <v>1.3007599999999999</v>
      </c>
      <c r="J267" s="73">
        <f>F267*I267</f>
        <v>716.84883600000001</v>
      </c>
      <c r="K267" s="263">
        <f t="shared" si="21"/>
        <v>716.84883600000001</v>
      </c>
      <c r="L267" s="1"/>
    </row>
    <row r="268" spans="1:12" s="44" customFormat="1" ht="15" hidden="1" customHeight="1">
      <c r="A268" s="284"/>
      <c r="B268" s="105" t="s">
        <v>73</v>
      </c>
      <c r="C268" s="38" t="s">
        <v>23</v>
      </c>
      <c r="D268" s="70" t="s">
        <v>19</v>
      </c>
      <c r="E268" s="109">
        <v>0.4</v>
      </c>
      <c r="F268" s="37">
        <f>F263*E268</f>
        <v>20.040000000000003</v>
      </c>
      <c r="G268" s="32"/>
      <c r="H268" s="244"/>
      <c r="I268" s="33">
        <v>123.5</v>
      </c>
      <c r="J268" s="73">
        <f>F268*I268</f>
        <v>2474.9400000000005</v>
      </c>
      <c r="K268" s="263">
        <f t="shared" si="21"/>
        <v>2474.9400000000005</v>
      </c>
      <c r="L268" s="1"/>
    </row>
    <row r="269" spans="1:12" s="45" customFormat="1" ht="15" hidden="1" customHeight="1">
      <c r="A269" s="288">
        <f>A263+1</f>
        <v>20</v>
      </c>
      <c r="B269" s="61" t="s">
        <v>89</v>
      </c>
      <c r="C269" s="38" t="s">
        <v>29</v>
      </c>
      <c r="D269" s="38" t="s">
        <v>30</v>
      </c>
      <c r="E269" s="109"/>
      <c r="F269" s="97">
        <f>F263</f>
        <v>50.1</v>
      </c>
      <c r="G269" s="32">
        <v>100</v>
      </c>
      <c r="H269" s="235">
        <f>F269*G269</f>
        <v>5010</v>
      </c>
      <c r="I269" s="33"/>
      <c r="J269" s="66"/>
      <c r="K269" s="260">
        <f t="shared" si="21"/>
        <v>5010</v>
      </c>
      <c r="L269" s="1"/>
    </row>
    <row r="270" spans="1:12" s="44" customFormat="1" ht="15" hidden="1" customHeight="1">
      <c r="A270" s="284"/>
      <c r="B270" s="105" t="s">
        <v>34</v>
      </c>
      <c r="C270" s="38" t="s">
        <v>29</v>
      </c>
      <c r="D270" s="70" t="s">
        <v>21</v>
      </c>
      <c r="E270" s="109">
        <v>0.2</v>
      </c>
      <c r="F270" s="37">
        <f>F269*E270</f>
        <v>10.020000000000001</v>
      </c>
      <c r="G270" s="32"/>
      <c r="H270" s="244"/>
      <c r="I270" s="33">
        <v>37.450000000000003</v>
      </c>
      <c r="J270" s="73">
        <f>F270*I270</f>
        <v>375.24900000000008</v>
      </c>
      <c r="K270" s="263">
        <f t="shared" si="21"/>
        <v>375.24900000000008</v>
      </c>
      <c r="L270" s="1"/>
    </row>
    <row r="271" spans="1:12" s="44" customFormat="1" ht="15" hidden="1" customHeight="1">
      <c r="A271" s="284"/>
      <c r="B271" s="105" t="s">
        <v>90</v>
      </c>
      <c r="C271" s="38" t="s">
        <v>29</v>
      </c>
      <c r="D271" s="70" t="s">
        <v>19</v>
      </c>
      <c r="E271" s="109">
        <v>4.8</v>
      </c>
      <c r="F271" s="37">
        <f>F269*E271</f>
        <v>240.48</v>
      </c>
      <c r="G271" s="32"/>
      <c r="H271" s="244"/>
      <c r="I271" s="33">
        <v>20.329999999999998</v>
      </c>
      <c r="J271" s="73">
        <f>F271*I271</f>
        <v>4888.9583999999995</v>
      </c>
      <c r="K271" s="263">
        <f t="shared" si="21"/>
        <v>4888.9583999999995</v>
      </c>
      <c r="L271" s="1"/>
    </row>
    <row r="272" spans="1:12" s="45" customFormat="1" ht="25.5" hidden="1" customHeight="1">
      <c r="A272" s="288">
        <f>A269+1</f>
        <v>21</v>
      </c>
      <c r="B272" s="61" t="s">
        <v>185</v>
      </c>
      <c r="C272" s="38" t="s">
        <v>29</v>
      </c>
      <c r="D272" s="38" t="s">
        <v>30</v>
      </c>
      <c r="E272" s="109"/>
      <c r="F272" s="97">
        <f>F263</f>
        <v>50.1</v>
      </c>
      <c r="G272" s="32">
        <v>250</v>
      </c>
      <c r="H272" s="235">
        <f>F272*G272</f>
        <v>12525</v>
      </c>
      <c r="I272" s="33"/>
      <c r="J272" s="66"/>
      <c r="K272" s="260">
        <f t="shared" si="21"/>
        <v>12525</v>
      </c>
      <c r="L272" s="1"/>
    </row>
    <row r="273" spans="1:12" s="44" customFormat="1" ht="15" hidden="1" customHeight="1">
      <c r="A273" s="284"/>
      <c r="B273" s="105" t="s">
        <v>80</v>
      </c>
      <c r="C273" s="38" t="s">
        <v>29</v>
      </c>
      <c r="D273" s="70" t="s">
        <v>81</v>
      </c>
      <c r="E273" s="109">
        <f>(499*0.08*1.02)/1000</f>
        <v>4.0718400000000002E-2</v>
      </c>
      <c r="F273" s="37">
        <f>F272*E273</f>
        <v>2.0399918400000003</v>
      </c>
      <c r="G273" s="32"/>
      <c r="H273" s="244"/>
      <c r="I273" s="33">
        <v>5473.05</v>
      </c>
      <c r="J273" s="73">
        <f t="shared" ref="J273:J279" si="22">F273*I273</f>
        <v>11164.977339912002</v>
      </c>
      <c r="K273" s="263">
        <f t="shared" si="21"/>
        <v>11164.977339912002</v>
      </c>
      <c r="L273" s="1"/>
    </row>
    <row r="274" spans="1:12" s="44" customFormat="1" ht="15" hidden="1" customHeight="1">
      <c r="A274" s="284"/>
      <c r="B274" s="105" t="s">
        <v>82</v>
      </c>
      <c r="C274" s="38" t="s">
        <v>29</v>
      </c>
      <c r="D274" s="70" t="s">
        <v>81</v>
      </c>
      <c r="E274" s="109">
        <f>(1792*0.8*0.08*1.02)/1000</f>
        <v>0.11698176000000002</v>
      </c>
      <c r="F274" s="37">
        <f>F272*E274</f>
        <v>5.8607861760000013</v>
      </c>
      <c r="G274" s="32"/>
      <c r="H274" s="244"/>
      <c r="I274" s="33">
        <v>823.63</v>
      </c>
      <c r="J274" s="73">
        <f t="shared" si="22"/>
        <v>4827.1193181388808</v>
      </c>
      <c r="K274" s="263">
        <f t="shared" si="21"/>
        <v>4827.1193181388808</v>
      </c>
      <c r="L274" s="1"/>
    </row>
    <row r="275" spans="1:12" s="45" customFormat="1" ht="15" hidden="1" customHeight="1">
      <c r="A275" s="297"/>
      <c r="B275" s="105" t="s">
        <v>83</v>
      </c>
      <c r="C275" s="38" t="s">
        <v>29</v>
      </c>
      <c r="D275" s="70" t="s">
        <v>81</v>
      </c>
      <c r="E275" s="109">
        <f>(1792*0.2*0.08*1.02)/1000</f>
        <v>2.9245440000000004E-2</v>
      </c>
      <c r="F275" s="37">
        <f>F272*E275</f>
        <v>1.4651965440000003</v>
      </c>
      <c r="G275" s="32"/>
      <c r="H275" s="110"/>
      <c r="I275" s="33">
        <v>374.49299999999999</v>
      </c>
      <c r="J275" s="73">
        <f t="shared" si="22"/>
        <v>548.7058493521921</v>
      </c>
      <c r="K275" s="263">
        <f t="shared" si="21"/>
        <v>548.7058493521921</v>
      </c>
      <c r="L275" s="1"/>
    </row>
    <row r="276" spans="1:12" s="45" customFormat="1" ht="15" hidden="1" customHeight="1">
      <c r="A276" s="284"/>
      <c r="B276" s="105" t="s">
        <v>84</v>
      </c>
      <c r="C276" s="38" t="s">
        <v>29</v>
      </c>
      <c r="D276" s="70" t="s">
        <v>41</v>
      </c>
      <c r="E276" s="109">
        <v>1.1000000000000001</v>
      </c>
      <c r="F276" s="37">
        <f>F272*E276</f>
        <v>55.110000000000007</v>
      </c>
      <c r="G276" s="32"/>
      <c r="H276" s="110"/>
      <c r="I276" s="33">
        <v>115.91449999999999</v>
      </c>
      <c r="J276" s="73">
        <f t="shared" si="22"/>
        <v>6388.0480950000001</v>
      </c>
      <c r="K276" s="263">
        <f t="shared" si="21"/>
        <v>6388.0480950000001</v>
      </c>
      <c r="L276" s="1"/>
    </row>
    <row r="277" spans="1:12" s="44" customFormat="1" ht="15" hidden="1" customHeight="1">
      <c r="A277" s="284"/>
      <c r="B277" s="105" t="s">
        <v>85</v>
      </c>
      <c r="C277" s="38" t="s">
        <v>29</v>
      </c>
      <c r="D277" s="70" t="s">
        <v>81</v>
      </c>
      <c r="E277" s="109">
        <f>0.21/1000</f>
        <v>2.0999999999999998E-4</v>
      </c>
      <c r="F277" s="37">
        <f>F272*E277</f>
        <v>1.0520999999999999E-2</v>
      </c>
      <c r="G277" s="32"/>
      <c r="H277" s="244"/>
      <c r="I277" s="33">
        <v>56431.8</v>
      </c>
      <c r="J277" s="73">
        <f t="shared" si="22"/>
        <v>593.71896779999997</v>
      </c>
      <c r="K277" s="263">
        <f t="shared" si="21"/>
        <v>593.71896779999997</v>
      </c>
      <c r="L277" s="1"/>
    </row>
    <row r="278" spans="1:12" s="45" customFormat="1" ht="15" hidden="1" customHeight="1">
      <c r="A278" s="284"/>
      <c r="B278" s="105" t="s">
        <v>86</v>
      </c>
      <c r="C278" s="38" t="s">
        <v>29</v>
      </c>
      <c r="D278" s="70" t="s">
        <v>56</v>
      </c>
      <c r="E278" s="109">
        <v>4</v>
      </c>
      <c r="F278" s="37">
        <f>F272*E278</f>
        <v>200.4</v>
      </c>
      <c r="G278" s="32"/>
      <c r="H278" s="110"/>
      <c r="I278" s="33">
        <v>0.67135999999999996</v>
      </c>
      <c r="J278" s="73">
        <f t="shared" si="22"/>
        <v>134.54054399999998</v>
      </c>
      <c r="K278" s="263">
        <f t="shared" si="21"/>
        <v>134.54054399999998</v>
      </c>
      <c r="L278" s="1"/>
    </row>
    <row r="279" spans="1:12" s="44" customFormat="1" ht="15" hidden="1" customHeight="1">
      <c r="A279" s="284"/>
      <c r="B279" s="105" t="s">
        <v>87</v>
      </c>
      <c r="C279" s="38" t="s">
        <v>29</v>
      </c>
      <c r="D279" s="70" t="s">
        <v>58</v>
      </c>
      <c r="E279" s="109"/>
      <c r="F279" s="37">
        <f>F272</f>
        <v>50.1</v>
      </c>
      <c r="G279" s="32"/>
      <c r="H279" s="244"/>
      <c r="I279" s="33">
        <v>7.0979999999999999</v>
      </c>
      <c r="J279" s="73">
        <f t="shared" si="22"/>
        <v>355.60980000000001</v>
      </c>
      <c r="K279" s="263">
        <f t="shared" si="21"/>
        <v>355.60980000000001</v>
      </c>
      <c r="L279" s="1"/>
    </row>
    <row r="280" spans="1:12" s="45" customFormat="1" ht="15" hidden="1" customHeight="1">
      <c r="A280" s="288">
        <f>A272+1</f>
        <v>22</v>
      </c>
      <c r="B280" s="61" t="s">
        <v>101</v>
      </c>
      <c r="C280" s="38" t="s">
        <v>29</v>
      </c>
      <c r="D280" s="38" t="s">
        <v>30</v>
      </c>
      <c r="E280" s="109"/>
      <c r="F280" s="97">
        <f>F263</f>
        <v>50.1</v>
      </c>
      <c r="G280" s="32">
        <v>150</v>
      </c>
      <c r="H280" s="235">
        <f>F280*G280</f>
        <v>7515</v>
      </c>
      <c r="I280" s="33"/>
      <c r="J280" s="66"/>
      <c r="K280" s="260">
        <f t="shared" si="21"/>
        <v>7515</v>
      </c>
      <c r="L280" s="1"/>
    </row>
    <row r="281" spans="1:12" s="45" customFormat="1" ht="15" hidden="1" customHeight="1">
      <c r="A281" s="284"/>
      <c r="B281" s="105" t="s">
        <v>102</v>
      </c>
      <c r="C281" s="38" t="s">
        <v>29</v>
      </c>
      <c r="D281" s="70" t="s">
        <v>41</v>
      </c>
      <c r="E281" s="109">
        <f>1.15</f>
        <v>1.1499999999999999</v>
      </c>
      <c r="F281" s="37">
        <f>F280*E281</f>
        <v>57.614999999999995</v>
      </c>
      <c r="G281" s="32"/>
      <c r="H281" s="110"/>
      <c r="I281" s="33">
        <v>38.708099999999995</v>
      </c>
      <c r="J281" s="73">
        <f>F281*I281</f>
        <v>2230.1671814999995</v>
      </c>
      <c r="K281" s="263">
        <f t="shared" si="21"/>
        <v>2230.1671814999995</v>
      </c>
      <c r="L281" s="1"/>
    </row>
    <row r="282" spans="1:12" s="44" customFormat="1" ht="15" hidden="1" customHeight="1">
      <c r="A282" s="284"/>
      <c r="B282" s="105" t="s">
        <v>103</v>
      </c>
      <c r="C282" s="38" t="s">
        <v>29</v>
      </c>
      <c r="D282" s="70" t="s">
        <v>19</v>
      </c>
      <c r="E282" s="109">
        <v>0.3</v>
      </c>
      <c r="F282" s="37">
        <f>F280*E282</f>
        <v>15.03</v>
      </c>
      <c r="G282" s="32"/>
      <c r="H282" s="244"/>
      <c r="I282" s="33">
        <v>60.6</v>
      </c>
      <c r="J282" s="73">
        <f>F282*I282</f>
        <v>910.81799999999998</v>
      </c>
      <c r="K282" s="263">
        <f t="shared" si="21"/>
        <v>910.81799999999998</v>
      </c>
      <c r="L282" s="1"/>
    </row>
    <row r="283" spans="1:12" s="45" customFormat="1" ht="15" hidden="1" customHeight="1">
      <c r="A283" s="288"/>
      <c r="B283" s="105" t="s">
        <v>104</v>
      </c>
      <c r="C283" s="38" t="s">
        <v>29</v>
      </c>
      <c r="D283" s="70" t="s">
        <v>21</v>
      </c>
      <c r="E283" s="64">
        <v>1</v>
      </c>
      <c r="F283" s="37">
        <f>E283*F280</f>
        <v>50.1</v>
      </c>
      <c r="G283" s="32"/>
      <c r="H283" s="110"/>
      <c r="I283" s="33">
        <v>35</v>
      </c>
      <c r="J283" s="73">
        <f>F283*I283</f>
        <v>1753.5</v>
      </c>
      <c r="K283" s="263">
        <f t="shared" si="21"/>
        <v>1753.5</v>
      </c>
      <c r="L283" s="1"/>
    </row>
    <row r="284" spans="1:12" s="45" customFormat="1" ht="15" hidden="1" customHeight="1">
      <c r="A284" s="282"/>
      <c r="B284" s="120" t="s">
        <v>117</v>
      </c>
      <c r="C284" s="291"/>
      <c r="D284" s="292"/>
      <c r="E284" s="293"/>
      <c r="F284" s="292"/>
      <c r="G284" s="57"/>
      <c r="H284" s="292"/>
      <c r="I284" s="59"/>
      <c r="J284" s="294"/>
      <c r="K284" s="295"/>
      <c r="L284" s="1"/>
    </row>
    <row r="285" spans="1:12" s="45" customFormat="1" ht="15" hidden="1" customHeight="1">
      <c r="A285" s="288">
        <f>A280+1</f>
        <v>23</v>
      </c>
      <c r="B285" s="61" t="s">
        <v>77</v>
      </c>
      <c r="C285" s="38" t="s">
        <v>23</v>
      </c>
      <c r="D285" s="38" t="s">
        <v>30</v>
      </c>
      <c r="E285" s="109"/>
      <c r="F285" s="97">
        <v>58.62</v>
      </c>
      <c r="G285" s="32">
        <v>670</v>
      </c>
      <c r="H285" s="235">
        <f>F285*G285</f>
        <v>39275.4</v>
      </c>
      <c r="I285" s="33"/>
      <c r="J285" s="66"/>
      <c r="K285" s="260">
        <f t="shared" ref="K285:K298" si="23">H285+J285</f>
        <v>39275.4</v>
      </c>
      <c r="L285" s="1"/>
    </row>
    <row r="286" spans="1:12" s="45" customFormat="1" ht="15" hidden="1" customHeight="1">
      <c r="A286" s="284"/>
      <c r="B286" s="105" t="s">
        <v>24</v>
      </c>
      <c r="C286" s="38" t="s">
        <v>23</v>
      </c>
      <c r="D286" s="70" t="s">
        <v>41</v>
      </c>
      <c r="E286" s="109">
        <v>1.1000000000000001</v>
      </c>
      <c r="F286" s="37">
        <f>F285*E286</f>
        <v>64.481999999999999</v>
      </c>
      <c r="G286" s="32"/>
      <c r="H286" s="110"/>
      <c r="I286" s="33">
        <v>401.24249999999995</v>
      </c>
      <c r="J286" s="73">
        <f>F286*I286</f>
        <v>25872.918884999995</v>
      </c>
      <c r="K286" s="263">
        <f t="shared" si="23"/>
        <v>25872.918884999995</v>
      </c>
      <c r="L286" s="1"/>
    </row>
    <row r="287" spans="1:12" s="44" customFormat="1" ht="15" hidden="1" customHeight="1">
      <c r="A287" s="284"/>
      <c r="B287" s="105" t="s">
        <v>34</v>
      </c>
      <c r="C287" s="38" t="s">
        <v>23</v>
      </c>
      <c r="D287" s="70" t="s">
        <v>21</v>
      </c>
      <c r="E287" s="109">
        <v>0.2</v>
      </c>
      <c r="F287" s="37">
        <f>F285*E287</f>
        <v>11.724</v>
      </c>
      <c r="G287" s="32"/>
      <c r="H287" s="244"/>
      <c r="I287" s="33">
        <v>37.450000000000003</v>
      </c>
      <c r="J287" s="73">
        <f>F287*I287</f>
        <v>439.06380000000001</v>
      </c>
      <c r="K287" s="263">
        <f t="shared" si="23"/>
        <v>439.06380000000001</v>
      </c>
      <c r="L287" s="1"/>
    </row>
    <row r="288" spans="1:12" s="44" customFormat="1" ht="15" hidden="1" customHeight="1">
      <c r="A288" s="284"/>
      <c r="B288" s="105" t="s">
        <v>71</v>
      </c>
      <c r="C288" s="38" t="s">
        <v>23</v>
      </c>
      <c r="D288" s="70" t="s">
        <v>19</v>
      </c>
      <c r="E288" s="109">
        <v>7.6</v>
      </c>
      <c r="F288" s="37">
        <f>F285*E288</f>
        <v>445.51199999999994</v>
      </c>
      <c r="G288" s="32"/>
      <c r="H288" s="244"/>
      <c r="I288" s="33">
        <v>7.6</v>
      </c>
      <c r="J288" s="73">
        <f>F288*I288</f>
        <v>3385.8911999999996</v>
      </c>
      <c r="K288" s="263">
        <f t="shared" si="23"/>
        <v>3385.8911999999996</v>
      </c>
      <c r="L288" s="1"/>
    </row>
    <row r="289" spans="1:12" s="45" customFormat="1" ht="15" hidden="1" customHeight="1">
      <c r="A289" s="284"/>
      <c r="B289" s="105" t="s">
        <v>72</v>
      </c>
      <c r="C289" s="38" t="s">
        <v>23</v>
      </c>
      <c r="D289" s="70" t="s">
        <v>56</v>
      </c>
      <c r="E289" s="109">
        <v>11</v>
      </c>
      <c r="F289" s="37">
        <f>F285*E289</f>
        <v>644.81999999999994</v>
      </c>
      <c r="G289" s="32"/>
      <c r="H289" s="110"/>
      <c r="I289" s="33">
        <v>1.3007599999999999</v>
      </c>
      <c r="J289" s="73">
        <f>F289*I289</f>
        <v>838.75606319999986</v>
      </c>
      <c r="K289" s="263">
        <f t="shared" si="23"/>
        <v>838.75606319999986</v>
      </c>
      <c r="L289" s="1"/>
    </row>
    <row r="290" spans="1:12" s="44" customFormat="1" ht="15" hidden="1" customHeight="1">
      <c r="A290" s="284"/>
      <c r="B290" s="105" t="s">
        <v>73</v>
      </c>
      <c r="C290" s="38" t="s">
        <v>23</v>
      </c>
      <c r="D290" s="70" t="s">
        <v>19</v>
      </c>
      <c r="E290" s="109">
        <v>0.4</v>
      </c>
      <c r="F290" s="37">
        <f>F285*E290</f>
        <v>23.448</v>
      </c>
      <c r="G290" s="32"/>
      <c r="H290" s="244"/>
      <c r="I290" s="33">
        <v>123.5</v>
      </c>
      <c r="J290" s="73">
        <f>F290*I290</f>
        <v>2895.828</v>
      </c>
      <c r="K290" s="263">
        <f t="shared" si="23"/>
        <v>2895.828</v>
      </c>
      <c r="L290" s="1"/>
    </row>
    <row r="291" spans="1:12" s="45" customFormat="1" ht="25.5" hidden="1" customHeight="1">
      <c r="A291" s="288">
        <f>A285+1</f>
        <v>24</v>
      </c>
      <c r="B291" s="61" t="s">
        <v>186</v>
      </c>
      <c r="C291" s="38" t="s">
        <v>29</v>
      </c>
      <c r="D291" s="38" t="s">
        <v>30</v>
      </c>
      <c r="E291" s="109"/>
      <c r="F291" s="97">
        <f>F285</f>
        <v>58.62</v>
      </c>
      <c r="G291" s="32">
        <v>250</v>
      </c>
      <c r="H291" s="235">
        <f>F291*G291</f>
        <v>14655</v>
      </c>
      <c r="I291" s="33"/>
      <c r="J291" s="66"/>
      <c r="K291" s="260">
        <f t="shared" si="23"/>
        <v>14655</v>
      </c>
      <c r="L291" s="1"/>
    </row>
    <row r="292" spans="1:12" s="44" customFormat="1" ht="15" hidden="1" customHeight="1">
      <c r="A292" s="284"/>
      <c r="B292" s="105" t="s">
        <v>80</v>
      </c>
      <c r="C292" s="38" t="s">
        <v>29</v>
      </c>
      <c r="D292" s="70" t="s">
        <v>81</v>
      </c>
      <c r="E292" s="109">
        <f>(499*0.1*1.02)/1000</f>
        <v>5.0898000000000006E-2</v>
      </c>
      <c r="F292" s="37">
        <f>F291*E292</f>
        <v>2.9836407600000001</v>
      </c>
      <c r="G292" s="32"/>
      <c r="H292" s="244"/>
      <c r="I292" s="33">
        <v>5473.05</v>
      </c>
      <c r="J292" s="73">
        <f t="shared" ref="J292:J298" si="24">F292*I292</f>
        <v>16329.615061518001</v>
      </c>
      <c r="K292" s="263">
        <f t="shared" si="23"/>
        <v>16329.615061518001</v>
      </c>
      <c r="L292" s="1"/>
    </row>
    <row r="293" spans="1:12" s="44" customFormat="1" ht="15" hidden="1" customHeight="1">
      <c r="A293" s="284"/>
      <c r="B293" s="105" t="s">
        <v>82</v>
      </c>
      <c r="C293" s="38" t="s">
        <v>29</v>
      </c>
      <c r="D293" s="70" t="s">
        <v>81</v>
      </c>
      <c r="E293" s="109">
        <f>(1792*0.8*0.1*1.02)/1000</f>
        <v>0.1462272</v>
      </c>
      <c r="F293" s="37">
        <f>F291*E293</f>
        <v>8.5718384639999989</v>
      </c>
      <c r="G293" s="32"/>
      <c r="H293" s="244"/>
      <c r="I293" s="33">
        <v>823.63</v>
      </c>
      <c r="J293" s="73">
        <f t="shared" si="24"/>
        <v>7060.0233141043191</v>
      </c>
      <c r="K293" s="263">
        <f t="shared" si="23"/>
        <v>7060.0233141043191</v>
      </c>
      <c r="L293" s="1"/>
    </row>
    <row r="294" spans="1:12" s="45" customFormat="1" ht="15" hidden="1" customHeight="1">
      <c r="A294" s="297"/>
      <c r="B294" s="105" t="s">
        <v>83</v>
      </c>
      <c r="C294" s="38" t="s">
        <v>29</v>
      </c>
      <c r="D294" s="70" t="s">
        <v>81</v>
      </c>
      <c r="E294" s="109">
        <f>(1792*0.2*0.1*1.02)/1000</f>
        <v>3.65568E-2</v>
      </c>
      <c r="F294" s="37">
        <f>F291*E294</f>
        <v>2.1429596159999997</v>
      </c>
      <c r="G294" s="32"/>
      <c r="H294" s="110"/>
      <c r="I294" s="33">
        <v>374.49299999999999</v>
      </c>
      <c r="J294" s="73">
        <f t="shared" si="24"/>
        <v>802.5233754746879</v>
      </c>
      <c r="K294" s="263">
        <f t="shared" si="23"/>
        <v>802.5233754746879</v>
      </c>
      <c r="L294" s="1"/>
    </row>
    <row r="295" spans="1:12" s="45" customFormat="1" ht="15" hidden="1" customHeight="1">
      <c r="A295" s="284"/>
      <c r="B295" s="105" t="s">
        <v>84</v>
      </c>
      <c r="C295" s="38" t="s">
        <v>29</v>
      </c>
      <c r="D295" s="70" t="s">
        <v>41</v>
      </c>
      <c r="E295" s="109">
        <v>1.1000000000000001</v>
      </c>
      <c r="F295" s="37">
        <f>F291*E295</f>
        <v>64.481999999999999</v>
      </c>
      <c r="G295" s="32"/>
      <c r="H295" s="110"/>
      <c r="I295" s="33">
        <v>115.91449999999999</v>
      </c>
      <c r="J295" s="73">
        <f t="shared" si="24"/>
        <v>7474.3987889999989</v>
      </c>
      <c r="K295" s="263">
        <f t="shared" si="23"/>
        <v>7474.3987889999989</v>
      </c>
      <c r="L295" s="1"/>
    </row>
    <row r="296" spans="1:12" s="44" customFormat="1" ht="15" hidden="1" customHeight="1">
      <c r="A296" s="284"/>
      <c r="B296" s="105" t="s">
        <v>85</v>
      </c>
      <c r="C296" s="38" t="s">
        <v>29</v>
      </c>
      <c r="D296" s="70" t="s">
        <v>81</v>
      </c>
      <c r="E296" s="109">
        <f>0.21/1000</f>
        <v>2.0999999999999998E-4</v>
      </c>
      <c r="F296" s="37">
        <f>F291*E296</f>
        <v>1.2310199999999999E-2</v>
      </c>
      <c r="G296" s="32"/>
      <c r="H296" s="244"/>
      <c r="I296" s="33">
        <v>56431.8</v>
      </c>
      <c r="J296" s="73">
        <f t="shared" si="24"/>
        <v>694.68674435999992</v>
      </c>
      <c r="K296" s="263">
        <f t="shared" si="23"/>
        <v>694.68674435999992</v>
      </c>
      <c r="L296" s="1"/>
    </row>
    <row r="297" spans="1:12" s="45" customFormat="1" ht="15" hidden="1" customHeight="1">
      <c r="A297" s="284"/>
      <c r="B297" s="105" t="s">
        <v>86</v>
      </c>
      <c r="C297" s="38" t="s">
        <v>29</v>
      </c>
      <c r="D297" s="70" t="s">
        <v>56</v>
      </c>
      <c r="E297" s="109">
        <v>4</v>
      </c>
      <c r="F297" s="37">
        <f>F291*E297</f>
        <v>234.48</v>
      </c>
      <c r="G297" s="32"/>
      <c r="H297" s="110"/>
      <c r="I297" s="33">
        <v>0.67135999999999996</v>
      </c>
      <c r="J297" s="73">
        <f t="shared" si="24"/>
        <v>157.42049279999998</v>
      </c>
      <c r="K297" s="263">
        <f t="shared" si="23"/>
        <v>157.42049279999998</v>
      </c>
      <c r="L297" s="1"/>
    </row>
    <row r="298" spans="1:12" s="44" customFormat="1" ht="15" hidden="1" customHeight="1">
      <c r="A298" s="284"/>
      <c r="B298" s="105" t="s">
        <v>87</v>
      </c>
      <c r="C298" s="38" t="s">
        <v>29</v>
      </c>
      <c r="D298" s="70" t="s">
        <v>58</v>
      </c>
      <c r="E298" s="109"/>
      <c r="F298" s="37">
        <f>F291</f>
        <v>58.62</v>
      </c>
      <c r="G298" s="32"/>
      <c r="H298" s="244"/>
      <c r="I298" s="33">
        <v>7.0979999999999999</v>
      </c>
      <c r="J298" s="73">
        <f t="shared" si="24"/>
        <v>416.08475999999996</v>
      </c>
      <c r="K298" s="263">
        <f t="shared" si="23"/>
        <v>416.08475999999996</v>
      </c>
      <c r="L298" s="1"/>
    </row>
    <row r="299" spans="1:12" s="45" customFormat="1" ht="15" hidden="1" customHeight="1">
      <c r="A299" s="284"/>
      <c r="B299" s="105"/>
      <c r="C299" s="75"/>
      <c r="D299" s="70"/>
      <c r="E299" s="109"/>
      <c r="F299" s="37"/>
      <c r="G299" s="32"/>
      <c r="H299" s="110"/>
      <c r="I299" s="33"/>
      <c r="J299" s="73"/>
      <c r="K299" s="263"/>
      <c r="L299" s="1"/>
    </row>
    <row r="300" spans="1:12" s="45" customFormat="1" ht="15" hidden="1" customHeight="1">
      <c r="A300" s="282"/>
      <c r="B300" s="120" t="s">
        <v>118</v>
      </c>
      <c r="C300" s="291"/>
      <c r="D300" s="292"/>
      <c r="E300" s="293"/>
      <c r="F300" s="292"/>
      <c r="G300" s="57"/>
      <c r="H300" s="292"/>
      <c r="I300" s="59"/>
      <c r="J300" s="294"/>
      <c r="K300" s="295"/>
      <c r="L300" s="1"/>
    </row>
    <row r="301" spans="1:12" s="45" customFormat="1" ht="15" hidden="1" customHeight="1">
      <c r="A301" s="288">
        <f>A291+1</f>
        <v>25</v>
      </c>
      <c r="B301" s="61" t="s">
        <v>77</v>
      </c>
      <c r="C301" s="38" t="s">
        <v>23</v>
      </c>
      <c r="D301" s="38" t="s">
        <v>30</v>
      </c>
      <c r="E301" s="109"/>
      <c r="F301" s="97">
        <v>77.849999999999994</v>
      </c>
      <c r="G301" s="32">
        <v>670</v>
      </c>
      <c r="H301" s="235">
        <f>F301*G301</f>
        <v>52159.499999999993</v>
      </c>
      <c r="I301" s="33"/>
      <c r="J301" s="66"/>
      <c r="K301" s="260">
        <f t="shared" ref="K301:K322" si="25">H301+J301</f>
        <v>52159.499999999993</v>
      </c>
      <c r="L301" s="1"/>
    </row>
    <row r="302" spans="1:12" s="45" customFormat="1" ht="15" hidden="1" customHeight="1">
      <c r="A302" s="284"/>
      <c r="B302" s="105" t="s">
        <v>24</v>
      </c>
      <c r="C302" s="38" t="s">
        <v>23</v>
      </c>
      <c r="D302" s="70" t="s">
        <v>41</v>
      </c>
      <c r="E302" s="109">
        <v>1.1000000000000001</v>
      </c>
      <c r="F302" s="37">
        <f>F301*E302</f>
        <v>85.635000000000005</v>
      </c>
      <c r="G302" s="32"/>
      <c r="H302" s="110"/>
      <c r="I302" s="33">
        <v>401.24249999999995</v>
      </c>
      <c r="J302" s="73">
        <f>F302*I302</f>
        <v>34360.401487499999</v>
      </c>
      <c r="K302" s="263">
        <f t="shared" si="25"/>
        <v>34360.401487499999</v>
      </c>
      <c r="L302" s="1"/>
    </row>
    <row r="303" spans="1:12" s="44" customFormat="1" ht="15" hidden="1" customHeight="1">
      <c r="A303" s="284"/>
      <c r="B303" s="105" t="s">
        <v>34</v>
      </c>
      <c r="C303" s="38" t="s">
        <v>23</v>
      </c>
      <c r="D303" s="70" t="s">
        <v>21</v>
      </c>
      <c r="E303" s="109">
        <v>0.2</v>
      </c>
      <c r="F303" s="37">
        <f>F301*E303</f>
        <v>15.57</v>
      </c>
      <c r="G303" s="32"/>
      <c r="H303" s="244"/>
      <c r="I303" s="33">
        <v>37.450000000000003</v>
      </c>
      <c r="J303" s="73">
        <f>F303*I303</f>
        <v>583.09650000000011</v>
      </c>
      <c r="K303" s="263">
        <f t="shared" si="25"/>
        <v>583.09650000000011</v>
      </c>
      <c r="L303" s="1"/>
    </row>
    <row r="304" spans="1:12" s="44" customFormat="1" ht="15" hidden="1" customHeight="1">
      <c r="A304" s="284"/>
      <c r="B304" s="105" t="s">
        <v>71</v>
      </c>
      <c r="C304" s="38" t="s">
        <v>23</v>
      </c>
      <c r="D304" s="70" t="s">
        <v>19</v>
      </c>
      <c r="E304" s="109">
        <v>7.6</v>
      </c>
      <c r="F304" s="37">
        <f>F301*E304</f>
        <v>591.66</v>
      </c>
      <c r="G304" s="32"/>
      <c r="H304" s="244"/>
      <c r="I304" s="33">
        <v>7.6</v>
      </c>
      <c r="J304" s="73">
        <f>F304*I304</f>
        <v>4496.616</v>
      </c>
      <c r="K304" s="263">
        <f t="shared" si="25"/>
        <v>4496.616</v>
      </c>
      <c r="L304" s="1"/>
    </row>
    <row r="305" spans="1:12" s="45" customFormat="1" ht="15" hidden="1" customHeight="1">
      <c r="A305" s="284"/>
      <c r="B305" s="105" t="s">
        <v>72</v>
      </c>
      <c r="C305" s="38" t="s">
        <v>23</v>
      </c>
      <c r="D305" s="70" t="s">
        <v>56</v>
      </c>
      <c r="E305" s="109">
        <v>11</v>
      </c>
      <c r="F305" s="37">
        <f>F301*E305</f>
        <v>856.34999999999991</v>
      </c>
      <c r="G305" s="32"/>
      <c r="H305" s="110"/>
      <c r="I305" s="33">
        <v>1.3007599999999999</v>
      </c>
      <c r="J305" s="73">
        <f>F305*I305</f>
        <v>1113.9058259999997</v>
      </c>
      <c r="K305" s="263">
        <f t="shared" si="25"/>
        <v>1113.9058259999997</v>
      </c>
      <c r="L305" s="1"/>
    </row>
    <row r="306" spans="1:12" s="44" customFormat="1" ht="15" hidden="1" customHeight="1">
      <c r="A306" s="284"/>
      <c r="B306" s="105" t="s">
        <v>73</v>
      </c>
      <c r="C306" s="38" t="s">
        <v>23</v>
      </c>
      <c r="D306" s="70" t="s">
        <v>19</v>
      </c>
      <c r="E306" s="109">
        <v>0.4</v>
      </c>
      <c r="F306" s="37">
        <f>F301*E306</f>
        <v>31.14</v>
      </c>
      <c r="G306" s="32"/>
      <c r="H306" s="244"/>
      <c r="I306" s="33">
        <v>123.5</v>
      </c>
      <c r="J306" s="73">
        <f>F306*I306</f>
        <v>3845.79</v>
      </c>
      <c r="K306" s="263">
        <f t="shared" si="25"/>
        <v>3845.79</v>
      </c>
      <c r="L306" s="1"/>
    </row>
    <row r="307" spans="1:12" s="45" customFormat="1" ht="25.5" hidden="1" customHeight="1">
      <c r="A307" s="288">
        <f>A301+1</f>
        <v>26</v>
      </c>
      <c r="B307" s="61" t="s">
        <v>119</v>
      </c>
      <c r="C307" s="38" t="s">
        <v>29</v>
      </c>
      <c r="D307" s="38" t="s">
        <v>30</v>
      </c>
      <c r="E307" s="109"/>
      <c r="F307" s="97">
        <f>F301</f>
        <v>77.849999999999994</v>
      </c>
      <c r="G307" s="32">
        <v>250</v>
      </c>
      <c r="H307" s="235">
        <f>F307*G307</f>
        <v>19462.5</v>
      </c>
      <c r="I307" s="33"/>
      <c r="J307" s="66"/>
      <c r="K307" s="260">
        <f t="shared" si="25"/>
        <v>19462.5</v>
      </c>
      <c r="L307" s="1"/>
    </row>
    <row r="308" spans="1:12" s="44" customFormat="1" ht="15" hidden="1" customHeight="1">
      <c r="A308" s="284"/>
      <c r="B308" s="105" t="s">
        <v>80</v>
      </c>
      <c r="C308" s="38" t="s">
        <v>29</v>
      </c>
      <c r="D308" s="70" t="s">
        <v>81</v>
      </c>
      <c r="E308" s="109">
        <f>(499*0.075*1.02)/1000</f>
        <v>3.8173499999999999E-2</v>
      </c>
      <c r="F308" s="37">
        <f>F307*E308</f>
        <v>2.9718069749999998</v>
      </c>
      <c r="G308" s="32"/>
      <c r="H308" s="244"/>
      <c r="I308" s="33">
        <v>5473.05</v>
      </c>
      <c r="J308" s="73">
        <f t="shared" ref="J308:J314" si="26">F308*I308</f>
        <v>16264.84816452375</v>
      </c>
      <c r="K308" s="263">
        <f t="shared" si="25"/>
        <v>16264.84816452375</v>
      </c>
      <c r="L308" s="1"/>
    </row>
    <row r="309" spans="1:12" s="44" customFormat="1" ht="15" hidden="1" customHeight="1">
      <c r="A309" s="284"/>
      <c r="B309" s="105" t="s">
        <v>82</v>
      </c>
      <c r="C309" s="38" t="s">
        <v>29</v>
      </c>
      <c r="D309" s="70" t="s">
        <v>81</v>
      </c>
      <c r="E309" s="109">
        <f>(1792*0.8*0.075*1.02)/1000</f>
        <v>0.10967040000000002</v>
      </c>
      <c r="F309" s="37">
        <f>F307*E309</f>
        <v>8.5378406400000006</v>
      </c>
      <c r="G309" s="32"/>
      <c r="H309" s="244"/>
      <c r="I309" s="33">
        <v>823.63</v>
      </c>
      <c r="J309" s="73">
        <f t="shared" si="26"/>
        <v>7032.0216863232008</v>
      </c>
      <c r="K309" s="263">
        <f t="shared" si="25"/>
        <v>7032.0216863232008</v>
      </c>
      <c r="L309" s="1"/>
    </row>
    <row r="310" spans="1:12" s="45" customFormat="1" ht="15" hidden="1" customHeight="1">
      <c r="A310" s="284"/>
      <c r="B310" s="105" t="s">
        <v>83</v>
      </c>
      <c r="C310" s="38" t="s">
        <v>29</v>
      </c>
      <c r="D310" s="70" t="s">
        <v>81</v>
      </c>
      <c r="E310" s="109">
        <f>(1792*0.2*0.075*1.02)/1000</f>
        <v>2.7417600000000004E-2</v>
      </c>
      <c r="F310" s="37">
        <f>F307*E310</f>
        <v>2.1344601600000002</v>
      </c>
      <c r="G310" s="32"/>
      <c r="H310" s="110"/>
      <c r="I310" s="33">
        <v>374.49299999999999</v>
      </c>
      <c r="J310" s="73">
        <f t="shared" si="26"/>
        <v>799.34038869888002</v>
      </c>
      <c r="K310" s="263">
        <f t="shared" si="25"/>
        <v>799.34038869888002</v>
      </c>
      <c r="L310" s="1"/>
    </row>
    <row r="311" spans="1:12" s="45" customFormat="1" ht="15" hidden="1" customHeight="1">
      <c r="A311" s="284"/>
      <c r="B311" s="105" t="s">
        <v>84</v>
      </c>
      <c r="C311" s="38" t="s">
        <v>29</v>
      </c>
      <c r="D311" s="70" t="s">
        <v>41</v>
      </c>
      <c r="E311" s="109">
        <v>1.1000000000000001</v>
      </c>
      <c r="F311" s="37">
        <f>F307*E311</f>
        <v>85.635000000000005</v>
      </c>
      <c r="G311" s="32"/>
      <c r="H311" s="110"/>
      <c r="I311" s="33">
        <v>115.91449999999999</v>
      </c>
      <c r="J311" s="73">
        <f t="shared" si="26"/>
        <v>9926.338207499999</v>
      </c>
      <c r="K311" s="263">
        <f t="shared" si="25"/>
        <v>9926.338207499999</v>
      </c>
      <c r="L311" s="1"/>
    </row>
    <row r="312" spans="1:12" s="44" customFormat="1" ht="15" hidden="1" customHeight="1">
      <c r="A312" s="284"/>
      <c r="B312" s="105" t="s">
        <v>85</v>
      </c>
      <c r="C312" s="38" t="s">
        <v>29</v>
      </c>
      <c r="D312" s="70" t="s">
        <v>81</v>
      </c>
      <c r="E312" s="109">
        <f>0.21/1000</f>
        <v>2.0999999999999998E-4</v>
      </c>
      <c r="F312" s="37">
        <f>F307*E312</f>
        <v>1.6348499999999998E-2</v>
      </c>
      <c r="G312" s="32"/>
      <c r="H312" s="244"/>
      <c r="I312" s="33">
        <v>56431.8</v>
      </c>
      <c r="J312" s="73">
        <f t="shared" si="26"/>
        <v>922.57528229999991</v>
      </c>
      <c r="K312" s="263">
        <f t="shared" si="25"/>
        <v>922.57528229999991</v>
      </c>
      <c r="L312" s="1"/>
    </row>
    <row r="313" spans="1:12" s="45" customFormat="1" ht="15" hidden="1" customHeight="1">
      <c r="A313" s="284"/>
      <c r="B313" s="105" t="s">
        <v>86</v>
      </c>
      <c r="C313" s="38" t="s">
        <v>29</v>
      </c>
      <c r="D313" s="70" t="s">
        <v>56</v>
      </c>
      <c r="E313" s="109">
        <v>4</v>
      </c>
      <c r="F313" s="37">
        <f>F307*E313</f>
        <v>311.39999999999998</v>
      </c>
      <c r="G313" s="32"/>
      <c r="H313" s="110"/>
      <c r="I313" s="33">
        <v>0.67135999999999996</v>
      </c>
      <c r="J313" s="73">
        <f t="shared" si="26"/>
        <v>209.06150399999999</v>
      </c>
      <c r="K313" s="263">
        <f t="shared" si="25"/>
        <v>209.06150399999999</v>
      </c>
      <c r="L313" s="1"/>
    </row>
    <row r="314" spans="1:12" s="44" customFormat="1" ht="15" hidden="1" customHeight="1">
      <c r="A314" s="284"/>
      <c r="B314" s="105" t="s">
        <v>87</v>
      </c>
      <c r="C314" s="38" t="s">
        <v>29</v>
      </c>
      <c r="D314" s="70" t="s">
        <v>58</v>
      </c>
      <c r="E314" s="109"/>
      <c r="F314" s="37">
        <f>F307</f>
        <v>77.849999999999994</v>
      </c>
      <c r="G314" s="32"/>
      <c r="H314" s="244"/>
      <c r="I314" s="33">
        <v>7.0979999999999999</v>
      </c>
      <c r="J314" s="73">
        <f t="shared" si="26"/>
        <v>552.57929999999999</v>
      </c>
      <c r="K314" s="263">
        <f t="shared" si="25"/>
        <v>552.57929999999999</v>
      </c>
      <c r="L314" s="1"/>
    </row>
    <row r="315" spans="1:12" s="45" customFormat="1" ht="25.5" hidden="1" customHeight="1">
      <c r="A315" s="288">
        <f>A307+1</f>
        <v>27</v>
      </c>
      <c r="B315" s="61" t="s">
        <v>98</v>
      </c>
      <c r="C315" s="38" t="s">
        <v>29</v>
      </c>
      <c r="D315" s="38" t="s">
        <v>30</v>
      </c>
      <c r="E315" s="109"/>
      <c r="F315" s="97">
        <f>F301</f>
        <v>77.849999999999994</v>
      </c>
      <c r="G315" s="32">
        <v>120</v>
      </c>
      <c r="H315" s="235">
        <f>F315*G315</f>
        <v>9342</v>
      </c>
      <c r="I315" s="33"/>
      <c r="J315" s="66"/>
      <c r="K315" s="260">
        <f t="shared" si="25"/>
        <v>9342</v>
      </c>
      <c r="L315" s="1"/>
    </row>
    <row r="316" spans="1:12" s="44" customFormat="1" ht="15" hidden="1" customHeight="1">
      <c r="A316" s="284"/>
      <c r="B316" s="105" t="s">
        <v>99</v>
      </c>
      <c r="C316" s="38" t="s">
        <v>29</v>
      </c>
      <c r="D316" s="70" t="s">
        <v>41</v>
      </c>
      <c r="E316" s="109">
        <v>1.1499999999999999</v>
      </c>
      <c r="F316" s="37">
        <f>F315*E316</f>
        <v>89.527499999999989</v>
      </c>
      <c r="G316" s="32"/>
      <c r="H316" s="244"/>
      <c r="I316" s="33">
        <v>161.51</v>
      </c>
      <c r="J316" s="73">
        <f>F316*I316</f>
        <v>14459.586524999997</v>
      </c>
      <c r="K316" s="263">
        <f t="shared" si="25"/>
        <v>14459.586524999997</v>
      </c>
      <c r="L316" s="1"/>
    </row>
    <row r="317" spans="1:12" s="45" customFormat="1" ht="15" hidden="1" customHeight="1">
      <c r="A317" s="284"/>
      <c r="B317" s="105" t="s">
        <v>100</v>
      </c>
      <c r="C317" s="38" t="s">
        <v>29</v>
      </c>
      <c r="D317" s="70" t="s">
        <v>58</v>
      </c>
      <c r="E317" s="109"/>
      <c r="F317" s="37">
        <f>F315</f>
        <v>77.849999999999994</v>
      </c>
      <c r="G317" s="32"/>
      <c r="H317" s="110"/>
      <c r="I317" s="33">
        <v>0.90213999999999994</v>
      </c>
      <c r="J317" s="73">
        <f>F317*I317</f>
        <v>70.231598999999989</v>
      </c>
      <c r="K317" s="263">
        <f t="shared" si="25"/>
        <v>70.231598999999989</v>
      </c>
      <c r="L317" s="1"/>
    </row>
    <row r="318" spans="1:12" s="45" customFormat="1" ht="15" hidden="1" customHeight="1">
      <c r="A318" s="288">
        <f>A315+1</f>
        <v>28</v>
      </c>
      <c r="B318" s="61" t="s">
        <v>91</v>
      </c>
      <c r="C318" s="38" t="s">
        <v>29</v>
      </c>
      <c r="D318" s="38" t="s">
        <v>30</v>
      </c>
      <c r="E318" s="109"/>
      <c r="F318" s="97">
        <f>F301</f>
        <v>77.849999999999994</v>
      </c>
      <c r="G318" s="32">
        <v>50</v>
      </c>
      <c r="H318" s="235">
        <f>F318*G318</f>
        <v>3892.4999999999995</v>
      </c>
      <c r="I318" s="33"/>
      <c r="J318" s="66"/>
      <c r="K318" s="260">
        <f t="shared" si="25"/>
        <v>3892.4999999999995</v>
      </c>
      <c r="L318" s="1"/>
    </row>
    <row r="319" spans="1:12" s="45" customFormat="1" ht="15" hidden="1" customHeight="1">
      <c r="A319" s="284"/>
      <c r="B319" s="105" t="s">
        <v>92</v>
      </c>
      <c r="C319" s="38" t="s">
        <v>29</v>
      </c>
      <c r="D319" s="70" t="s">
        <v>41</v>
      </c>
      <c r="E319" s="109">
        <v>1.1000000000000001</v>
      </c>
      <c r="F319" s="37">
        <f>F318*E319</f>
        <v>85.635000000000005</v>
      </c>
      <c r="G319" s="32"/>
      <c r="H319" s="110"/>
      <c r="I319" s="33">
        <v>14.05</v>
      </c>
      <c r="J319" s="73">
        <f>F319*I319</f>
        <v>1203.1717500000002</v>
      </c>
      <c r="K319" s="263">
        <f t="shared" si="25"/>
        <v>1203.1717500000002</v>
      </c>
      <c r="L319" s="1"/>
    </row>
    <row r="320" spans="1:12" s="44" customFormat="1" ht="15" hidden="1" customHeight="1">
      <c r="A320" s="284"/>
      <c r="B320" s="105" t="s">
        <v>93</v>
      </c>
      <c r="C320" s="38" t="s">
        <v>29</v>
      </c>
      <c r="D320" s="70" t="s">
        <v>58</v>
      </c>
      <c r="E320" s="109"/>
      <c r="F320" s="37">
        <f>F318*E320</f>
        <v>0</v>
      </c>
      <c r="G320" s="32"/>
      <c r="H320" s="244"/>
      <c r="I320" s="33">
        <v>4.96</v>
      </c>
      <c r="J320" s="73">
        <f>F320*I320</f>
        <v>0</v>
      </c>
      <c r="K320" s="263">
        <f t="shared" si="25"/>
        <v>0</v>
      </c>
      <c r="L320" s="1"/>
    </row>
    <row r="321" spans="1:12" s="45" customFormat="1" ht="15" hidden="1" customHeight="1">
      <c r="A321" s="288">
        <f>A318+1</f>
        <v>29</v>
      </c>
      <c r="B321" s="61" t="s">
        <v>120</v>
      </c>
      <c r="C321" s="38" t="s">
        <v>29</v>
      </c>
      <c r="D321" s="38" t="s">
        <v>30</v>
      </c>
      <c r="E321" s="109"/>
      <c r="F321" s="97">
        <f>F301</f>
        <v>77.849999999999994</v>
      </c>
      <c r="G321" s="32">
        <v>350</v>
      </c>
      <c r="H321" s="235">
        <f>F321*G321</f>
        <v>27247.499999999996</v>
      </c>
      <c r="I321" s="33"/>
      <c r="J321" s="66"/>
      <c r="K321" s="260">
        <f t="shared" si="25"/>
        <v>27247.499999999996</v>
      </c>
      <c r="L321" s="1"/>
    </row>
    <row r="322" spans="1:12" s="45" customFormat="1" ht="15" hidden="1" customHeight="1">
      <c r="A322" s="284"/>
      <c r="B322" s="105" t="s">
        <v>95</v>
      </c>
      <c r="C322" s="38" t="s">
        <v>29</v>
      </c>
      <c r="D322" s="70" t="s">
        <v>96</v>
      </c>
      <c r="E322" s="109">
        <f>0.3*1.02</f>
        <v>0.30599999999999999</v>
      </c>
      <c r="F322" s="37">
        <f>F321*E322</f>
        <v>23.822099999999999</v>
      </c>
      <c r="G322" s="32"/>
      <c r="H322" s="110"/>
      <c r="I322" s="33">
        <v>2448.1561999999999</v>
      </c>
      <c r="J322" s="73">
        <f>F322*I322</f>
        <v>58320.221812019998</v>
      </c>
      <c r="K322" s="263">
        <f t="shared" si="25"/>
        <v>58320.221812019998</v>
      </c>
      <c r="L322" s="1"/>
    </row>
    <row r="323" spans="1:12" s="45" customFormat="1" ht="15" hidden="1" customHeight="1">
      <c r="A323" s="284"/>
      <c r="B323" s="105"/>
      <c r="C323" s="75"/>
      <c r="D323" s="70"/>
      <c r="E323" s="64"/>
      <c r="F323" s="37"/>
      <c r="G323" s="32"/>
      <c r="H323" s="110"/>
      <c r="I323" s="33"/>
      <c r="J323" s="73"/>
      <c r="K323" s="263"/>
      <c r="L323" s="1"/>
    </row>
    <row r="324" spans="1:12" s="45" customFormat="1" ht="15" hidden="1" customHeight="1">
      <c r="A324" s="282"/>
      <c r="B324" s="120" t="s">
        <v>121</v>
      </c>
      <c r="C324" s="291"/>
      <c r="D324" s="292"/>
      <c r="E324" s="293"/>
      <c r="F324" s="292"/>
      <c r="G324" s="57"/>
      <c r="H324" s="292"/>
      <c r="I324" s="59"/>
      <c r="J324" s="294"/>
      <c r="K324" s="295"/>
      <c r="L324" s="1"/>
    </row>
    <row r="325" spans="1:12" s="45" customFormat="1" ht="15" hidden="1" customHeight="1">
      <c r="A325" s="288">
        <f>A321+1</f>
        <v>30</v>
      </c>
      <c r="B325" s="61" t="s">
        <v>77</v>
      </c>
      <c r="C325" s="38" t="s">
        <v>23</v>
      </c>
      <c r="D325" s="38" t="s">
        <v>30</v>
      </c>
      <c r="E325" s="109"/>
      <c r="F325" s="97">
        <v>120.5</v>
      </c>
      <c r="G325" s="32">
        <v>670</v>
      </c>
      <c r="H325" s="235">
        <f>F325*G325</f>
        <v>80735</v>
      </c>
      <c r="I325" s="33"/>
      <c r="J325" s="66"/>
      <c r="K325" s="260">
        <f t="shared" ref="K325:K356" si="27">H325+J325</f>
        <v>80735</v>
      </c>
      <c r="L325" s="1"/>
    </row>
    <row r="326" spans="1:12" s="45" customFormat="1" ht="15" hidden="1" customHeight="1">
      <c r="A326" s="284"/>
      <c r="B326" s="105" t="s">
        <v>24</v>
      </c>
      <c r="C326" s="38" t="s">
        <v>23</v>
      </c>
      <c r="D326" s="70" t="s">
        <v>41</v>
      </c>
      <c r="E326" s="109">
        <v>1.1000000000000001</v>
      </c>
      <c r="F326" s="37">
        <f>F325*E326</f>
        <v>132.55000000000001</v>
      </c>
      <c r="G326" s="32"/>
      <c r="H326" s="110"/>
      <c r="I326" s="33">
        <v>401.24249999999995</v>
      </c>
      <c r="J326" s="73">
        <f>F326*I326</f>
        <v>53184.693374999995</v>
      </c>
      <c r="K326" s="263">
        <f t="shared" si="27"/>
        <v>53184.693374999995</v>
      </c>
      <c r="L326" s="1"/>
    </row>
    <row r="327" spans="1:12" s="44" customFormat="1" ht="15" hidden="1" customHeight="1">
      <c r="A327" s="284"/>
      <c r="B327" s="105" t="s">
        <v>34</v>
      </c>
      <c r="C327" s="38" t="s">
        <v>23</v>
      </c>
      <c r="D327" s="70" t="s">
        <v>21</v>
      </c>
      <c r="E327" s="109">
        <v>0.2</v>
      </c>
      <c r="F327" s="37">
        <f>F325*E327</f>
        <v>24.1</v>
      </c>
      <c r="G327" s="32"/>
      <c r="H327" s="244"/>
      <c r="I327" s="33">
        <v>37.450000000000003</v>
      </c>
      <c r="J327" s="73">
        <f>F327*I327</f>
        <v>902.54500000000007</v>
      </c>
      <c r="K327" s="263">
        <f t="shared" si="27"/>
        <v>902.54500000000007</v>
      </c>
      <c r="L327" s="1"/>
    </row>
    <row r="328" spans="1:12" s="44" customFormat="1" ht="15" hidden="1" customHeight="1">
      <c r="A328" s="284"/>
      <c r="B328" s="105" t="s">
        <v>71</v>
      </c>
      <c r="C328" s="38" t="s">
        <v>23</v>
      </c>
      <c r="D328" s="70" t="s">
        <v>19</v>
      </c>
      <c r="E328" s="109">
        <v>7.6</v>
      </c>
      <c r="F328" s="37">
        <f>F325*E328</f>
        <v>915.8</v>
      </c>
      <c r="G328" s="32"/>
      <c r="H328" s="244"/>
      <c r="I328" s="33">
        <v>7.6</v>
      </c>
      <c r="J328" s="73">
        <f>F328*I328</f>
        <v>6960.079999999999</v>
      </c>
      <c r="K328" s="263">
        <f t="shared" si="27"/>
        <v>6960.079999999999</v>
      </c>
      <c r="L328" s="1"/>
    </row>
    <row r="329" spans="1:12" s="45" customFormat="1" ht="15" hidden="1" customHeight="1">
      <c r="A329" s="284"/>
      <c r="B329" s="105" t="s">
        <v>72</v>
      </c>
      <c r="C329" s="38" t="s">
        <v>23</v>
      </c>
      <c r="D329" s="70" t="s">
        <v>56</v>
      </c>
      <c r="E329" s="109">
        <v>11</v>
      </c>
      <c r="F329" s="37">
        <f>F325*E329</f>
        <v>1325.5</v>
      </c>
      <c r="G329" s="32"/>
      <c r="H329" s="110"/>
      <c r="I329" s="33">
        <v>1.3007599999999999</v>
      </c>
      <c r="J329" s="73">
        <f>F329*I329</f>
        <v>1724.1573799999999</v>
      </c>
      <c r="K329" s="263">
        <f t="shared" si="27"/>
        <v>1724.1573799999999</v>
      </c>
      <c r="L329" s="1"/>
    </row>
    <row r="330" spans="1:12" s="44" customFormat="1" ht="15" hidden="1" customHeight="1">
      <c r="A330" s="284"/>
      <c r="B330" s="105" t="s">
        <v>73</v>
      </c>
      <c r="C330" s="38" t="s">
        <v>23</v>
      </c>
      <c r="D330" s="70" t="s">
        <v>19</v>
      </c>
      <c r="E330" s="109">
        <v>0.4</v>
      </c>
      <c r="F330" s="37">
        <f>F325*E330</f>
        <v>48.2</v>
      </c>
      <c r="G330" s="32"/>
      <c r="H330" s="244"/>
      <c r="I330" s="33">
        <v>123.5</v>
      </c>
      <c r="J330" s="73">
        <f>F330*I330</f>
        <v>5952.7000000000007</v>
      </c>
      <c r="K330" s="263">
        <f t="shared" si="27"/>
        <v>5952.7000000000007</v>
      </c>
      <c r="L330" s="1"/>
    </row>
    <row r="331" spans="1:12" s="45" customFormat="1" ht="15" hidden="1" customHeight="1">
      <c r="A331" s="288">
        <f>A325+1</f>
        <v>31</v>
      </c>
      <c r="B331" s="61" t="s">
        <v>89</v>
      </c>
      <c r="C331" s="38" t="s">
        <v>29</v>
      </c>
      <c r="D331" s="38" t="s">
        <v>30</v>
      </c>
      <c r="E331" s="109"/>
      <c r="F331" s="97">
        <f>F325</f>
        <v>120.5</v>
      </c>
      <c r="G331" s="32">
        <v>100</v>
      </c>
      <c r="H331" s="235">
        <f>F331*G331</f>
        <v>12050</v>
      </c>
      <c r="I331" s="33"/>
      <c r="J331" s="66"/>
      <c r="K331" s="260">
        <f t="shared" si="27"/>
        <v>12050</v>
      </c>
      <c r="L331" s="1"/>
    </row>
    <row r="332" spans="1:12" s="44" customFormat="1" ht="15" hidden="1" customHeight="1">
      <c r="A332" s="284"/>
      <c r="B332" s="105" t="s">
        <v>34</v>
      </c>
      <c r="C332" s="38" t="s">
        <v>29</v>
      </c>
      <c r="D332" s="70" t="s">
        <v>21</v>
      </c>
      <c r="E332" s="109">
        <v>0.2</v>
      </c>
      <c r="F332" s="37">
        <f>F331*E332</f>
        <v>24.1</v>
      </c>
      <c r="G332" s="32"/>
      <c r="H332" s="244"/>
      <c r="I332" s="33">
        <v>37.450000000000003</v>
      </c>
      <c r="J332" s="73">
        <f>F332*I332</f>
        <v>902.54500000000007</v>
      </c>
      <c r="K332" s="263">
        <f t="shared" si="27"/>
        <v>902.54500000000007</v>
      </c>
      <c r="L332" s="1"/>
    </row>
    <row r="333" spans="1:12" s="44" customFormat="1" ht="15" hidden="1" customHeight="1">
      <c r="A333" s="284"/>
      <c r="B333" s="105" t="s">
        <v>90</v>
      </c>
      <c r="C333" s="38" t="s">
        <v>29</v>
      </c>
      <c r="D333" s="70" t="s">
        <v>19</v>
      </c>
      <c r="E333" s="109">
        <v>4.8</v>
      </c>
      <c r="F333" s="37">
        <f>F331*E333</f>
        <v>578.4</v>
      </c>
      <c r="G333" s="32"/>
      <c r="H333" s="244"/>
      <c r="I333" s="33">
        <v>20.329999999999998</v>
      </c>
      <c r="J333" s="73">
        <f>F333*I333</f>
        <v>11758.871999999999</v>
      </c>
      <c r="K333" s="263">
        <f t="shared" si="27"/>
        <v>11758.871999999999</v>
      </c>
      <c r="L333" s="1"/>
    </row>
    <row r="334" spans="1:12" s="45" customFormat="1" ht="25.5" hidden="1" customHeight="1">
      <c r="A334" s="288">
        <f>A331+1</f>
        <v>32</v>
      </c>
      <c r="B334" s="61" t="s">
        <v>122</v>
      </c>
      <c r="C334" s="38" t="s">
        <v>29</v>
      </c>
      <c r="D334" s="38" t="s">
        <v>30</v>
      </c>
      <c r="E334" s="109"/>
      <c r="F334" s="97">
        <f>F325</f>
        <v>120.5</v>
      </c>
      <c r="G334" s="32">
        <v>250</v>
      </c>
      <c r="H334" s="235">
        <f>F334*G334</f>
        <v>30125</v>
      </c>
      <c r="I334" s="33"/>
      <c r="J334" s="66"/>
      <c r="K334" s="260">
        <f t="shared" si="27"/>
        <v>30125</v>
      </c>
      <c r="L334" s="1"/>
    </row>
    <row r="335" spans="1:12" s="44" customFormat="1" ht="15" hidden="1" customHeight="1">
      <c r="A335" s="284"/>
      <c r="B335" s="105" t="s">
        <v>80</v>
      </c>
      <c r="C335" s="38" t="s">
        <v>29</v>
      </c>
      <c r="D335" s="70" t="s">
        <v>81</v>
      </c>
      <c r="E335" s="109">
        <f>(499*0.07*1.02)/1000</f>
        <v>3.5628600000000003E-2</v>
      </c>
      <c r="F335" s="37">
        <f>F334*E335</f>
        <v>4.2932463000000007</v>
      </c>
      <c r="G335" s="32"/>
      <c r="H335" s="244"/>
      <c r="I335" s="33">
        <v>5473.05</v>
      </c>
      <c r="J335" s="73">
        <f t="shared" ref="J335:J341" si="28">F335*I335</f>
        <v>23497.151662215005</v>
      </c>
      <c r="K335" s="263">
        <f t="shared" si="27"/>
        <v>23497.151662215005</v>
      </c>
      <c r="L335" s="1"/>
    </row>
    <row r="336" spans="1:12" s="44" customFormat="1" ht="15" hidden="1" customHeight="1">
      <c r="A336" s="284"/>
      <c r="B336" s="105" t="s">
        <v>82</v>
      </c>
      <c r="C336" s="38" t="s">
        <v>29</v>
      </c>
      <c r="D336" s="70" t="s">
        <v>81</v>
      </c>
      <c r="E336" s="109">
        <f>(1792*0.8*0.07*1.02)/1000</f>
        <v>0.10235904000000003</v>
      </c>
      <c r="F336" s="37">
        <f>F334*E336</f>
        <v>12.334264320000003</v>
      </c>
      <c r="G336" s="32"/>
      <c r="H336" s="244"/>
      <c r="I336" s="33">
        <v>823.63</v>
      </c>
      <c r="J336" s="73">
        <f t="shared" si="28"/>
        <v>10158.870121881602</v>
      </c>
      <c r="K336" s="263">
        <f t="shared" si="27"/>
        <v>10158.870121881602</v>
      </c>
      <c r="L336" s="1"/>
    </row>
    <row r="337" spans="1:12" s="45" customFormat="1" ht="15" hidden="1" customHeight="1">
      <c r="A337" s="284"/>
      <c r="B337" s="105" t="s">
        <v>83</v>
      </c>
      <c r="C337" s="38" t="s">
        <v>29</v>
      </c>
      <c r="D337" s="70" t="s">
        <v>81</v>
      </c>
      <c r="E337" s="109">
        <f>(1792*0.2*0.07*1.02)/1000</f>
        <v>2.5589760000000007E-2</v>
      </c>
      <c r="F337" s="37">
        <f>F334*E337</f>
        <v>3.0835660800000007</v>
      </c>
      <c r="G337" s="32"/>
      <c r="H337" s="110"/>
      <c r="I337" s="33">
        <v>374.49299999999999</v>
      </c>
      <c r="J337" s="73">
        <f t="shared" si="28"/>
        <v>1154.7739119974403</v>
      </c>
      <c r="K337" s="263">
        <f t="shared" si="27"/>
        <v>1154.7739119974403</v>
      </c>
      <c r="L337" s="1"/>
    </row>
    <row r="338" spans="1:12" s="45" customFormat="1" ht="15" hidden="1" customHeight="1">
      <c r="A338" s="284"/>
      <c r="B338" s="105" t="s">
        <v>84</v>
      </c>
      <c r="C338" s="38" t="s">
        <v>29</v>
      </c>
      <c r="D338" s="70" t="s">
        <v>41</v>
      </c>
      <c r="E338" s="109">
        <v>1.1000000000000001</v>
      </c>
      <c r="F338" s="37">
        <f>F334*E338</f>
        <v>132.55000000000001</v>
      </c>
      <c r="G338" s="32"/>
      <c r="H338" s="110"/>
      <c r="I338" s="33">
        <v>115.91449999999999</v>
      </c>
      <c r="J338" s="73">
        <f t="shared" si="28"/>
        <v>15364.466974999999</v>
      </c>
      <c r="K338" s="263">
        <f t="shared" si="27"/>
        <v>15364.466974999999</v>
      </c>
      <c r="L338" s="1"/>
    </row>
    <row r="339" spans="1:12" s="44" customFormat="1" ht="15" hidden="1" customHeight="1">
      <c r="A339" s="284"/>
      <c r="B339" s="105" t="s">
        <v>85</v>
      </c>
      <c r="C339" s="38" t="s">
        <v>29</v>
      </c>
      <c r="D339" s="70" t="s">
        <v>81</v>
      </c>
      <c r="E339" s="109">
        <f>0.21/1000</f>
        <v>2.0999999999999998E-4</v>
      </c>
      <c r="F339" s="37">
        <f>F334*E339</f>
        <v>2.5304999999999998E-2</v>
      </c>
      <c r="G339" s="32"/>
      <c r="H339" s="244"/>
      <c r="I339" s="33">
        <v>56431.8</v>
      </c>
      <c r="J339" s="73">
        <f t="shared" si="28"/>
        <v>1428.006699</v>
      </c>
      <c r="K339" s="263">
        <f t="shared" si="27"/>
        <v>1428.006699</v>
      </c>
      <c r="L339" s="1"/>
    </row>
    <row r="340" spans="1:12" s="45" customFormat="1" ht="15" hidden="1" customHeight="1">
      <c r="A340" s="284"/>
      <c r="B340" s="105" t="s">
        <v>86</v>
      </c>
      <c r="C340" s="38" t="s">
        <v>29</v>
      </c>
      <c r="D340" s="70" t="s">
        <v>56</v>
      </c>
      <c r="E340" s="109">
        <v>4</v>
      </c>
      <c r="F340" s="37">
        <f>F334*E340</f>
        <v>482</v>
      </c>
      <c r="G340" s="32"/>
      <c r="H340" s="110"/>
      <c r="I340" s="33">
        <v>0.67135999999999996</v>
      </c>
      <c r="J340" s="73">
        <f t="shared" si="28"/>
        <v>323.59551999999996</v>
      </c>
      <c r="K340" s="263">
        <f t="shared" si="27"/>
        <v>323.59551999999996</v>
      </c>
      <c r="L340" s="1"/>
    </row>
    <row r="341" spans="1:12" s="44" customFormat="1" ht="15" hidden="1" customHeight="1">
      <c r="A341" s="284"/>
      <c r="B341" s="105" t="s">
        <v>87</v>
      </c>
      <c r="C341" s="38" t="s">
        <v>29</v>
      </c>
      <c r="D341" s="70" t="s">
        <v>58</v>
      </c>
      <c r="E341" s="109"/>
      <c r="F341" s="37">
        <f>F334</f>
        <v>120.5</v>
      </c>
      <c r="G341" s="32"/>
      <c r="H341" s="244"/>
      <c r="I341" s="33">
        <v>7.0979999999999999</v>
      </c>
      <c r="J341" s="73">
        <f t="shared" si="28"/>
        <v>855.30899999999997</v>
      </c>
      <c r="K341" s="263">
        <f t="shared" si="27"/>
        <v>855.30899999999997</v>
      </c>
      <c r="L341" s="1"/>
    </row>
    <row r="342" spans="1:12" s="45" customFormat="1" ht="25.5" hidden="1" customHeight="1">
      <c r="A342" s="288">
        <f>A334+1</f>
        <v>33</v>
      </c>
      <c r="B342" s="61" t="s">
        <v>123</v>
      </c>
      <c r="C342" s="38" t="s">
        <v>29</v>
      </c>
      <c r="D342" s="38" t="s">
        <v>30</v>
      </c>
      <c r="E342" s="109"/>
      <c r="F342" s="97">
        <f>F325</f>
        <v>120.5</v>
      </c>
      <c r="G342" s="32">
        <v>120</v>
      </c>
      <c r="H342" s="235">
        <f>F342*G342</f>
        <v>14460</v>
      </c>
      <c r="I342" s="33"/>
      <c r="J342" s="66"/>
      <c r="K342" s="260">
        <f t="shared" si="27"/>
        <v>14460</v>
      </c>
      <c r="L342" s="1"/>
    </row>
    <row r="343" spans="1:12" s="44" customFormat="1" ht="15" hidden="1" customHeight="1">
      <c r="A343" s="284"/>
      <c r="B343" s="105" t="s">
        <v>99</v>
      </c>
      <c r="C343" s="38" t="s">
        <v>29</v>
      </c>
      <c r="D343" s="70" t="s">
        <v>41</v>
      </c>
      <c r="E343" s="109">
        <v>1.3</v>
      </c>
      <c r="F343" s="37">
        <f>F342*E343</f>
        <v>156.65</v>
      </c>
      <c r="G343" s="32"/>
      <c r="H343" s="244"/>
      <c r="I343" s="33">
        <v>161.51</v>
      </c>
      <c r="J343" s="73">
        <f>F343*I343</f>
        <v>25300.541499999999</v>
      </c>
      <c r="K343" s="263">
        <f t="shared" si="27"/>
        <v>25300.541499999999</v>
      </c>
      <c r="L343" s="1"/>
    </row>
    <row r="344" spans="1:12" s="45" customFormat="1" ht="15" hidden="1" customHeight="1">
      <c r="A344" s="284"/>
      <c r="B344" s="105" t="s">
        <v>100</v>
      </c>
      <c r="C344" s="38" t="s">
        <v>29</v>
      </c>
      <c r="D344" s="70" t="s">
        <v>58</v>
      </c>
      <c r="E344" s="109"/>
      <c r="F344" s="37">
        <f>F342</f>
        <v>120.5</v>
      </c>
      <c r="G344" s="32"/>
      <c r="H344" s="110"/>
      <c r="I344" s="33">
        <v>0.90213999999999994</v>
      </c>
      <c r="J344" s="73">
        <f>F344*I344</f>
        <v>108.70787</v>
      </c>
      <c r="K344" s="263">
        <f t="shared" si="27"/>
        <v>108.70787</v>
      </c>
      <c r="L344" s="1"/>
    </row>
    <row r="345" spans="1:12" s="45" customFormat="1" ht="15" hidden="1" customHeight="1">
      <c r="A345" s="288">
        <f>A342+1</f>
        <v>34</v>
      </c>
      <c r="B345" s="61" t="s">
        <v>101</v>
      </c>
      <c r="C345" s="38" t="s">
        <v>29</v>
      </c>
      <c r="D345" s="38" t="s">
        <v>30</v>
      </c>
      <c r="E345" s="109"/>
      <c r="F345" s="97">
        <f>F325</f>
        <v>120.5</v>
      </c>
      <c r="G345" s="32">
        <v>150</v>
      </c>
      <c r="H345" s="235">
        <f>F345*G345</f>
        <v>18075</v>
      </c>
      <c r="I345" s="33"/>
      <c r="J345" s="66"/>
      <c r="K345" s="260">
        <f t="shared" si="27"/>
        <v>18075</v>
      </c>
      <c r="L345" s="1"/>
    </row>
    <row r="346" spans="1:12" s="45" customFormat="1" ht="15" hidden="1" customHeight="1">
      <c r="A346" s="284"/>
      <c r="B346" s="105" t="s">
        <v>102</v>
      </c>
      <c r="C346" s="38" t="s">
        <v>29</v>
      </c>
      <c r="D346" s="70" t="s">
        <v>41</v>
      </c>
      <c r="E346" s="109">
        <f>1.15</f>
        <v>1.1499999999999999</v>
      </c>
      <c r="F346" s="37">
        <f>F345*E346</f>
        <v>138.57499999999999</v>
      </c>
      <c r="G346" s="32"/>
      <c r="H346" s="110"/>
      <c r="I346" s="33">
        <v>38.708099999999995</v>
      </c>
      <c r="J346" s="73">
        <f>F346*I346</f>
        <v>5363.9749574999987</v>
      </c>
      <c r="K346" s="263">
        <f t="shared" si="27"/>
        <v>5363.9749574999987</v>
      </c>
      <c r="L346" s="1"/>
    </row>
    <row r="347" spans="1:12" s="44" customFormat="1" ht="15" hidden="1" customHeight="1">
      <c r="A347" s="284"/>
      <c r="B347" s="105" t="s">
        <v>103</v>
      </c>
      <c r="C347" s="38" t="s">
        <v>29</v>
      </c>
      <c r="D347" s="70" t="s">
        <v>19</v>
      </c>
      <c r="E347" s="109">
        <v>0.3</v>
      </c>
      <c r="F347" s="37">
        <f>F345*E347</f>
        <v>36.15</v>
      </c>
      <c r="G347" s="32"/>
      <c r="H347" s="244"/>
      <c r="I347" s="33">
        <v>60.6</v>
      </c>
      <c r="J347" s="73">
        <f>F347*I347</f>
        <v>2190.69</v>
      </c>
      <c r="K347" s="263">
        <f t="shared" si="27"/>
        <v>2190.69</v>
      </c>
      <c r="L347" s="1"/>
    </row>
    <row r="348" spans="1:12" s="45" customFormat="1" ht="15" hidden="1" customHeight="1">
      <c r="A348" s="288"/>
      <c r="B348" s="105" t="s">
        <v>104</v>
      </c>
      <c r="C348" s="38" t="s">
        <v>29</v>
      </c>
      <c r="D348" s="70" t="s">
        <v>21</v>
      </c>
      <c r="E348" s="64">
        <v>1</v>
      </c>
      <c r="F348" s="37">
        <f>E348*F345</f>
        <v>120.5</v>
      </c>
      <c r="G348" s="32"/>
      <c r="H348" s="110"/>
      <c r="I348" s="33">
        <v>35</v>
      </c>
      <c r="J348" s="73">
        <f>F348*I348</f>
        <v>4217.5</v>
      </c>
      <c r="K348" s="263">
        <f t="shared" si="27"/>
        <v>4217.5</v>
      </c>
      <c r="L348" s="1"/>
    </row>
    <row r="349" spans="1:12" s="45" customFormat="1" ht="25.5" hidden="1" customHeight="1">
      <c r="A349" s="288">
        <f>A345+1</f>
        <v>35</v>
      </c>
      <c r="B349" s="121" t="s">
        <v>124</v>
      </c>
      <c r="C349" s="38" t="s">
        <v>29</v>
      </c>
      <c r="D349" s="38" t="s">
        <v>125</v>
      </c>
      <c r="E349" s="64"/>
      <c r="F349" s="91">
        <f>1.3*0.9*0.2</f>
        <v>0.23400000000000004</v>
      </c>
      <c r="G349" s="241">
        <v>12000</v>
      </c>
      <c r="H349" s="235">
        <f>F349*G349</f>
        <v>2808.0000000000005</v>
      </c>
      <c r="I349" s="33"/>
      <c r="J349" s="66"/>
      <c r="K349" s="260">
        <f t="shared" si="27"/>
        <v>2808.0000000000005</v>
      </c>
      <c r="L349" s="122"/>
    </row>
    <row r="350" spans="1:12" s="45" customFormat="1" ht="15" hidden="1" customHeight="1">
      <c r="A350" s="284"/>
      <c r="B350" s="123" t="s">
        <v>126</v>
      </c>
      <c r="C350" s="38" t="s">
        <v>29</v>
      </c>
      <c r="D350" s="70" t="s">
        <v>25</v>
      </c>
      <c r="E350" s="64"/>
      <c r="F350" s="37">
        <v>12</v>
      </c>
      <c r="G350" s="32"/>
      <c r="H350" s="110"/>
      <c r="I350" s="33">
        <v>251.07499999999999</v>
      </c>
      <c r="J350" s="73">
        <f t="shared" ref="J350:J356" si="29">F350*I350</f>
        <v>3012.8999999999996</v>
      </c>
      <c r="K350" s="263">
        <f t="shared" si="27"/>
        <v>3012.8999999999996</v>
      </c>
      <c r="L350" s="1"/>
    </row>
    <row r="351" spans="1:12" s="45" customFormat="1" ht="25.5" hidden="1" customHeight="1">
      <c r="A351" s="284"/>
      <c r="B351" s="123" t="s">
        <v>127</v>
      </c>
      <c r="C351" s="38" t="s">
        <v>29</v>
      </c>
      <c r="D351" s="70" t="s">
        <v>19</v>
      </c>
      <c r="E351" s="64"/>
      <c r="F351" s="37">
        <f>0.11*0.14*12</f>
        <v>0.18480000000000002</v>
      </c>
      <c r="G351" s="32"/>
      <c r="H351" s="110"/>
      <c r="I351" s="33">
        <v>472.04999999999995</v>
      </c>
      <c r="J351" s="73">
        <f t="shared" si="29"/>
        <v>87.234840000000005</v>
      </c>
      <c r="K351" s="263">
        <f t="shared" si="27"/>
        <v>87.234840000000005</v>
      </c>
      <c r="L351" s="1"/>
    </row>
    <row r="352" spans="1:12" s="45" customFormat="1" ht="15" hidden="1" customHeight="1">
      <c r="A352" s="284"/>
      <c r="B352" s="123" t="s">
        <v>128</v>
      </c>
      <c r="C352" s="38" t="s">
        <v>29</v>
      </c>
      <c r="D352" s="123" t="s">
        <v>125</v>
      </c>
      <c r="E352" s="124">
        <v>1.0149999999999999</v>
      </c>
      <c r="F352" s="125">
        <f>F349*E352</f>
        <v>0.23751000000000003</v>
      </c>
      <c r="G352" s="32"/>
      <c r="H352" s="110"/>
      <c r="I352" s="33"/>
      <c r="J352" s="73">
        <f t="shared" si="29"/>
        <v>0</v>
      </c>
      <c r="K352" s="263">
        <f t="shared" si="27"/>
        <v>0</v>
      </c>
      <c r="L352" s="1"/>
    </row>
    <row r="353" spans="1:12" s="44" customFormat="1" ht="15" hidden="1" customHeight="1">
      <c r="A353" s="284"/>
      <c r="B353" s="123" t="s">
        <v>129</v>
      </c>
      <c r="C353" s="38" t="s">
        <v>29</v>
      </c>
      <c r="D353" s="123" t="s">
        <v>18</v>
      </c>
      <c r="E353" s="124">
        <v>1.05</v>
      </c>
      <c r="F353" s="125">
        <f>1.3*0.9*E353</f>
        <v>1.2285000000000001</v>
      </c>
      <c r="G353" s="32"/>
      <c r="H353" s="244"/>
      <c r="I353" s="33">
        <v>330.99</v>
      </c>
      <c r="J353" s="73">
        <f t="shared" si="29"/>
        <v>406.62121500000006</v>
      </c>
      <c r="K353" s="263">
        <f t="shared" si="27"/>
        <v>406.62121500000006</v>
      </c>
      <c r="L353" s="1"/>
    </row>
    <row r="354" spans="1:12" s="44" customFormat="1" ht="15" hidden="1" customHeight="1">
      <c r="A354" s="284"/>
      <c r="B354" s="123" t="s">
        <v>130</v>
      </c>
      <c r="C354" s="38" t="s">
        <v>29</v>
      </c>
      <c r="D354" s="123" t="s">
        <v>18</v>
      </c>
      <c r="E354" s="124">
        <v>1.1000000000000001</v>
      </c>
      <c r="F354" s="125">
        <f>1.3*0.9*E354</f>
        <v>1.2870000000000004</v>
      </c>
      <c r="G354" s="32"/>
      <c r="H354" s="244"/>
      <c r="I354" s="33">
        <v>4.3099999999999996</v>
      </c>
      <c r="J354" s="73">
        <f t="shared" si="29"/>
        <v>5.5469700000000008</v>
      </c>
      <c r="K354" s="263">
        <f t="shared" si="27"/>
        <v>5.5469700000000008</v>
      </c>
      <c r="L354" s="1"/>
    </row>
    <row r="355" spans="1:12" s="44" customFormat="1" ht="15" hidden="1" customHeight="1">
      <c r="A355" s="284"/>
      <c r="B355" s="98" t="s">
        <v>131</v>
      </c>
      <c r="C355" s="38" t="s">
        <v>29</v>
      </c>
      <c r="D355" s="41" t="s">
        <v>19</v>
      </c>
      <c r="E355" s="21">
        <v>0.15</v>
      </c>
      <c r="F355" s="68">
        <f>E355*((1.3*2+0.9*2)*0.15+1.3*0.9)</f>
        <v>0.27450000000000002</v>
      </c>
      <c r="G355" s="32"/>
      <c r="H355" s="244"/>
      <c r="I355" s="33">
        <v>37.81</v>
      </c>
      <c r="J355" s="73">
        <f t="shared" si="29"/>
        <v>10.378845000000002</v>
      </c>
      <c r="K355" s="263">
        <f t="shared" si="27"/>
        <v>10.378845000000002</v>
      </c>
      <c r="L355" s="1"/>
    </row>
    <row r="356" spans="1:12" s="44" customFormat="1" ht="15" hidden="1" customHeight="1">
      <c r="A356" s="284"/>
      <c r="B356" s="105" t="s">
        <v>132</v>
      </c>
      <c r="C356" s="38" t="s">
        <v>29</v>
      </c>
      <c r="D356" s="70" t="s">
        <v>19</v>
      </c>
      <c r="E356" s="64">
        <v>0.3</v>
      </c>
      <c r="F356" s="68">
        <f>E356*((1.3*2+0.9*2)*0.15+1.3*0.9)</f>
        <v>0.54900000000000004</v>
      </c>
      <c r="G356" s="32"/>
      <c r="H356" s="244"/>
      <c r="I356" s="33">
        <v>199.53</v>
      </c>
      <c r="J356" s="73">
        <f t="shared" si="29"/>
        <v>109.54197000000001</v>
      </c>
      <c r="K356" s="263">
        <f t="shared" si="27"/>
        <v>109.54197000000001</v>
      </c>
      <c r="L356" s="1"/>
    </row>
    <row r="357" spans="1:12" s="45" customFormat="1" ht="15" hidden="1" customHeight="1">
      <c r="A357" s="284"/>
      <c r="B357" s="126"/>
      <c r="C357" s="38" t="s">
        <v>29</v>
      </c>
      <c r="D357" s="123"/>
      <c r="E357" s="124"/>
      <c r="F357" s="125"/>
      <c r="G357" s="32"/>
      <c r="H357" s="110"/>
      <c r="I357" s="33"/>
      <c r="J357" s="73"/>
      <c r="K357" s="263"/>
      <c r="L357" s="1"/>
    </row>
    <row r="358" spans="1:12" s="45" customFormat="1" ht="25.5" hidden="1" customHeight="1">
      <c r="A358" s="288">
        <f>A349+1</f>
        <v>36</v>
      </c>
      <c r="B358" s="121" t="s">
        <v>133</v>
      </c>
      <c r="C358" s="38" t="s">
        <v>29</v>
      </c>
      <c r="D358" s="38" t="s">
        <v>125</v>
      </c>
      <c r="E358" s="64"/>
      <c r="F358" s="91">
        <f>1.23*0.87*0.2</f>
        <v>0.21402000000000002</v>
      </c>
      <c r="G358" s="241">
        <v>12000</v>
      </c>
      <c r="H358" s="235">
        <f>F358*G358</f>
        <v>2568.2400000000002</v>
      </c>
      <c r="I358" s="33"/>
      <c r="J358" s="66"/>
      <c r="K358" s="260">
        <f t="shared" ref="K358:K365" si="30">H358+J358</f>
        <v>2568.2400000000002</v>
      </c>
      <c r="L358" s="122"/>
    </row>
    <row r="359" spans="1:12" s="45" customFormat="1" ht="15" hidden="1" customHeight="1">
      <c r="A359" s="284"/>
      <c r="B359" s="123" t="s">
        <v>126</v>
      </c>
      <c r="C359" s="38" t="s">
        <v>29</v>
      </c>
      <c r="D359" s="70" t="s">
        <v>25</v>
      </c>
      <c r="E359" s="64"/>
      <c r="F359" s="37">
        <v>12</v>
      </c>
      <c r="G359" s="32"/>
      <c r="H359" s="110"/>
      <c r="I359" s="33">
        <v>251.07499999999999</v>
      </c>
      <c r="J359" s="73">
        <f t="shared" ref="J359:J365" si="31">F359*I359</f>
        <v>3012.8999999999996</v>
      </c>
      <c r="K359" s="263">
        <f t="shared" si="30"/>
        <v>3012.8999999999996</v>
      </c>
      <c r="L359" s="1"/>
    </row>
    <row r="360" spans="1:12" s="45" customFormat="1" ht="25.5" hidden="1" customHeight="1">
      <c r="A360" s="284"/>
      <c r="B360" s="123" t="s">
        <v>127</v>
      </c>
      <c r="C360" s="38" t="s">
        <v>29</v>
      </c>
      <c r="D360" s="70" t="s">
        <v>19</v>
      </c>
      <c r="E360" s="64"/>
      <c r="F360" s="37">
        <f>0.11*0.14*12</f>
        <v>0.18480000000000002</v>
      </c>
      <c r="G360" s="32"/>
      <c r="H360" s="110"/>
      <c r="I360" s="33">
        <v>472.04999999999995</v>
      </c>
      <c r="J360" s="73">
        <f t="shared" si="31"/>
        <v>87.234840000000005</v>
      </c>
      <c r="K360" s="263">
        <f t="shared" si="30"/>
        <v>87.234840000000005</v>
      </c>
      <c r="L360" s="1"/>
    </row>
    <row r="361" spans="1:12" s="45" customFormat="1" ht="15" hidden="1" customHeight="1">
      <c r="A361" s="284"/>
      <c r="B361" s="123" t="s">
        <v>128</v>
      </c>
      <c r="C361" s="38" t="s">
        <v>29</v>
      </c>
      <c r="D361" s="123" t="s">
        <v>125</v>
      </c>
      <c r="E361" s="124">
        <v>1.0149999999999999</v>
      </c>
      <c r="F361" s="125">
        <f>F358*E361</f>
        <v>0.21723029999999999</v>
      </c>
      <c r="G361" s="32"/>
      <c r="H361" s="110"/>
      <c r="I361" s="33"/>
      <c r="J361" s="73">
        <f t="shared" si="31"/>
        <v>0</v>
      </c>
      <c r="K361" s="263">
        <f t="shared" si="30"/>
        <v>0</v>
      </c>
      <c r="L361" s="1"/>
    </row>
    <row r="362" spans="1:12" s="44" customFormat="1" ht="15" hidden="1" customHeight="1">
      <c r="A362" s="284"/>
      <c r="B362" s="123" t="s">
        <v>129</v>
      </c>
      <c r="C362" s="38" t="s">
        <v>29</v>
      </c>
      <c r="D362" s="123" t="s">
        <v>18</v>
      </c>
      <c r="E362" s="124">
        <v>1.05</v>
      </c>
      <c r="F362" s="125">
        <f>1.23*0.87*E362</f>
        <v>1.1236050000000002</v>
      </c>
      <c r="G362" s="32"/>
      <c r="H362" s="244"/>
      <c r="I362" s="33">
        <v>330.99</v>
      </c>
      <c r="J362" s="73">
        <f t="shared" si="31"/>
        <v>371.90201895000007</v>
      </c>
      <c r="K362" s="263">
        <f t="shared" si="30"/>
        <v>371.90201895000007</v>
      </c>
      <c r="L362" s="1"/>
    </row>
    <row r="363" spans="1:12" s="44" customFormat="1" ht="15" hidden="1" customHeight="1">
      <c r="A363" s="284"/>
      <c r="B363" s="123" t="s">
        <v>130</v>
      </c>
      <c r="C363" s="38" t="s">
        <v>29</v>
      </c>
      <c r="D363" s="123" t="s">
        <v>18</v>
      </c>
      <c r="E363" s="124">
        <v>1.1000000000000001</v>
      </c>
      <c r="F363" s="125">
        <f>1.23*0.87*E363</f>
        <v>1.1771100000000001</v>
      </c>
      <c r="G363" s="32"/>
      <c r="H363" s="244"/>
      <c r="I363" s="33">
        <v>4.3099999999999996</v>
      </c>
      <c r="J363" s="73">
        <f t="shared" si="31"/>
        <v>5.0733440999999999</v>
      </c>
      <c r="K363" s="263">
        <f t="shared" si="30"/>
        <v>5.0733440999999999</v>
      </c>
      <c r="L363" s="1"/>
    </row>
    <row r="364" spans="1:12" s="44" customFormat="1" ht="15" hidden="1" customHeight="1">
      <c r="A364" s="284"/>
      <c r="B364" s="98" t="s">
        <v>131</v>
      </c>
      <c r="C364" s="38" t="s">
        <v>29</v>
      </c>
      <c r="D364" s="41" t="s">
        <v>19</v>
      </c>
      <c r="E364" s="21">
        <v>0.15</v>
      </c>
      <c r="F364" s="68">
        <f>E364*((1.23*2+0.87*2)*0.15+1.23*0.87)</f>
        <v>0.25501499999999999</v>
      </c>
      <c r="G364" s="32"/>
      <c r="H364" s="244"/>
      <c r="I364" s="33">
        <v>37.81</v>
      </c>
      <c r="J364" s="73">
        <f t="shared" si="31"/>
        <v>9.6421171500000007</v>
      </c>
      <c r="K364" s="263">
        <f t="shared" si="30"/>
        <v>9.6421171500000007</v>
      </c>
      <c r="L364" s="1"/>
    </row>
    <row r="365" spans="1:12" s="44" customFormat="1" ht="15" hidden="1" customHeight="1">
      <c r="A365" s="284"/>
      <c r="B365" s="105" t="s">
        <v>132</v>
      </c>
      <c r="C365" s="38" t="s">
        <v>29</v>
      </c>
      <c r="D365" s="70" t="s">
        <v>19</v>
      </c>
      <c r="E365" s="64">
        <v>0.3</v>
      </c>
      <c r="F365" s="68">
        <f>E365*((1.23*2+0.87*2)*0.15+1.23*0.87)</f>
        <v>0.51002999999999998</v>
      </c>
      <c r="G365" s="32"/>
      <c r="H365" s="244"/>
      <c r="I365" s="33">
        <v>199.53</v>
      </c>
      <c r="J365" s="73">
        <f t="shared" si="31"/>
        <v>101.7662859</v>
      </c>
      <c r="K365" s="263">
        <f t="shared" si="30"/>
        <v>101.7662859</v>
      </c>
      <c r="L365" s="1"/>
    </row>
    <row r="366" spans="1:12" s="45" customFormat="1" ht="15" hidden="1" customHeight="1">
      <c r="A366" s="284"/>
      <c r="B366" s="127"/>
      <c r="C366" s="38" t="s">
        <v>29</v>
      </c>
      <c r="D366" s="123"/>
      <c r="E366" s="124"/>
      <c r="F366" s="125"/>
      <c r="G366" s="32"/>
      <c r="H366" s="110"/>
      <c r="I366" s="33"/>
      <c r="J366" s="73"/>
      <c r="K366" s="263"/>
      <c r="L366" s="1"/>
    </row>
    <row r="367" spans="1:12" s="45" customFormat="1" ht="25.5" hidden="1" customHeight="1">
      <c r="A367" s="288">
        <f>A358+1</f>
        <v>37</v>
      </c>
      <c r="B367" s="121" t="s">
        <v>134</v>
      </c>
      <c r="C367" s="38" t="s">
        <v>29</v>
      </c>
      <c r="D367" s="38" t="s">
        <v>125</v>
      </c>
      <c r="E367" s="64"/>
      <c r="F367" s="91">
        <f>0.8*0.5*0.2</f>
        <v>8.0000000000000016E-2</v>
      </c>
      <c r="G367" s="241">
        <v>12000</v>
      </c>
      <c r="H367" s="235">
        <f>F367*G367</f>
        <v>960.00000000000023</v>
      </c>
      <c r="I367" s="33"/>
      <c r="J367" s="66"/>
      <c r="K367" s="260">
        <f t="shared" ref="K367:K374" si="32">H367+J367</f>
        <v>960.00000000000023</v>
      </c>
      <c r="L367" s="122"/>
    </row>
    <row r="368" spans="1:12" s="45" customFormat="1" ht="15" hidden="1" customHeight="1">
      <c r="A368" s="284"/>
      <c r="B368" s="123" t="s">
        <v>126</v>
      </c>
      <c r="C368" s="38" t="s">
        <v>29</v>
      </c>
      <c r="D368" s="70" t="s">
        <v>25</v>
      </c>
      <c r="E368" s="64"/>
      <c r="F368" s="37">
        <v>6</v>
      </c>
      <c r="G368" s="32"/>
      <c r="H368" s="110"/>
      <c r="I368" s="33">
        <v>251.07499999999999</v>
      </c>
      <c r="J368" s="73">
        <f t="shared" ref="J368:J374" si="33">F368*I368</f>
        <v>1506.4499999999998</v>
      </c>
      <c r="K368" s="263">
        <f t="shared" si="32"/>
        <v>1506.4499999999998</v>
      </c>
      <c r="L368" s="1"/>
    </row>
    <row r="369" spans="1:12" s="45" customFormat="1" ht="25.5" hidden="1" customHeight="1">
      <c r="A369" s="284"/>
      <c r="B369" s="123" t="s">
        <v>127</v>
      </c>
      <c r="C369" s="38" t="s">
        <v>29</v>
      </c>
      <c r="D369" s="70" t="s">
        <v>19</v>
      </c>
      <c r="E369" s="64"/>
      <c r="F369" s="37">
        <f>0.14*0.14*6</f>
        <v>0.11760000000000001</v>
      </c>
      <c r="G369" s="32"/>
      <c r="H369" s="110"/>
      <c r="I369" s="33">
        <v>472.04999999999995</v>
      </c>
      <c r="J369" s="73">
        <f t="shared" si="33"/>
        <v>55.513080000000002</v>
      </c>
      <c r="K369" s="263">
        <f t="shared" si="32"/>
        <v>55.513080000000002</v>
      </c>
      <c r="L369" s="1"/>
    </row>
    <row r="370" spans="1:12" s="45" customFormat="1" ht="15" hidden="1" customHeight="1">
      <c r="A370" s="284"/>
      <c r="B370" s="123" t="s">
        <v>128</v>
      </c>
      <c r="C370" s="38" t="s">
        <v>29</v>
      </c>
      <c r="D370" s="123" t="s">
        <v>125</v>
      </c>
      <c r="E370" s="124">
        <v>1.0149999999999999</v>
      </c>
      <c r="F370" s="125">
        <f>F367*E370</f>
        <v>8.1200000000000008E-2</v>
      </c>
      <c r="G370" s="32"/>
      <c r="H370" s="110"/>
      <c r="I370" s="33"/>
      <c r="J370" s="73">
        <f t="shared" si="33"/>
        <v>0</v>
      </c>
      <c r="K370" s="263">
        <f t="shared" si="32"/>
        <v>0</v>
      </c>
      <c r="L370" s="1"/>
    </row>
    <row r="371" spans="1:12" s="44" customFormat="1" ht="15" hidden="1" customHeight="1">
      <c r="A371" s="284"/>
      <c r="B371" s="123" t="s">
        <v>129</v>
      </c>
      <c r="C371" s="38" t="s">
        <v>29</v>
      </c>
      <c r="D371" s="123" t="s">
        <v>18</v>
      </c>
      <c r="E371" s="124">
        <v>1.05</v>
      </c>
      <c r="F371" s="125">
        <f>0.5*0.8*E371</f>
        <v>0.42000000000000004</v>
      </c>
      <c r="G371" s="32"/>
      <c r="H371" s="244"/>
      <c r="I371" s="33">
        <v>330.99</v>
      </c>
      <c r="J371" s="73">
        <f t="shared" si="33"/>
        <v>139.01580000000001</v>
      </c>
      <c r="K371" s="263">
        <f t="shared" si="32"/>
        <v>139.01580000000001</v>
      </c>
      <c r="L371" s="1"/>
    </row>
    <row r="372" spans="1:12" s="44" customFormat="1" ht="15" hidden="1" customHeight="1">
      <c r="A372" s="284"/>
      <c r="B372" s="123" t="s">
        <v>130</v>
      </c>
      <c r="C372" s="38" t="s">
        <v>29</v>
      </c>
      <c r="D372" s="123" t="s">
        <v>18</v>
      </c>
      <c r="E372" s="124">
        <v>1.1000000000000001</v>
      </c>
      <c r="F372" s="125">
        <f>0.5*0.8*E372</f>
        <v>0.44000000000000006</v>
      </c>
      <c r="G372" s="32"/>
      <c r="H372" s="244"/>
      <c r="I372" s="33">
        <v>4.3099999999999996</v>
      </c>
      <c r="J372" s="73">
        <f t="shared" si="33"/>
        <v>1.8964000000000001</v>
      </c>
      <c r="K372" s="263">
        <f t="shared" si="32"/>
        <v>1.8964000000000001</v>
      </c>
      <c r="L372" s="1"/>
    </row>
    <row r="373" spans="1:12" s="44" customFormat="1" ht="15" hidden="1" customHeight="1">
      <c r="A373" s="284"/>
      <c r="B373" s="98" t="s">
        <v>131</v>
      </c>
      <c r="C373" s="38" t="s">
        <v>29</v>
      </c>
      <c r="D373" s="41" t="s">
        <v>19</v>
      </c>
      <c r="E373" s="21">
        <v>0.15</v>
      </c>
      <c r="F373" s="68">
        <f>E373*((0.8*2+0.5*2)*0.15+0.8*0.5)</f>
        <v>0.11849999999999999</v>
      </c>
      <c r="G373" s="32"/>
      <c r="H373" s="244"/>
      <c r="I373" s="33">
        <v>37.81</v>
      </c>
      <c r="J373" s="73">
        <f t="shared" si="33"/>
        <v>4.4804849999999998</v>
      </c>
      <c r="K373" s="263">
        <f t="shared" si="32"/>
        <v>4.4804849999999998</v>
      </c>
      <c r="L373" s="1"/>
    </row>
    <row r="374" spans="1:12" s="44" customFormat="1" ht="15" hidden="1" customHeight="1">
      <c r="A374" s="284"/>
      <c r="B374" s="105" t="s">
        <v>132</v>
      </c>
      <c r="C374" s="38" t="s">
        <v>29</v>
      </c>
      <c r="D374" s="70" t="s">
        <v>19</v>
      </c>
      <c r="E374" s="64">
        <v>0.3</v>
      </c>
      <c r="F374" s="68">
        <f>E374*((0.8*2+0.5*2)*0.15+0.8*0.5)</f>
        <v>0.23699999999999999</v>
      </c>
      <c r="G374" s="32"/>
      <c r="H374" s="244"/>
      <c r="I374" s="33">
        <v>199.53</v>
      </c>
      <c r="J374" s="73">
        <f t="shared" si="33"/>
        <v>47.288609999999998</v>
      </c>
      <c r="K374" s="263">
        <f t="shared" si="32"/>
        <v>47.288609999999998</v>
      </c>
      <c r="L374" s="1"/>
    </row>
    <row r="375" spans="1:12" s="45" customFormat="1" ht="15" hidden="1" customHeight="1">
      <c r="A375" s="284"/>
      <c r="B375" s="127"/>
      <c r="C375" s="38" t="s">
        <v>29</v>
      </c>
      <c r="D375" s="123"/>
      <c r="E375" s="124"/>
      <c r="F375" s="125"/>
      <c r="G375" s="32"/>
      <c r="H375" s="110"/>
      <c r="I375" s="33"/>
      <c r="J375" s="73"/>
      <c r="K375" s="263"/>
      <c r="L375" s="1"/>
    </row>
    <row r="376" spans="1:12" s="45" customFormat="1" ht="25.5" hidden="1" customHeight="1">
      <c r="A376" s="288">
        <f>A367+1</f>
        <v>38</v>
      </c>
      <c r="B376" s="121" t="s">
        <v>135</v>
      </c>
      <c r="C376" s="38" t="s">
        <v>29</v>
      </c>
      <c r="D376" s="38" t="s">
        <v>125</v>
      </c>
      <c r="E376" s="64"/>
      <c r="F376" s="91">
        <f>2.2*1.1*0.15</f>
        <v>0.36300000000000004</v>
      </c>
      <c r="G376" s="241">
        <v>12000</v>
      </c>
      <c r="H376" s="235">
        <f>F376*G376</f>
        <v>4356.0000000000009</v>
      </c>
      <c r="I376" s="33"/>
      <c r="J376" s="66"/>
      <c r="K376" s="260">
        <f t="shared" ref="K376:K383" si="34">H376+J376</f>
        <v>4356.0000000000009</v>
      </c>
      <c r="L376" s="22"/>
    </row>
    <row r="377" spans="1:12" s="45" customFormat="1" ht="15" hidden="1" customHeight="1">
      <c r="A377" s="284"/>
      <c r="B377" s="123" t="s">
        <v>126</v>
      </c>
      <c r="C377" s="38" t="s">
        <v>29</v>
      </c>
      <c r="D377" s="70" t="s">
        <v>25</v>
      </c>
      <c r="E377" s="64"/>
      <c r="F377" s="37">
        <v>14</v>
      </c>
      <c r="G377" s="32"/>
      <c r="H377" s="110"/>
      <c r="I377" s="33">
        <v>251.07499999999999</v>
      </c>
      <c r="J377" s="73">
        <f t="shared" ref="J377:J383" si="35">F377*I377</f>
        <v>3515.0499999999997</v>
      </c>
      <c r="K377" s="263">
        <f t="shared" si="34"/>
        <v>3515.0499999999997</v>
      </c>
      <c r="L377" s="1"/>
    </row>
    <row r="378" spans="1:12" s="45" customFormat="1" ht="25.5" hidden="1" customHeight="1">
      <c r="A378" s="284"/>
      <c r="B378" s="123" t="s">
        <v>127</v>
      </c>
      <c r="C378" s="38" t="s">
        <v>29</v>
      </c>
      <c r="D378" s="70" t="s">
        <v>19</v>
      </c>
      <c r="E378" s="64"/>
      <c r="F378" s="37">
        <f>0.14*0.14*14</f>
        <v>0.27440000000000003</v>
      </c>
      <c r="G378" s="32"/>
      <c r="H378" s="110"/>
      <c r="I378" s="33">
        <v>472.04999999999995</v>
      </c>
      <c r="J378" s="73">
        <f t="shared" si="35"/>
        <v>129.53052</v>
      </c>
      <c r="K378" s="263">
        <f t="shared" si="34"/>
        <v>129.53052</v>
      </c>
      <c r="L378" s="1"/>
    </row>
    <row r="379" spans="1:12" s="45" customFormat="1" ht="15" hidden="1" customHeight="1">
      <c r="A379" s="284"/>
      <c r="B379" s="302" t="s">
        <v>128</v>
      </c>
      <c r="C379" s="38" t="s">
        <v>29</v>
      </c>
      <c r="D379" s="304" t="s">
        <v>125</v>
      </c>
      <c r="E379" s="124">
        <v>1.0149999999999999</v>
      </c>
      <c r="F379" s="125">
        <f>F376*E379</f>
        <v>0.36844500000000002</v>
      </c>
      <c r="G379" s="32"/>
      <c r="H379" s="110"/>
      <c r="I379" s="33"/>
      <c r="J379" s="73">
        <f t="shared" si="35"/>
        <v>0</v>
      </c>
      <c r="K379" s="263">
        <f t="shared" si="34"/>
        <v>0</v>
      </c>
      <c r="L379" s="1"/>
    </row>
    <row r="380" spans="1:12" s="44" customFormat="1" ht="15" hidden="1" customHeight="1">
      <c r="A380" s="284"/>
      <c r="B380" s="302" t="s">
        <v>129</v>
      </c>
      <c r="C380" s="38" t="s">
        <v>29</v>
      </c>
      <c r="D380" s="304" t="s">
        <v>18</v>
      </c>
      <c r="E380" s="124">
        <v>1.05</v>
      </c>
      <c r="F380" s="125">
        <f>2.2*1.1*0.87*E380</f>
        <v>2.2106700000000004</v>
      </c>
      <c r="G380" s="32"/>
      <c r="H380" s="244"/>
      <c r="I380" s="33">
        <v>330.99</v>
      </c>
      <c r="J380" s="73">
        <f t="shared" si="35"/>
        <v>731.7096633000001</v>
      </c>
      <c r="K380" s="263">
        <f t="shared" si="34"/>
        <v>731.7096633000001</v>
      </c>
      <c r="L380" s="1"/>
    </row>
    <row r="381" spans="1:12" s="44" customFormat="1" ht="15" hidden="1" customHeight="1">
      <c r="A381" s="284"/>
      <c r="B381" s="302" t="s">
        <v>130</v>
      </c>
      <c r="C381" s="38" t="s">
        <v>29</v>
      </c>
      <c r="D381" s="304" t="s">
        <v>18</v>
      </c>
      <c r="E381" s="124">
        <v>1.1000000000000001</v>
      </c>
      <c r="F381" s="125">
        <f>2.2*1.1*E381</f>
        <v>2.6620000000000008</v>
      </c>
      <c r="G381" s="32"/>
      <c r="H381" s="244"/>
      <c r="I381" s="33">
        <v>4.3099999999999996</v>
      </c>
      <c r="J381" s="73">
        <f t="shared" si="35"/>
        <v>11.473220000000003</v>
      </c>
      <c r="K381" s="263">
        <f t="shared" si="34"/>
        <v>11.473220000000003</v>
      </c>
      <c r="L381" s="1"/>
    </row>
    <row r="382" spans="1:12" s="44" customFormat="1" ht="15" hidden="1" customHeight="1">
      <c r="A382" s="284"/>
      <c r="B382" s="303" t="s">
        <v>131</v>
      </c>
      <c r="C382" s="38" t="s">
        <v>29</v>
      </c>
      <c r="D382" s="305" t="s">
        <v>19</v>
      </c>
      <c r="E382" s="21">
        <v>0.15</v>
      </c>
      <c r="F382" s="68">
        <f>E382*((2.2*2+1.1*2)*0.15+2.2*1.1)</f>
        <v>0.51149999999999995</v>
      </c>
      <c r="G382" s="32"/>
      <c r="H382" s="244"/>
      <c r="I382" s="33">
        <v>37.81</v>
      </c>
      <c r="J382" s="73">
        <f t="shared" si="35"/>
        <v>19.339814999999998</v>
      </c>
      <c r="K382" s="263">
        <f t="shared" si="34"/>
        <v>19.339814999999998</v>
      </c>
      <c r="L382" s="1"/>
    </row>
    <row r="383" spans="1:12" s="44" customFormat="1" ht="15" hidden="1" customHeight="1">
      <c r="A383" s="284"/>
      <c r="B383" s="105" t="s">
        <v>132</v>
      </c>
      <c r="C383" s="38" t="s">
        <v>29</v>
      </c>
      <c r="D383" s="70" t="s">
        <v>19</v>
      </c>
      <c r="E383" s="64">
        <v>0.3</v>
      </c>
      <c r="F383" s="68">
        <f>E383*((2.2*2+1.1*2)*0.15+2.2*1.1)</f>
        <v>1.0229999999999999</v>
      </c>
      <c r="G383" s="32"/>
      <c r="H383" s="244"/>
      <c r="I383" s="33">
        <v>199.53</v>
      </c>
      <c r="J383" s="73">
        <f t="shared" si="35"/>
        <v>204.11918999999997</v>
      </c>
      <c r="K383" s="263">
        <f t="shared" si="34"/>
        <v>204.11918999999997</v>
      </c>
      <c r="L383" s="1"/>
    </row>
    <row r="384" spans="1:12" s="45" customFormat="1" ht="15" hidden="1" customHeight="1">
      <c r="A384" s="284"/>
      <c r="B384" s="105"/>
      <c r="C384" s="75"/>
      <c r="D384" s="70"/>
      <c r="E384" s="64"/>
      <c r="F384" s="37"/>
      <c r="G384" s="32"/>
      <c r="H384" s="110"/>
      <c r="I384" s="33"/>
      <c r="J384" s="73"/>
      <c r="K384" s="263"/>
      <c r="L384" s="1"/>
    </row>
    <row r="385" spans="1:12" s="45" customFormat="1" ht="15" hidden="1" customHeight="1">
      <c r="A385" s="282"/>
      <c r="B385" s="117" t="s">
        <v>105</v>
      </c>
      <c r="C385" s="291"/>
      <c r="D385" s="292"/>
      <c r="E385" s="293"/>
      <c r="F385" s="292"/>
      <c r="G385" s="57"/>
      <c r="H385" s="292"/>
      <c r="I385" s="59"/>
      <c r="J385" s="294"/>
      <c r="K385" s="295"/>
      <c r="L385" s="1"/>
    </row>
    <row r="386" spans="1:12" s="45" customFormat="1" ht="25.5" hidden="1" customHeight="1">
      <c r="A386" s="288">
        <f>A376+1</f>
        <v>39</v>
      </c>
      <c r="B386" s="61" t="s">
        <v>106</v>
      </c>
      <c r="C386" s="38" t="s">
        <v>23</v>
      </c>
      <c r="D386" s="38" t="s">
        <v>58</v>
      </c>
      <c r="E386" s="64"/>
      <c r="F386" s="97">
        <f>671.6+95.2+133.06</f>
        <v>899.86000000000013</v>
      </c>
      <c r="G386" s="32">
        <v>200</v>
      </c>
      <c r="H386" s="235">
        <f>F386*G386</f>
        <v>179972.00000000003</v>
      </c>
      <c r="I386" s="33"/>
      <c r="J386" s="66"/>
      <c r="K386" s="260">
        <f>H386+J386</f>
        <v>179972.00000000003</v>
      </c>
      <c r="L386" s="1"/>
    </row>
    <row r="387" spans="1:12" s="45" customFormat="1" ht="15" hidden="1" customHeight="1">
      <c r="A387" s="284"/>
      <c r="B387" s="105" t="s">
        <v>24</v>
      </c>
      <c r="C387" s="38" t="s">
        <v>23</v>
      </c>
      <c r="D387" s="70" t="s">
        <v>41</v>
      </c>
      <c r="E387" s="64">
        <f>1.1*0.1</f>
        <v>0.11000000000000001</v>
      </c>
      <c r="F387" s="37">
        <f>F386*E387</f>
        <v>98.984600000000029</v>
      </c>
      <c r="G387" s="32"/>
      <c r="H387" s="110"/>
      <c r="I387" s="33">
        <v>401.24249999999995</v>
      </c>
      <c r="J387" s="73">
        <f>F387*I387</f>
        <v>39716.828365500005</v>
      </c>
      <c r="K387" s="263">
        <f>H387+J387</f>
        <v>39716.828365500005</v>
      </c>
      <c r="L387" s="1"/>
    </row>
    <row r="388" spans="1:12" s="44" customFormat="1" ht="15" hidden="1" customHeight="1">
      <c r="A388" s="284"/>
      <c r="B388" s="105" t="s">
        <v>34</v>
      </c>
      <c r="C388" s="38" t="s">
        <v>23</v>
      </c>
      <c r="D388" s="70" t="s">
        <v>21</v>
      </c>
      <c r="E388" s="64">
        <f>0.15*0.1</f>
        <v>1.4999999999999999E-2</v>
      </c>
      <c r="F388" s="37">
        <f>F386*E388</f>
        <v>13.497900000000001</v>
      </c>
      <c r="G388" s="32"/>
      <c r="H388" s="244"/>
      <c r="I388" s="33">
        <v>37.450000000000003</v>
      </c>
      <c r="J388" s="73">
        <f>F388*I388</f>
        <v>505.49635500000011</v>
      </c>
      <c r="K388" s="263">
        <f>H388+J388</f>
        <v>505.49635500000011</v>
      </c>
      <c r="L388" s="1"/>
    </row>
    <row r="389" spans="1:12" s="44" customFormat="1" ht="15" hidden="1" customHeight="1">
      <c r="A389" s="284"/>
      <c r="B389" s="105" t="s">
        <v>71</v>
      </c>
      <c r="C389" s="38" t="s">
        <v>23</v>
      </c>
      <c r="D389" s="70" t="s">
        <v>19</v>
      </c>
      <c r="E389" s="64">
        <f>7.6*0.1</f>
        <v>0.76</v>
      </c>
      <c r="F389" s="37">
        <f>F386*E389</f>
        <v>683.89360000000011</v>
      </c>
      <c r="G389" s="32"/>
      <c r="H389" s="244"/>
      <c r="I389" s="33">
        <v>7.6</v>
      </c>
      <c r="J389" s="73">
        <f>F389*I389</f>
        <v>5197.5913600000003</v>
      </c>
      <c r="K389" s="263">
        <f>H389+J389</f>
        <v>5197.5913600000003</v>
      </c>
      <c r="L389" s="1"/>
    </row>
    <row r="390" spans="1:12" s="44" customFormat="1" ht="15" hidden="1" customHeight="1">
      <c r="A390" s="284"/>
      <c r="B390" s="105" t="s">
        <v>73</v>
      </c>
      <c r="C390" s="38" t="s">
        <v>23</v>
      </c>
      <c r="D390" s="70" t="s">
        <v>19</v>
      </c>
      <c r="E390" s="64">
        <f>0.4*0.1</f>
        <v>4.0000000000000008E-2</v>
      </c>
      <c r="F390" s="37">
        <f>F386*E390</f>
        <v>35.994400000000013</v>
      </c>
      <c r="G390" s="32"/>
      <c r="H390" s="244"/>
      <c r="I390" s="33">
        <v>123.5</v>
      </c>
      <c r="J390" s="73">
        <f>F390*I390</f>
        <v>4445.3084000000017</v>
      </c>
      <c r="K390" s="263">
        <f>H390+J390</f>
        <v>4445.3084000000017</v>
      </c>
      <c r="L390" s="1"/>
    </row>
    <row r="391" spans="1:12" ht="15" hidden="1" customHeight="1" thickBot="1">
      <c r="A391" s="298"/>
      <c r="B391" s="185"/>
      <c r="C391" s="186"/>
      <c r="D391" s="187"/>
      <c r="E391" s="128"/>
      <c r="F391" s="188"/>
      <c r="G391" s="130"/>
      <c r="H391" s="189"/>
      <c r="I391" s="129"/>
      <c r="J391" s="129"/>
      <c r="K391" s="299"/>
    </row>
    <row r="392" spans="1:12" ht="14.4">
      <c r="A392" s="190"/>
      <c r="B392" s="191" t="s">
        <v>136</v>
      </c>
      <c r="C392" s="192"/>
      <c r="D392" s="193" t="s">
        <v>137</v>
      </c>
      <c r="E392" s="194"/>
      <c r="F392" s="193"/>
      <c r="G392" s="195"/>
      <c r="H392" s="196">
        <f>SUBTOTAL(9,H35:H206)</f>
        <v>131136</v>
      </c>
      <c r="I392" s="197"/>
      <c r="J392" s="198">
        <f>SUBTOTAL(9,J35:J206)</f>
        <v>0</v>
      </c>
      <c r="K392" s="199">
        <f>SUBTOTAL(9,K35:K206)</f>
        <v>131136</v>
      </c>
    </row>
    <row r="393" spans="1:12" ht="14.4">
      <c r="A393" s="228"/>
      <c r="B393" s="229"/>
      <c r="C393" s="38"/>
      <c r="D393" s="230"/>
      <c r="E393" s="64"/>
      <c r="F393" s="230"/>
      <c r="G393" s="231"/>
      <c r="H393" s="232"/>
      <c r="I393" s="233"/>
      <c r="J393" s="233"/>
      <c r="K393" s="234"/>
    </row>
    <row r="394" spans="1:12" ht="14.4">
      <c r="A394" s="200"/>
      <c r="B394" s="201" t="s">
        <v>138</v>
      </c>
      <c r="C394" s="202"/>
      <c r="D394" s="207"/>
      <c r="E394" s="208"/>
      <c r="F394" s="207"/>
      <c r="G394" s="245">
        <v>1.4999999999999999E-2</v>
      </c>
      <c r="H394" s="209">
        <f>H392*G394</f>
        <v>1967.04</v>
      </c>
      <c r="I394" s="210"/>
      <c r="J394" s="210"/>
      <c r="K394" s="211">
        <f>H394+J394</f>
        <v>1967.04</v>
      </c>
    </row>
    <row r="395" spans="1:12" ht="14.4">
      <c r="A395" s="200"/>
      <c r="B395" s="212" t="s">
        <v>139</v>
      </c>
      <c r="C395" s="202"/>
      <c r="D395" s="207"/>
      <c r="E395" s="208"/>
      <c r="F395" s="207"/>
      <c r="G395" s="246">
        <v>0.02</v>
      </c>
      <c r="H395" s="205"/>
      <c r="I395" s="210"/>
      <c r="J395" s="213">
        <f>J392*G395</f>
        <v>0</v>
      </c>
      <c r="K395" s="211">
        <f>H395+J395</f>
        <v>0</v>
      </c>
    </row>
    <row r="396" spans="1:12" ht="14.4">
      <c r="A396" s="200"/>
      <c r="B396" s="214" t="s">
        <v>140</v>
      </c>
      <c r="C396" s="207"/>
      <c r="D396" s="203" t="s">
        <v>137</v>
      </c>
      <c r="E396" s="204"/>
      <c r="F396" s="203"/>
      <c r="G396" s="215"/>
      <c r="H396" s="216">
        <f>H392+H394</f>
        <v>133103.04000000001</v>
      </c>
      <c r="I396" s="206"/>
      <c r="J396" s="206">
        <f>J392+J395</f>
        <v>0</v>
      </c>
      <c r="K396" s="217">
        <f>K392+K394+K395</f>
        <v>133103.04000000001</v>
      </c>
    </row>
    <row r="397" spans="1:12" ht="14.4">
      <c r="A397" s="200"/>
      <c r="B397" s="214" t="s">
        <v>141</v>
      </c>
      <c r="C397" s="207"/>
      <c r="D397" s="203" t="s">
        <v>137</v>
      </c>
      <c r="E397" s="204"/>
      <c r="F397" s="203"/>
      <c r="G397" s="218"/>
      <c r="H397" s="219">
        <f>H396/5</f>
        <v>26620.608</v>
      </c>
      <c r="I397" s="206"/>
      <c r="J397" s="206"/>
      <c r="K397" s="217">
        <f>K396*0.2</f>
        <v>26620.608000000004</v>
      </c>
    </row>
    <row r="398" spans="1:12" s="131" customFormat="1" ht="14.4" thickBot="1">
      <c r="A398" s="220"/>
      <c r="B398" s="221" t="s">
        <v>142</v>
      </c>
      <c r="C398" s="222"/>
      <c r="D398" s="222" t="s">
        <v>137</v>
      </c>
      <c r="E398" s="223"/>
      <c r="F398" s="223"/>
      <c r="G398" s="224"/>
      <c r="H398" s="225">
        <f>H396*1.2</f>
        <v>159723.64800000002</v>
      </c>
      <c r="I398" s="226"/>
      <c r="J398" s="226"/>
      <c r="K398" s="227">
        <f>K396+K397</f>
        <v>159723.64800000002</v>
      </c>
      <c r="L398" s="227">
        <v>159723.64799999999</v>
      </c>
    </row>
    <row r="399" spans="1:12" s="149" customFormat="1" ht="16.5" customHeight="1">
      <c r="A399" s="142"/>
      <c r="B399" s="143"/>
      <c r="C399" s="144"/>
      <c r="D399" s="145"/>
      <c r="E399" s="146"/>
      <c r="F399" s="147"/>
      <c r="G399" s="148"/>
      <c r="I399" s="150"/>
      <c r="J399" s="150"/>
      <c r="K399" s="151"/>
    </row>
    <row r="400" spans="1:12" ht="15" customHeight="1">
      <c r="K400" s="151"/>
    </row>
    <row r="401" spans="1:11" ht="15.75" customHeight="1">
      <c r="A401" s="152" t="s">
        <v>143</v>
      </c>
      <c r="B401" s="153"/>
      <c r="C401" s="154"/>
      <c r="D401" s="153"/>
      <c r="E401" s="155"/>
      <c r="F401" s="153"/>
      <c r="G401" s="156"/>
      <c r="H401" s="153"/>
      <c r="I401" s="157"/>
      <c r="J401" s="157"/>
      <c r="K401" s="158"/>
    </row>
    <row r="402" spans="1:11" s="45" customFormat="1" ht="15" customHeight="1">
      <c r="A402" s="160" t="s">
        <v>144</v>
      </c>
      <c r="B402" s="161"/>
      <c r="C402" s="162"/>
      <c r="D402" s="161"/>
      <c r="E402" s="163"/>
      <c r="F402" s="161"/>
      <c r="G402" s="164"/>
      <c r="H402" s="161"/>
      <c r="I402" s="165"/>
      <c r="J402" s="165"/>
      <c r="K402" s="159"/>
    </row>
    <row r="403" spans="1:11" s="45" customFormat="1" ht="15" customHeight="1">
      <c r="A403" s="160" t="s">
        <v>145</v>
      </c>
      <c r="B403" s="161"/>
      <c r="C403" s="162"/>
      <c r="D403" s="161"/>
      <c r="E403" s="163"/>
      <c r="F403" s="161"/>
      <c r="G403" s="164"/>
      <c r="H403" s="161"/>
      <c r="I403" s="165"/>
      <c r="J403" s="165"/>
      <c r="K403" s="159"/>
    </row>
    <row r="404" spans="1:11" s="45" customFormat="1" ht="15" customHeight="1">
      <c r="A404" s="160"/>
      <c r="B404" s="161"/>
      <c r="C404" s="162"/>
      <c r="D404" s="161"/>
      <c r="E404" s="163"/>
      <c r="F404" s="161"/>
      <c r="G404" s="164"/>
      <c r="H404" s="161"/>
      <c r="I404" s="165"/>
      <c r="J404" s="165"/>
      <c r="K404" s="159"/>
    </row>
    <row r="405" spans="1:11" s="45" customFormat="1" ht="15" customHeight="1">
      <c r="A405" s="160" t="s">
        <v>146</v>
      </c>
      <c r="B405" s="161"/>
      <c r="C405" s="162"/>
      <c r="D405" s="161"/>
      <c r="E405" s="163"/>
      <c r="F405" s="161"/>
      <c r="G405" s="164"/>
      <c r="H405" s="161"/>
      <c r="I405" s="165"/>
      <c r="J405" s="165"/>
      <c r="K405" s="159"/>
    </row>
    <row r="406" spans="1:11" s="45" customFormat="1" ht="48.75" customHeight="1">
      <c r="A406" s="375" t="s">
        <v>147</v>
      </c>
      <c r="B406" s="375"/>
      <c r="C406" s="375"/>
      <c r="D406" s="375"/>
      <c r="E406" s="375"/>
      <c r="F406" s="375"/>
      <c r="G406" s="375"/>
      <c r="H406" s="375"/>
      <c r="I406" s="375"/>
      <c r="J406" s="375"/>
      <c r="K406" s="375"/>
    </row>
    <row r="407" spans="1:11" s="45" customFormat="1" ht="15" customHeight="1">
      <c r="A407" s="160" t="s">
        <v>148</v>
      </c>
      <c r="B407" s="161"/>
      <c r="C407" s="162"/>
      <c r="D407" s="161"/>
      <c r="E407" s="163"/>
      <c r="F407" s="161"/>
      <c r="G407" s="164"/>
      <c r="H407" s="161"/>
      <c r="I407" s="165"/>
      <c r="J407" s="165"/>
      <c r="K407" s="159"/>
    </row>
    <row r="408" spans="1:11" s="45" customFormat="1" ht="15" customHeight="1">
      <c r="A408" s="160" t="s">
        <v>149</v>
      </c>
      <c r="B408" s="161"/>
      <c r="C408" s="162"/>
      <c r="D408" s="161"/>
      <c r="E408" s="163"/>
      <c r="F408" s="161"/>
      <c r="G408" s="164"/>
      <c r="H408" s="161"/>
      <c r="I408" s="165"/>
      <c r="J408" s="165"/>
      <c r="K408" s="159"/>
    </row>
    <row r="409" spans="1:11" s="45" customFormat="1" ht="15" customHeight="1">
      <c r="A409" s="160" t="s">
        <v>150</v>
      </c>
      <c r="B409" s="161"/>
      <c r="C409" s="162"/>
      <c r="D409" s="161"/>
      <c r="E409" s="163"/>
      <c r="F409" s="161"/>
      <c r="G409" s="164"/>
      <c r="H409" s="161"/>
      <c r="I409" s="165"/>
      <c r="J409" s="165"/>
      <c r="K409" s="159"/>
    </row>
    <row r="410" spans="1:11" s="45" customFormat="1" ht="15" customHeight="1">
      <c r="A410" s="160" t="s">
        <v>151</v>
      </c>
      <c r="B410" s="161"/>
      <c r="C410" s="162"/>
      <c r="D410" s="161"/>
      <c r="E410" s="163"/>
      <c r="F410" s="161"/>
      <c r="G410" s="164"/>
      <c r="H410" s="161"/>
      <c r="I410" s="165"/>
      <c r="J410" s="165"/>
      <c r="K410" s="159"/>
    </row>
    <row r="411" spans="1:11" s="45" customFormat="1" ht="15" customHeight="1">
      <c r="A411" s="160" t="s">
        <v>152</v>
      </c>
      <c r="B411" s="161"/>
      <c r="C411" s="162"/>
      <c r="D411" s="161"/>
      <c r="E411" s="163"/>
      <c r="F411" s="161"/>
      <c r="G411" s="164"/>
      <c r="H411" s="161"/>
      <c r="I411" s="165"/>
      <c r="J411" s="165"/>
      <c r="K411" s="159"/>
    </row>
    <row r="412" spans="1:11" s="45" customFormat="1" ht="36" customHeight="1">
      <c r="A412" s="375" t="s">
        <v>153</v>
      </c>
      <c r="B412" s="375"/>
      <c r="C412" s="375"/>
      <c r="D412" s="375"/>
      <c r="E412" s="375"/>
      <c r="F412" s="375"/>
      <c r="G412" s="375"/>
      <c r="H412" s="375"/>
      <c r="I412" s="375"/>
      <c r="J412" s="375"/>
      <c r="K412" s="375"/>
    </row>
    <row r="413" spans="1:11" s="45" customFormat="1" ht="15" customHeight="1">
      <c r="A413" s="160" t="s">
        <v>154</v>
      </c>
      <c r="B413" s="161"/>
      <c r="C413" s="162"/>
      <c r="D413" s="161"/>
      <c r="E413" s="163"/>
      <c r="F413" s="161"/>
      <c r="G413" s="164"/>
      <c r="H413" s="161"/>
      <c r="I413" s="165"/>
      <c r="J413" s="165"/>
      <c r="K413" s="159"/>
    </row>
    <row r="414" spans="1:11" s="45" customFormat="1" ht="15" customHeight="1">
      <c r="A414" s="356" t="s">
        <v>155</v>
      </c>
      <c r="B414" s="356"/>
      <c r="C414" s="356"/>
      <c r="D414" s="356"/>
      <c r="E414" s="356"/>
      <c r="F414" s="356"/>
      <c r="G414" s="356"/>
      <c r="H414" s="356"/>
      <c r="I414" s="165"/>
      <c r="J414" s="165"/>
      <c r="K414" s="159"/>
    </row>
    <row r="415" spans="1:11" s="45" customFormat="1" ht="15" customHeight="1">
      <c r="A415" s="356" t="s">
        <v>156</v>
      </c>
      <c r="B415" s="356"/>
      <c r="C415" s="356"/>
      <c r="D415" s="356"/>
      <c r="E415" s="356"/>
      <c r="F415" s="356"/>
      <c r="G415" s="356"/>
      <c r="H415" s="356"/>
      <c r="I415" s="165"/>
      <c r="J415" s="165"/>
      <c r="K415" s="159"/>
    </row>
    <row r="416" spans="1:11" s="45" customFormat="1" ht="15" customHeight="1">
      <c r="A416" s="160" t="s">
        <v>157</v>
      </c>
      <c r="B416" s="161"/>
      <c r="C416" s="162"/>
      <c r="D416" s="161"/>
      <c r="E416" s="163"/>
      <c r="F416" s="161"/>
      <c r="G416" s="164"/>
      <c r="H416" s="161"/>
      <c r="I416" s="165"/>
      <c r="J416" s="165"/>
      <c r="K416" s="159"/>
    </row>
    <row r="417" spans="1:13" s="45" customFormat="1" ht="33" customHeight="1">
      <c r="A417" s="356" t="s">
        <v>158</v>
      </c>
      <c r="B417" s="356"/>
      <c r="C417" s="356"/>
      <c r="D417" s="356"/>
      <c r="E417" s="356"/>
      <c r="F417" s="356"/>
      <c r="G417" s="356"/>
      <c r="H417" s="356"/>
      <c r="I417" s="165"/>
      <c r="J417" s="165"/>
      <c r="K417" s="159"/>
    </row>
    <row r="418" spans="1:13" s="45" customFormat="1" ht="15" customHeight="1">
      <c r="A418" s="160" t="s">
        <v>159</v>
      </c>
      <c r="B418" s="161"/>
      <c r="C418" s="162"/>
      <c r="D418" s="161"/>
      <c r="E418" s="163"/>
      <c r="F418" s="161"/>
      <c r="G418" s="164"/>
      <c r="H418" s="161"/>
      <c r="I418" s="165"/>
      <c r="J418" s="165"/>
      <c r="K418" s="159"/>
    </row>
    <row r="419" spans="1:13" s="45" customFormat="1" ht="15" customHeight="1">
      <c r="A419" s="357" t="s">
        <v>160</v>
      </c>
      <c r="B419" s="357"/>
      <c r="C419" s="357"/>
      <c r="D419" s="357"/>
      <c r="E419" s="357"/>
      <c r="F419" s="357"/>
      <c r="G419" s="357"/>
      <c r="H419" s="357"/>
      <c r="I419" s="165"/>
      <c r="J419" s="165"/>
      <c r="K419" s="159"/>
    </row>
    <row r="420" spans="1:13" s="45" customFormat="1" ht="42.6" customHeight="1">
      <c r="A420" s="355" t="s">
        <v>161</v>
      </c>
      <c r="B420" s="355"/>
      <c r="C420" s="355"/>
      <c r="D420" s="355"/>
      <c r="E420" s="355"/>
      <c r="F420" s="355"/>
      <c r="G420" s="355"/>
      <c r="H420" s="355"/>
      <c r="I420" s="165"/>
      <c r="J420" s="165"/>
      <c r="K420" s="159"/>
    </row>
    <row r="421" spans="1:13" s="45" customFormat="1" ht="15" customHeight="1">
      <c r="A421" s="355" t="s">
        <v>162</v>
      </c>
      <c r="B421" s="355"/>
      <c r="C421" s="355"/>
      <c r="D421" s="355"/>
      <c r="E421" s="355"/>
      <c r="F421" s="355"/>
      <c r="G421" s="355"/>
      <c r="H421" s="355"/>
      <c r="I421" s="165"/>
      <c r="J421" s="165"/>
      <c r="K421" s="159"/>
    </row>
    <row r="422" spans="1:13" s="45" customFormat="1" ht="15" customHeight="1">
      <c r="A422" s="355" t="s">
        <v>163</v>
      </c>
      <c r="B422" s="355"/>
      <c r="C422" s="355"/>
      <c r="D422" s="355"/>
      <c r="E422" s="355"/>
      <c r="F422" s="355"/>
      <c r="G422" s="355"/>
      <c r="H422" s="355"/>
      <c r="I422" s="165"/>
      <c r="J422" s="165"/>
      <c r="K422" s="159"/>
    </row>
    <row r="423" spans="1:13" s="45" customFormat="1" ht="15" customHeight="1">
      <c r="A423" s="355" t="s">
        <v>164</v>
      </c>
      <c r="B423" s="355"/>
      <c r="C423" s="355"/>
      <c r="D423" s="355"/>
      <c r="E423" s="355"/>
      <c r="F423" s="355"/>
      <c r="G423" s="355"/>
      <c r="H423" s="355"/>
      <c r="I423" s="165"/>
      <c r="J423" s="165"/>
      <c r="K423" s="159"/>
    </row>
    <row r="424" spans="1:13" s="45" customFormat="1" ht="15" customHeight="1">
      <c r="A424" s="355" t="s">
        <v>165</v>
      </c>
      <c r="B424" s="355"/>
      <c r="C424" s="355"/>
      <c r="D424" s="355"/>
      <c r="E424" s="355"/>
      <c r="F424" s="355"/>
      <c r="G424" s="355"/>
      <c r="H424" s="355"/>
      <c r="I424" s="165"/>
      <c r="J424" s="165"/>
      <c r="K424" s="159"/>
    </row>
    <row r="425" spans="1:13" s="45" customFormat="1" ht="15" customHeight="1">
      <c r="A425" s="355" t="s">
        <v>166</v>
      </c>
      <c r="B425" s="355"/>
      <c r="C425" s="355"/>
      <c r="D425" s="355"/>
      <c r="E425" s="355"/>
      <c r="F425" s="355"/>
      <c r="G425" s="355"/>
      <c r="H425" s="355"/>
      <c r="I425" s="165"/>
      <c r="J425" s="165"/>
      <c r="K425" s="159"/>
    </row>
    <row r="426" spans="1:13" s="45" customFormat="1" ht="15" customHeight="1">
      <c r="A426" s="355" t="s">
        <v>167</v>
      </c>
      <c r="B426" s="355"/>
      <c r="C426" s="355"/>
      <c r="D426" s="355"/>
      <c r="E426" s="355"/>
      <c r="F426" s="355"/>
      <c r="G426" s="355"/>
      <c r="H426" s="355"/>
      <c r="I426" s="165"/>
      <c r="J426" s="165"/>
      <c r="K426" s="159"/>
    </row>
    <row r="427" spans="1:13" s="45" customFormat="1" ht="15" customHeight="1">
      <c r="A427" s="355" t="s">
        <v>168</v>
      </c>
      <c r="B427" s="355"/>
      <c r="C427" s="355"/>
      <c r="D427" s="355"/>
      <c r="E427" s="355"/>
      <c r="F427" s="355"/>
      <c r="G427" s="355"/>
      <c r="H427" s="355"/>
      <c r="I427" s="165"/>
      <c r="J427" s="165"/>
      <c r="K427" s="159"/>
    </row>
    <row r="428" spans="1:13" s="45" customFormat="1" ht="15" customHeight="1">
      <c r="A428" s="355" t="s">
        <v>169</v>
      </c>
      <c r="B428" s="355"/>
      <c r="C428" s="355"/>
      <c r="D428" s="355"/>
      <c r="E428" s="355"/>
      <c r="F428" s="355"/>
      <c r="G428" s="355"/>
      <c r="H428" s="355"/>
      <c r="I428" s="165"/>
      <c r="J428" s="165"/>
      <c r="K428" s="1"/>
      <c r="L428" s="1"/>
      <c r="M428" s="1"/>
    </row>
    <row r="429" spans="1:13" s="45" customFormat="1" ht="15" customHeight="1">
      <c r="A429" s="355" t="s">
        <v>170</v>
      </c>
      <c r="B429" s="355"/>
      <c r="C429" s="355"/>
      <c r="D429" s="355"/>
      <c r="E429" s="355"/>
      <c r="F429" s="355"/>
      <c r="G429" s="355"/>
      <c r="H429" s="355"/>
      <c r="I429" s="165"/>
      <c r="J429" s="165"/>
      <c r="K429" s="1"/>
      <c r="L429" s="1"/>
      <c r="M429" s="1"/>
    </row>
    <row r="430" spans="1:13" s="45" customFormat="1" ht="15" customHeight="1">
      <c r="A430" s="353" t="s">
        <v>171</v>
      </c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1"/>
      <c r="M430" s="1"/>
    </row>
    <row r="431" spans="1:13" s="135" customFormat="1" ht="15" customHeight="1">
      <c r="A431" s="136"/>
      <c r="C431" s="170"/>
      <c r="E431" s="171"/>
      <c r="I431" s="172"/>
      <c r="J431" s="172"/>
      <c r="K431" s="173"/>
    </row>
    <row r="432" spans="1:13" s="135" customFormat="1" ht="15" customHeight="1">
      <c r="A432" s="136"/>
      <c r="C432" s="170"/>
      <c r="E432" s="171"/>
      <c r="I432" s="172"/>
      <c r="J432" s="172"/>
      <c r="K432" s="173"/>
    </row>
    <row r="433" spans="1:17" s="135" customFormat="1" ht="15" customHeight="1">
      <c r="A433" s="174"/>
      <c r="C433" s="170"/>
      <c r="E433" s="175"/>
      <c r="G433" s="176"/>
      <c r="I433" s="172"/>
      <c r="J433" s="172"/>
      <c r="K433" s="173"/>
    </row>
    <row r="434" spans="1:17" s="181" customFormat="1" ht="15.6">
      <c r="A434" s="177"/>
      <c r="B434" s="350" t="s">
        <v>175</v>
      </c>
      <c r="C434" s="350"/>
      <c r="D434" s="179"/>
      <c r="E434" s="178"/>
      <c r="F434" s="178"/>
      <c r="G434" s="178"/>
      <c r="H434" s="354" t="s">
        <v>176</v>
      </c>
      <c r="I434" s="354"/>
      <c r="J434" s="180"/>
      <c r="K434" s="180"/>
      <c r="M434" s="182"/>
      <c r="N434" s="183"/>
      <c r="O434" s="183"/>
      <c r="P434" s="183"/>
      <c r="Q434" s="183"/>
    </row>
    <row r="435" spans="1:17" s="181" customFormat="1" ht="15.6">
      <c r="A435" s="177"/>
      <c r="B435" s="178" t="s">
        <v>177</v>
      </c>
      <c r="C435" s="178"/>
      <c r="D435" s="179"/>
      <c r="E435" s="178"/>
      <c r="F435" s="178"/>
      <c r="G435" s="178"/>
      <c r="H435" s="354" t="s">
        <v>178</v>
      </c>
      <c r="I435" s="354"/>
      <c r="J435" s="180"/>
      <c r="K435" s="180"/>
      <c r="M435" s="182"/>
      <c r="N435" s="183"/>
      <c r="O435" s="183"/>
      <c r="P435" s="183"/>
      <c r="Q435" s="183"/>
    </row>
    <row r="436" spans="1:17" s="181" customFormat="1" ht="15.6">
      <c r="A436" s="177"/>
      <c r="B436" s="178"/>
      <c r="C436" s="178"/>
      <c r="D436" s="179"/>
      <c r="E436" s="178"/>
      <c r="F436" s="178"/>
      <c r="G436" s="178"/>
      <c r="H436" s="180"/>
      <c r="I436" s="180"/>
      <c r="J436" s="180"/>
      <c r="K436" s="180"/>
      <c r="M436" s="182"/>
      <c r="N436" s="183"/>
      <c r="O436" s="183"/>
      <c r="P436" s="183"/>
      <c r="Q436" s="183"/>
    </row>
    <row r="437" spans="1:17" s="181" customFormat="1" ht="15.6">
      <c r="A437" s="177"/>
      <c r="B437" s="350" t="s">
        <v>179</v>
      </c>
      <c r="C437" s="350"/>
      <c r="D437" s="179"/>
      <c r="E437" s="178"/>
      <c r="F437" s="178"/>
      <c r="G437" s="178"/>
      <c r="H437" s="352" t="s">
        <v>179</v>
      </c>
      <c r="I437" s="352"/>
      <c r="J437" s="352"/>
      <c r="K437" s="352"/>
      <c r="M437" s="182"/>
      <c r="N437" s="183"/>
      <c r="O437" s="183"/>
      <c r="P437" s="183"/>
      <c r="Q437" s="183"/>
    </row>
    <row r="438" spans="1:17" s="181" customFormat="1" ht="15.6">
      <c r="A438" s="177"/>
      <c r="B438" s="178" t="s">
        <v>180</v>
      </c>
      <c r="C438" s="179"/>
      <c r="D438" s="179"/>
      <c r="E438" s="178"/>
      <c r="F438" s="178"/>
      <c r="G438" s="178"/>
      <c r="H438" s="180"/>
      <c r="I438" s="180"/>
      <c r="J438" s="180"/>
      <c r="K438" s="184"/>
      <c r="M438" s="182"/>
      <c r="N438" s="183"/>
      <c r="O438" s="183"/>
      <c r="P438" s="183"/>
      <c r="Q438" s="183"/>
    </row>
    <row r="439" spans="1:17" s="181" customFormat="1" ht="15.6">
      <c r="A439" s="177"/>
      <c r="B439" s="350" t="s">
        <v>181</v>
      </c>
      <c r="C439" s="350"/>
      <c r="D439" s="351"/>
      <c r="E439" s="350"/>
      <c r="F439" s="350"/>
      <c r="G439" s="350"/>
      <c r="H439" s="352" t="s">
        <v>182</v>
      </c>
      <c r="I439" s="352"/>
      <c r="J439" s="352"/>
      <c r="K439" s="352"/>
      <c r="M439" s="182"/>
      <c r="N439" s="183"/>
      <c r="O439" s="183"/>
      <c r="P439" s="183"/>
      <c r="Q439" s="183"/>
    </row>
    <row r="440" spans="1:17" s="135" customFormat="1" ht="6" customHeight="1">
      <c r="A440" s="174"/>
      <c r="C440" s="170"/>
      <c r="E440" s="175"/>
      <c r="G440" s="176"/>
      <c r="I440" s="172"/>
      <c r="J440" s="172"/>
      <c r="K440" s="173"/>
    </row>
  </sheetData>
  <autoFilter ref="A12:K398">
    <filterColumn colId="2">
      <filters>
        <filter val="43.31"/>
      </filters>
    </filterColumn>
  </autoFilter>
  <mergeCells count="44">
    <mergeCell ref="B439:D439"/>
    <mergeCell ref="E439:G439"/>
    <mergeCell ref="H439:K439"/>
    <mergeCell ref="A430:K430"/>
    <mergeCell ref="B434:C434"/>
    <mergeCell ref="H434:I434"/>
    <mergeCell ref="H435:I435"/>
    <mergeCell ref="B437:C437"/>
    <mergeCell ref="H437:K437"/>
    <mergeCell ref="A429:H429"/>
    <mergeCell ref="A417:H417"/>
    <mergeCell ref="A419:H419"/>
    <mergeCell ref="A420:H420"/>
    <mergeCell ref="A421:H421"/>
    <mergeCell ref="A422:H422"/>
    <mergeCell ref="A423:H423"/>
    <mergeCell ref="A424:H424"/>
    <mergeCell ref="A425:H425"/>
    <mergeCell ref="A426:H426"/>
    <mergeCell ref="A427:H427"/>
    <mergeCell ref="A428:H428"/>
    <mergeCell ref="A415:H415"/>
    <mergeCell ref="A6:K6"/>
    <mergeCell ref="A7:K7"/>
    <mergeCell ref="A8:K8"/>
    <mergeCell ref="A10:A11"/>
    <mergeCell ref="B10:B11"/>
    <mergeCell ref="C10:C11"/>
    <mergeCell ref="D10:D11"/>
    <mergeCell ref="E10:E11"/>
    <mergeCell ref="F10:F11"/>
    <mergeCell ref="G10:H10"/>
    <mergeCell ref="I10:J10"/>
    <mergeCell ref="K10:K11"/>
    <mergeCell ref="A406:K406"/>
    <mergeCell ref="A412:K412"/>
    <mergeCell ref="A414:H414"/>
    <mergeCell ref="A4:F4"/>
    <mergeCell ref="G4:K4"/>
    <mergeCell ref="A1:F1"/>
    <mergeCell ref="G1:K1"/>
    <mergeCell ref="A2:F2"/>
    <mergeCell ref="G2:K2"/>
    <mergeCell ref="G3:K3"/>
  </mergeCells>
  <pageMargins left="0.19685039370078741" right="0.19685039370078741" top="0.59055118110236227" bottom="0.19685039370078741" header="0" footer="0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40"/>
  <sheetViews>
    <sheetView view="pageBreakPreview" topLeftCell="A288" zoomScaleNormal="80" zoomScaleSheetLayoutView="100" workbookViewId="0">
      <selection activeCell="L402" sqref="L402"/>
    </sheetView>
  </sheetViews>
  <sheetFormatPr defaultColWidth="12.5546875" defaultRowHeight="15" customHeight="1"/>
  <cols>
    <col min="1" max="1" width="7.44140625" style="2" customWidth="1"/>
    <col min="2" max="2" width="53.44140625" style="1" customWidth="1"/>
    <col min="3" max="3" width="7.44140625" style="3" customWidth="1"/>
    <col min="4" max="4" width="7.5546875" style="1" customWidth="1"/>
    <col min="5" max="5" width="8.44140625" style="4" customWidth="1"/>
    <col min="6" max="6" width="11.109375" style="1" customWidth="1"/>
    <col min="7" max="7" width="11.44140625" style="132" customWidth="1"/>
    <col min="8" max="8" width="15.88671875" style="1" customWidth="1"/>
    <col min="9" max="9" width="11.88671875" style="133" customWidth="1"/>
    <col min="10" max="10" width="13.5546875" style="133" customWidth="1"/>
    <col min="11" max="11" width="19.88671875" style="1" customWidth="1"/>
    <col min="12" max="12" width="13.88671875" style="1" customWidth="1"/>
    <col min="13" max="13" width="17.88671875" style="1" customWidth="1"/>
    <col min="14" max="16384" width="12.5546875" style="1"/>
  </cols>
  <sheetData>
    <row r="1" spans="1:11" ht="15.6">
      <c r="A1" s="378" t="s">
        <v>0</v>
      </c>
      <c r="B1" s="379"/>
      <c r="C1" s="379"/>
      <c r="D1" s="379"/>
      <c r="E1" s="379"/>
      <c r="F1" s="379"/>
      <c r="G1" s="380" t="s">
        <v>189</v>
      </c>
      <c r="H1" s="380"/>
      <c r="I1" s="380"/>
      <c r="J1" s="380"/>
      <c r="K1" s="380"/>
    </row>
    <row r="2" spans="1:11" ht="15" customHeight="1">
      <c r="A2" s="378" t="s">
        <v>174</v>
      </c>
      <c r="B2" s="379"/>
      <c r="C2" s="379"/>
      <c r="D2" s="379"/>
      <c r="E2" s="379"/>
      <c r="F2" s="379"/>
      <c r="G2" s="381"/>
      <c r="H2" s="381"/>
      <c r="I2" s="381"/>
      <c r="J2" s="381"/>
      <c r="K2" s="381"/>
    </row>
    <row r="3" spans="1:11" ht="15" customHeight="1">
      <c r="G3" s="377"/>
      <c r="H3" s="377"/>
      <c r="I3" s="377"/>
      <c r="J3" s="377"/>
      <c r="K3" s="377"/>
    </row>
    <row r="4" spans="1:11" ht="15.75" customHeight="1">
      <c r="A4" s="376"/>
      <c r="B4" s="359"/>
      <c r="C4" s="359"/>
      <c r="D4" s="359"/>
      <c r="E4" s="359"/>
      <c r="F4" s="359"/>
      <c r="G4" s="377"/>
      <c r="H4" s="377"/>
      <c r="I4" s="377"/>
      <c r="J4" s="377"/>
      <c r="K4" s="377"/>
    </row>
    <row r="5" spans="1:11" ht="7.5" customHeight="1">
      <c r="A5" s="7"/>
      <c r="B5" s="5"/>
      <c r="C5" s="8"/>
      <c r="D5" s="5"/>
      <c r="E5" s="9"/>
      <c r="F5" s="5"/>
      <c r="G5" s="10"/>
      <c r="H5" s="11"/>
      <c r="I5" s="12"/>
      <c r="J5" s="12"/>
      <c r="K5" s="11"/>
    </row>
    <row r="6" spans="1:11" ht="18" customHeight="1">
      <c r="A6" s="358" t="s">
        <v>191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5" customHeight="1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30.75" customHeight="1">
      <c r="A8" s="360" t="s">
        <v>2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1" ht="15" customHeight="1" thickBot="1">
      <c r="A9" s="13"/>
      <c r="B9" s="6"/>
      <c r="C9" s="14"/>
      <c r="D9" s="6"/>
      <c r="F9" s="6"/>
      <c r="G9" s="15"/>
      <c r="H9" s="6"/>
      <c r="I9" s="16"/>
      <c r="J9" s="16"/>
      <c r="K9" s="17"/>
    </row>
    <row r="10" spans="1:11" ht="33.75" customHeight="1">
      <c r="A10" s="361" t="s">
        <v>3</v>
      </c>
      <c r="B10" s="363" t="s">
        <v>4</v>
      </c>
      <c r="C10" s="363" t="s">
        <v>5</v>
      </c>
      <c r="D10" s="366" t="s">
        <v>6</v>
      </c>
      <c r="E10" s="367" t="s">
        <v>7</v>
      </c>
      <c r="F10" s="363" t="s">
        <v>8</v>
      </c>
      <c r="G10" s="369" t="s">
        <v>9</v>
      </c>
      <c r="H10" s="370"/>
      <c r="I10" s="371" t="s">
        <v>10</v>
      </c>
      <c r="J10" s="372"/>
      <c r="K10" s="373" t="s">
        <v>11</v>
      </c>
    </row>
    <row r="11" spans="1:11" ht="25.5" customHeight="1" thickBot="1">
      <c r="A11" s="362"/>
      <c r="B11" s="364"/>
      <c r="C11" s="365"/>
      <c r="D11" s="364"/>
      <c r="E11" s="368"/>
      <c r="F11" s="364"/>
      <c r="G11" s="168" t="s">
        <v>12</v>
      </c>
      <c r="H11" s="168" t="s">
        <v>13</v>
      </c>
      <c r="I11" s="169" t="s">
        <v>12</v>
      </c>
      <c r="J11" s="169" t="s">
        <v>14</v>
      </c>
      <c r="K11" s="374"/>
    </row>
    <row r="12" spans="1:11" s="22" customFormat="1" ht="15" customHeight="1">
      <c r="A12" s="247" t="s">
        <v>15</v>
      </c>
      <c r="B12" s="300">
        <v>2</v>
      </c>
      <c r="C12" s="306"/>
      <c r="D12" s="307">
        <v>3</v>
      </c>
      <c r="E12" s="308"/>
      <c r="F12" s="300">
        <v>4</v>
      </c>
      <c r="G12" s="166">
        <v>5</v>
      </c>
      <c r="H12" s="166">
        <v>6</v>
      </c>
      <c r="I12" s="167">
        <v>7</v>
      </c>
      <c r="J12" s="167">
        <v>10</v>
      </c>
      <c r="K12" s="248">
        <v>11</v>
      </c>
    </row>
    <row r="13" spans="1:11" ht="15" hidden="1" customHeight="1">
      <c r="A13" s="249"/>
      <c r="B13" s="301" t="s">
        <v>26</v>
      </c>
      <c r="C13" s="301"/>
      <c r="D13" s="313"/>
      <c r="E13" s="314"/>
      <c r="F13" s="313"/>
      <c r="G13" s="39"/>
      <c r="H13" s="251"/>
      <c r="I13" s="40"/>
      <c r="J13" s="253"/>
      <c r="K13" s="254"/>
    </row>
    <row r="14" spans="1:11" ht="15" hidden="1" customHeight="1">
      <c r="A14" s="255"/>
      <c r="B14" s="24" t="s">
        <v>16</v>
      </c>
      <c r="C14" s="309"/>
      <c r="D14" s="310"/>
      <c r="E14" s="311"/>
      <c r="F14" s="312"/>
      <c r="G14" s="29"/>
      <c r="H14" s="51"/>
      <c r="I14" s="36"/>
      <c r="J14" s="52"/>
      <c r="K14" s="256"/>
    </row>
    <row r="15" spans="1:11" ht="25.5" hidden="1" customHeight="1">
      <c r="A15" s="257"/>
      <c r="B15" s="53" t="s">
        <v>27</v>
      </c>
      <c r="C15" s="53"/>
      <c r="D15" s="54"/>
      <c r="E15" s="55"/>
      <c r="F15" s="56"/>
      <c r="G15" s="57"/>
      <c r="H15" s="58"/>
      <c r="I15" s="59"/>
      <c r="J15" s="60"/>
      <c r="K15" s="258"/>
    </row>
    <row r="16" spans="1:11" ht="15" hidden="1" customHeight="1">
      <c r="A16" s="259" t="s">
        <v>15</v>
      </c>
      <c r="B16" s="61" t="s">
        <v>28</v>
      </c>
      <c r="C16" s="62" t="s">
        <v>29</v>
      </c>
      <c r="D16" s="63" t="s">
        <v>30</v>
      </c>
      <c r="E16" s="64"/>
      <c r="F16" s="65">
        <f>97.35+62.57+44.38</f>
        <v>204.29999999999998</v>
      </c>
      <c r="G16" s="32">
        <v>180</v>
      </c>
      <c r="H16" s="235">
        <f>F16*G16</f>
        <v>36774</v>
      </c>
      <c r="I16" s="33"/>
      <c r="J16" s="66"/>
      <c r="K16" s="260">
        <f>H16+J16</f>
        <v>36774</v>
      </c>
    </row>
    <row r="17" spans="1:12" s="45" customFormat="1" ht="15" hidden="1" customHeight="1">
      <c r="A17" s="259"/>
      <c r="B17" s="41" t="s">
        <v>31</v>
      </c>
      <c r="C17" s="62" t="s">
        <v>29</v>
      </c>
      <c r="D17" s="67" t="s">
        <v>25</v>
      </c>
      <c r="E17" s="64">
        <v>0.02</v>
      </c>
      <c r="F17" s="68">
        <f>E17*F16</f>
        <v>4.0859999999999994</v>
      </c>
      <c r="G17" s="32"/>
      <c r="H17" s="69"/>
      <c r="I17" s="33">
        <v>288.47499999999997</v>
      </c>
      <c r="J17" s="43">
        <f>F17*I17</f>
        <v>1178.7088499999998</v>
      </c>
      <c r="K17" s="261">
        <f>H17+J17</f>
        <v>1178.7088499999998</v>
      </c>
      <c r="L17" s="1"/>
    </row>
    <row r="18" spans="1:12" s="45" customFormat="1" ht="15" hidden="1" customHeight="1">
      <c r="A18" s="262">
        <f>A16+1</f>
        <v>2</v>
      </c>
      <c r="B18" s="61" t="s">
        <v>32</v>
      </c>
      <c r="C18" s="38" t="s">
        <v>20</v>
      </c>
      <c r="D18" s="63" t="s">
        <v>30</v>
      </c>
      <c r="E18" s="64"/>
      <c r="F18" s="65">
        <f>F16</f>
        <v>204.29999999999998</v>
      </c>
      <c r="G18" s="32">
        <v>200</v>
      </c>
      <c r="H18" s="235">
        <f>F18*G18</f>
        <v>40860</v>
      </c>
      <c r="I18" s="33"/>
      <c r="J18" s="66"/>
      <c r="K18" s="260">
        <f>H18+J18</f>
        <v>40860</v>
      </c>
      <c r="L18" s="1"/>
    </row>
    <row r="19" spans="1:12" s="44" customFormat="1" ht="25.5" hidden="1" customHeight="1">
      <c r="A19" s="259"/>
      <c r="B19" s="70" t="s">
        <v>172</v>
      </c>
      <c r="C19" s="38" t="s">
        <v>20</v>
      </c>
      <c r="D19" s="71" t="s">
        <v>21</v>
      </c>
      <c r="E19" s="64">
        <v>0.35</v>
      </c>
      <c r="F19" s="72">
        <f>F18*E19</f>
        <v>71.504999999999995</v>
      </c>
      <c r="G19" s="32"/>
      <c r="H19" s="236"/>
      <c r="I19" s="33">
        <v>122.50221999999999</v>
      </c>
      <c r="J19" s="73">
        <f>F19*I19</f>
        <v>8759.5212410999993</v>
      </c>
      <c r="K19" s="263">
        <f>H19+J19</f>
        <v>8759.5212410999993</v>
      </c>
      <c r="L19" s="1"/>
    </row>
    <row r="20" spans="1:12" s="44" customFormat="1" ht="15" hidden="1" customHeight="1">
      <c r="A20" s="259"/>
      <c r="B20" s="74" t="s">
        <v>34</v>
      </c>
      <c r="C20" s="38" t="s">
        <v>20</v>
      </c>
      <c r="D20" s="71" t="s">
        <v>21</v>
      </c>
      <c r="E20" s="64">
        <v>0.15</v>
      </c>
      <c r="F20" s="72">
        <f>F18*E20</f>
        <v>30.644999999999996</v>
      </c>
      <c r="G20" s="32"/>
      <c r="H20" s="236"/>
      <c r="I20" s="33">
        <v>37.450000000000003</v>
      </c>
      <c r="J20" s="73">
        <f>F20*I20</f>
        <v>1147.65525</v>
      </c>
      <c r="K20" s="263">
        <f>H20+J20</f>
        <v>1147.65525</v>
      </c>
      <c r="L20" s="1"/>
    </row>
    <row r="21" spans="1:12" s="45" customFormat="1" ht="15" hidden="1" customHeight="1">
      <c r="A21" s="257"/>
      <c r="B21" s="76"/>
      <c r="C21" s="77"/>
      <c r="D21" s="78"/>
      <c r="E21" s="79"/>
      <c r="F21" s="80"/>
      <c r="G21" s="32"/>
      <c r="H21" s="81"/>
      <c r="I21" s="33"/>
      <c r="J21" s="82"/>
      <c r="K21" s="264"/>
      <c r="L21" s="1"/>
    </row>
    <row r="22" spans="1:12" s="45" customFormat="1" ht="15" hidden="1" customHeight="1">
      <c r="A22" s="257"/>
      <c r="B22" s="53" t="s">
        <v>35</v>
      </c>
      <c r="C22" s="265"/>
      <c r="D22" s="266"/>
      <c r="E22" s="267"/>
      <c r="F22" s="266"/>
      <c r="G22" s="57"/>
      <c r="H22" s="266"/>
      <c r="I22" s="59"/>
      <c r="J22" s="268"/>
      <c r="K22" s="269"/>
      <c r="L22" s="1"/>
    </row>
    <row r="23" spans="1:12" s="45" customFormat="1" ht="15" hidden="1" customHeight="1">
      <c r="A23" s="270">
        <f>A18+1</f>
        <v>3</v>
      </c>
      <c r="B23" s="83" t="s">
        <v>36</v>
      </c>
      <c r="C23" s="19" t="s">
        <v>20</v>
      </c>
      <c r="D23" s="19" t="s">
        <v>30</v>
      </c>
      <c r="E23" s="69"/>
      <c r="F23" s="84">
        <v>199.95</v>
      </c>
      <c r="G23" s="32">
        <v>50</v>
      </c>
      <c r="H23" s="237">
        <f>F23*G23</f>
        <v>9997.5</v>
      </c>
      <c r="I23" s="33"/>
      <c r="J23" s="43"/>
      <c r="K23" s="271">
        <f t="shared" ref="K23:K30" si="0">H23+J23</f>
        <v>9997.5</v>
      </c>
      <c r="L23" s="1"/>
    </row>
    <row r="24" spans="1:12" s="44" customFormat="1" ht="15" hidden="1" customHeight="1">
      <c r="A24" s="272"/>
      <c r="B24" s="85" t="s">
        <v>37</v>
      </c>
      <c r="C24" s="19" t="s">
        <v>20</v>
      </c>
      <c r="D24" s="41" t="s">
        <v>19</v>
      </c>
      <c r="E24" s="21">
        <v>0.15</v>
      </c>
      <c r="F24" s="68">
        <f>E24*F23</f>
        <v>29.992499999999996</v>
      </c>
      <c r="G24" s="32"/>
      <c r="H24" s="238"/>
      <c r="I24" s="33">
        <v>37.81</v>
      </c>
      <c r="J24" s="43">
        <f>F24*I24</f>
        <v>1134.016425</v>
      </c>
      <c r="K24" s="273">
        <f t="shared" si="0"/>
        <v>1134.016425</v>
      </c>
      <c r="L24" s="1"/>
    </row>
    <row r="25" spans="1:12" s="45" customFormat="1" ht="15" hidden="1" customHeight="1">
      <c r="A25" s="274">
        <f>A23+1</f>
        <v>4</v>
      </c>
      <c r="B25" s="86" t="s">
        <v>38</v>
      </c>
      <c r="C25" s="69" t="s">
        <v>190</v>
      </c>
      <c r="D25" s="19" t="s">
        <v>30</v>
      </c>
      <c r="E25" s="69"/>
      <c r="F25" s="69">
        <f>F23</f>
        <v>199.95</v>
      </c>
      <c r="G25" s="32">
        <v>200</v>
      </c>
      <c r="H25" s="237">
        <f>F25*G25</f>
        <v>39990</v>
      </c>
      <c r="I25" s="33"/>
      <c r="J25" s="43"/>
      <c r="K25" s="271">
        <f t="shared" si="0"/>
        <v>39990</v>
      </c>
      <c r="L25" s="137"/>
    </row>
    <row r="26" spans="1:12" s="44" customFormat="1" ht="15" hidden="1" customHeight="1">
      <c r="A26" s="275"/>
      <c r="B26" s="87" t="s">
        <v>39</v>
      </c>
      <c r="C26" s="69" t="s">
        <v>190</v>
      </c>
      <c r="D26" s="41" t="s">
        <v>19</v>
      </c>
      <c r="E26" s="21">
        <v>5</v>
      </c>
      <c r="F26" s="34">
        <f>E26*F25</f>
        <v>999.75</v>
      </c>
      <c r="G26" s="32"/>
      <c r="H26" s="239"/>
      <c r="I26" s="33">
        <v>12.67</v>
      </c>
      <c r="J26" s="43">
        <f>F26*I26</f>
        <v>12666.8325</v>
      </c>
      <c r="K26" s="273">
        <f t="shared" si="0"/>
        <v>12666.8325</v>
      </c>
      <c r="L26" s="1"/>
    </row>
    <row r="27" spans="1:12" s="45" customFormat="1" ht="15" hidden="1" customHeight="1">
      <c r="A27" s="275"/>
      <c r="B27" s="88" t="s">
        <v>40</v>
      </c>
      <c r="C27" s="69" t="s">
        <v>190</v>
      </c>
      <c r="D27" s="88" t="s">
        <v>41</v>
      </c>
      <c r="E27" s="89">
        <v>1.05</v>
      </c>
      <c r="F27" s="34">
        <f>E27*F25</f>
        <v>209.94749999999999</v>
      </c>
      <c r="G27" s="32"/>
      <c r="H27" s="240"/>
      <c r="I27" s="33">
        <v>629.42999999999995</v>
      </c>
      <c r="J27" s="90">
        <f>F27*I27</f>
        <v>132147.25492499999</v>
      </c>
      <c r="K27" s="261">
        <f t="shared" si="0"/>
        <v>132147.25492499999</v>
      </c>
      <c r="L27" s="1"/>
    </row>
    <row r="28" spans="1:12" s="45" customFormat="1" ht="15" hidden="1" customHeight="1">
      <c r="A28" s="274">
        <f>A25+1</f>
        <v>5</v>
      </c>
      <c r="B28" s="61" t="s">
        <v>32</v>
      </c>
      <c r="C28" s="38" t="s">
        <v>20</v>
      </c>
      <c r="D28" s="38" t="s">
        <v>30</v>
      </c>
      <c r="E28" s="64"/>
      <c r="F28" s="97">
        <f>F23</f>
        <v>199.95</v>
      </c>
      <c r="G28" s="241">
        <v>200</v>
      </c>
      <c r="H28" s="235">
        <f>F28*G28</f>
        <v>39990</v>
      </c>
      <c r="I28" s="33"/>
      <c r="J28" s="66"/>
      <c r="K28" s="260">
        <f t="shared" si="0"/>
        <v>39990</v>
      </c>
      <c r="L28" s="1"/>
    </row>
    <row r="29" spans="1:12" s="44" customFormat="1" ht="15" hidden="1" customHeight="1">
      <c r="A29" s="275"/>
      <c r="B29" s="74" t="s">
        <v>173</v>
      </c>
      <c r="C29" s="19" t="s">
        <v>20</v>
      </c>
      <c r="D29" s="70" t="s">
        <v>21</v>
      </c>
      <c r="E29" s="64">
        <v>0.35</v>
      </c>
      <c r="F29" s="68">
        <f>E29*F28</f>
        <v>69.982499999999987</v>
      </c>
      <c r="G29" s="32"/>
      <c r="H29" s="236"/>
      <c r="I29" s="33">
        <v>122.50221999999999</v>
      </c>
      <c r="J29" s="73">
        <f>F29*I29</f>
        <v>8573.0116111499974</v>
      </c>
      <c r="K29" s="263">
        <f t="shared" si="0"/>
        <v>8573.0116111499974</v>
      </c>
      <c r="L29" s="1"/>
    </row>
    <row r="30" spans="1:12" s="44" customFormat="1" ht="15" hidden="1" customHeight="1">
      <c r="A30" s="276"/>
      <c r="B30" s="98" t="s">
        <v>37</v>
      </c>
      <c r="C30" s="19" t="s">
        <v>20</v>
      </c>
      <c r="D30" s="41" t="s">
        <v>19</v>
      </c>
      <c r="E30" s="21">
        <v>0.15</v>
      </c>
      <c r="F30" s="68">
        <f>E30*F28</f>
        <v>29.992499999999996</v>
      </c>
      <c r="G30" s="32"/>
      <c r="H30" s="238"/>
      <c r="I30" s="33">
        <v>37.81</v>
      </c>
      <c r="J30" s="43">
        <f>F30*I30</f>
        <v>1134.016425</v>
      </c>
      <c r="K30" s="273">
        <f t="shared" si="0"/>
        <v>1134.016425</v>
      </c>
      <c r="L30" s="1"/>
    </row>
    <row r="31" spans="1:12" s="45" customFormat="1" ht="15" hidden="1" customHeight="1">
      <c r="A31" s="276"/>
      <c r="B31" s="98"/>
      <c r="C31" s="20"/>
      <c r="D31" s="41"/>
      <c r="E31" s="21"/>
      <c r="F31" s="68"/>
      <c r="G31" s="32"/>
      <c r="H31" s="43"/>
      <c r="I31" s="33"/>
      <c r="J31" s="43"/>
      <c r="K31" s="273"/>
      <c r="L31" s="1"/>
    </row>
    <row r="32" spans="1:12" s="45" customFormat="1" ht="15" hidden="1" customHeight="1">
      <c r="A32" s="257"/>
      <c r="B32" s="53" t="s">
        <v>49</v>
      </c>
      <c r="C32" s="265"/>
      <c r="D32" s="266"/>
      <c r="E32" s="267"/>
      <c r="F32" s="266"/>
      <c r="G32" s="57"/>
      <c r="H32" s="266"/>
      <c r="I32" s="59"/>
      <c r="J32" s="268"/>
      <c r="K32" s="269"/>
      <c r="L32" s="1"/>
    </row>
    <row r="33" spans="1:12" s="45" customFormat="1" ht="15" hidden="1" customHeight="1">
      <c r="A33" s="277">
        <f>A28+1</f>
        <v>6</v>
      </c>
      <c r="B33" s="83" t="s">
        <v>50</v>
      </c>
      <c r="C33" s="19" t="s">
        <v>20</v>
      </c>
      <c r="D33" s="19" t="s">
        <v>30</v>
      </c>
      <c r="E33" s="69"/>
      <c r="F33" s="84">
        <f>62.11+77.37+15.47</f>
        <v>154.95000000000002</v>
      </c>
      <c r="G33" s="32">
        <v>50</v>
      </c>
      <c r="H33" s="237">
        <f>F33*G33</f>
        <v>7747.5000000000009</v>
      </c>
      <c r="I33" s="33"/>
      <c r="J33" s="43"/>
      <c r="K33" s="271">
        <f t="shared" ref="K33:K44" si="1">H33+J33</f>
        <v>7747.5000000000009</v>
      </c>
      <c r="L33" s="1"/>
    </row>
    <row r="34" spans="1:12" s="44" customFormat="1" ht="15" hidden="1" customHeight="1">
      <c r="A34" s="259"/>
      <c r="B34" s="85" t="s">
        <v>37</v>
      </c>
      <c r="C34" s="19" t="s">
        <v>20</v>
      </c>
      <c r="D34" s="41" t="s">
        <v>19</v>
      </c>
      <c r="E34" s="21">
        <v>0.15</v>
      </c>
      <c r="F34" s="68">
        <f>E34*F33</f>
        <v>23.242500000000003</v>
      </c>
      <c r="G34" s="32"/>
      <c r="H34" s="238"/>
      <c r="I34" s="33">
        <v>37.81</v>
      </c>
      <c r="J34" s="43">
        <f>F34*I34</f>
        <v>878.79892500000017</v>
      </c>
      <c r="K34" s="273">
        <f t="shared" si="1"/>
        <v>878.79892500000017</v>
      </c>
      <c r="L34" s="1"/>
    </row>
    <row r="35" spans="1:12" s="45" customFormat="1" ht="15" hidden="1" customHeight="1">
      <c r="A35" s="277">
        <f>A33+1</f>
        <v>7</v>
      </c>
      <c r="B35" s="243" t="s">
        <v>42</v>
      </c>
      <c r="C35" s="19" t="s">
        <v>17</v>
      </c>
      <c r="D35" s="18" t="s">
        <v>30</v>
      </c>
      <c r="E35" s="64"/>
      <c r="F35" s="92">
        <f>F33</f>
        <v>154.95000000000002</v>
      </c>
      <c r="G35" s="32">
        <v>280</v>
      </c>
      <c r="H35" s="237">
        <f>F35*G35</f>
        <v>43386.000000000007</v>
      </c>
      <c r="I35" s="33"/>
      <c r="J35" s="93"/>
      <c r="K35" s="271">
        <f t="shared" si="1"/>
        <v>43386.000000000007</v>
      </c>
      <c r="L35" s="35"/>
    </row>
    <row r="36" spans="1:12" s="44" customFormat="1" ht="15" hidden="1" customHeight="1">
      <c r="A36" s="257"/>
      <c r="B36" s="94" t="s">
        <v>43</v>
      </c>
      <c r="C36" s="19" t="s">
        <v>17</v>
      </c>
      <c r="D36" s="67" t="s">
        <v>19</v>
      </c>
      <c r="E36" s="64">
        <v>13</v>
      </c>
      <c r="F36" s="68">
        <f>E36*F35</f>
        <v>2014.3500000000001</v>
      </c>
      <c r="G36" s="32"/>
      <c r="H36" s="238"/>
      <c r="I36" s="33">
        <v>6.67</v>
      </c>
      <c r="J36" s="43">
        <f>F36*I36</f>
        <v>13435.7145</v>
      </c>
      <c r="K36" s="261">
        <f t="shared" si="1"/>
        <v>13435.7145</v>
      </c>
      <c r="L36" s="1"/>
    </row>
    <row r="37" spans="1:12" s="45" customFormat="1" ht="15" hidden="1" customHeight="1">
      <c r="A37" s="262">
        <f>A35+1</f>
        <v>8</v>
      </c>
      <c r="B37" s="83" t="s">
        <v>44</v>
      </c>
      <c r="C37" s="19" t="s">
        <v>20</v>
      </c>
      <c r="D37" s="18" t="s">
        <v>30</v>
      </c>
      <c r="E37" s="64"/>
      <c r="F37" s="92">
        <f>F35</f>
        <v>154.95000000000002</v>
      </c>
      <c r="G37" s="32">
        <v>50</v>
      </c>
      <c r="H37" s="237">
        <f>F37*G37</f>
        <v>7747.5000000000009</v>
      </c>
      <c r="I37" s="33"/>
      <c r="J37" s="93"/>
      <c r="K37" s="271">
        <f t="shared" si="1"/>
        <v>7747.5000000000009</v>
      </c>
      <c r="L37" s="1"/>
    </row>
    <row r="38" spans="1:12" s="44" customFormat="1" ht="15" hidden="1" customHeight="1">
      <c r="A38" s="257"/>
      <c r="B38" s="85" t="s">
        <v>45</v>
      </c>
      <c r="C38" s="19" t="s">
        <v>20</v>
      </c>
      <c r="D38" s="67" t="s">
        <v>19</v>
      </c>
      <c r="E38" s="64">
        <v>0.15</v>
      </c>
      <c r="F38" s="68">
        <f>E38*F37</f>
        <v>23.242500000000003</v>
      </c>
      <c r="G38" s="32"/>
      <c r="H38" s="238"/>
      <c r="I38" s="33">
        <v>28.087</v>
      </c>
      <c r="J38" s="43">
        <f>F38*I38</f>
        <v>652.81209750000005</v>
      </c>
      <c r="K38" s="261">
        <f t="shared" si="1"/>
        <v>652.81209750000005</v>
      </c>
      <c r="L38" s="1"/>
    </row>
    <row r="39" spans="1:12" s="45" customFormat="1" ht="15" hidden="1" customHeight="1">
      <c r="A39" s="262">
        <f>A37+1</f>
        <v>9</v>
      </c>
      <c r="B39" s="95" t="s">
        <v>187</v>
      </c>
      <c r="C39" s="19" t="s">
        <v>20</v>
      </c>
      <c r="D39" s="18" t="s">
        <v>30</v>
      </c>
      <c r="E39" s="64"/>
      <c r="F39" s="92">
        <f>F33</f>
        <v>154.95000000000002</v>
      </c>
      <c r="G39" s="32">
        <v>250</v>
      </c>
      <c r="H39" s="237">
        <f>F39*G39</f>
        <v>38737.500000000007</v>
      </c>
      <c r="I39" s="33"/>
      <c r="J39" s="43"/>
      <c r="K39" s="271">
        <f t="shared" si="1"/>
        <v>38737.500000000007</v>
      </c>
      <c r="L39" s="1"/>
    </row>
    <row r="40" spans="1:12" s="44" customFormat="1" ht="15" hidden="1" customHeight="1">
      <c r="A40" s="257"/>
      <c r="B40" s="96" t="s">
        <v>46</v>
      </c>
      <c r="C40" s="19" t="s">
        <v>20</v>
      </c>
      <c r="D40" s="67" t="s">
        <v>19</v>
      </c>
      <c r="E40" s="64">
        <v>4</v>
      </c>
      <c r="F40" s="34">
        <f>E40*F39</f>
        <v>619.80000000000007</v>
      </c>
      <c r="G40" s="32"/>
      <c r="H40" s="242"/>
      <c r="I40" s="33">
        <v>4.9960000000000004</v>
      </c>
      <c r="J40" s="43">
        <f>F40*I40</f>
        <v>3096.5208000000007</v>
      </c>
      <c r="K40" s="273">
        <f t="shared" si="1"/>
        <v>3096.5208000000007</v>
      </c>
      <c r="L40" s="1"/>
    </row>
    <row r="41" spans="1:12" s="45" customFormat="1" ht="15" hidden="1" customHeight="1">
      <c r="A41" s="257"/>
      <c r="B41" s="85" t="s">
        <v>47</v>
      </c>
      <c r="C41" s="19" t="s">
        <v>20</v>
      </c>
      <c r="D41" s="67" t="s">
        <v>19</v>
      </c>
      <c r="E41" s="64">
        <v>1.8</v>
      </c>
      <c r="F41" s="34">
        <f>E41*F39</f>
        <v>278.91000000000003</v>
      </c>
      <c r="G41" s="32"/>
      <c r="H41" s="42"/>
      <c r="I41" s="33">
        <v>56.645999999999994</v>
      </c>
      <c r="J41" s="43">
        <f>F41*I41</f>
        <v>15799.13586</v>
      </c>
      <c r="K41" s="273">
        <f t="shared" si="1"/>
        <v>15799.13586</v>
      </c>
      <c r="L41" s="1"/>
    </row>
    <row r="42" spans="1:12" s="45" customFormat="1" ht="15" hidden="1" customHeight="1">
      <c r="A42" s="262">
        <f>A39+1</f>
        <v>10</v>
      </c>
      <c r="B42" s="61" t="s">
        <v>32</v>
      </c>
      <c r="C42" s="19" t="s">
        <v>20</v>
      </c>
      <c r="D42" s="38" t="s">
        <v>30</v>
      </c>
      <c r="E42" s="64"/>
      <c r="F42" s="97">
        <f>F33</f>
        <v>154.95000000000002</v>
      </c>
      <c r="G42" s="241">
        <v>200</v>
      </c>
      <c r="H42" s="235">
        <f>F42*G42</f>
        <v>30990.000000000004</v>
      </c>
      <c r="I42" s="33"/>
      <c r="J42" s="66"/>
      <c r="K42" s="260">
        <f t="shared" si="1"/>
        <v>30990.000000000004</v>
      </c>
      <c r="L42" s="1"/>
    </row>
    <row r="43" spans="1:12" s="44" customFormat="1" ht="15" hidden="1" customHeight="1">
      <c r="A43" s="257"/>
      <c r="B43" s="74" t="s">
        <v>173</v>
      </c>
      <c r="C43" s="19" t="s">
        <v>20</v>
      </c>
      <c r="D43" s="70" t="s">
        <v>21</v>
      </c>
      <c r="E43" s="64">
        <v>0.35</v>
      </c>
      <c r="F43" s="68">
        <f>E43*F42</f>
        <v>54.232500000000002</v>
      </c>
      <c r="G43" s="32"/>
      <c r="H43" s="236"/>
      <c r="I43" s="33">
        <v>122.50221999999999</v>
      </c>
      <c r="J43" s="73">
        <f>F43*I43</f>
        <v>6643.6016461500003</v>
      </c>
      <c r="K43" s="263">
        <f t="shared" si="1"/>
        <v>6643.6016461500003</v>
      </c>
      <c r="L43" s="1"/>
    </row>
    <row r="44" spans="1:12" s="44" customFormat="1" ht="15" hidden="1" customHeight="1">
      <c r="A44" s="278"/>
      <c r="B44" s="98" t="s">
        <v>37</v>
      </c>
      <c r="C44" s="19" t="s">
        <v>20</v>
      </c>
      <c r="D44" s="41" t="s">
        <v>19</v>
      </c>
      <c r="E44" s="21">
        <v>0.15</v>
      </c>
      <c r="F44" s="68">
        <f>E44*F42</f>
        <v>23.242500000000003</v>
      </c>
      <c r="G44" s="32"/>
      <c r="H44" s="238"/>
      <c r="I44" s="33">
        <v>37.81</v>
      </c>
      <c r="J44" s="43">
        <f>F44*I44</f>
        <v>878.79892500000017</v>
      </c>
      <c r="K44" s="273">
        <f t="shared" si="1"/>
        <v>878.79892500000017</v>
      </c>
      <c r="L44" s="1"/>
    </row>
    <row r="45" spans="1:12" s="45" customFormat="1" ht="15" hidden="1" customHeight="1">
      <c r="A45" s="279"/>
      <c r="B45" s="99"/>
      <c r="C45" s="100"/>
      <c r="D45" s="70"/>
      <c r="E45" s="21"/>
      <c r="F45" s="101"/>
      <c r="G45" s="32"/>
      <c r="H45" s="73"/>
      <c r="I45" s="33"/>
      <c r="J45" s="73"/>
      <c r="K45" s="263"/>
      <c r="L45" s="1"/>
    </row>
    <row r="46" spans="1:12" s="45" customFormat="1" ht="15" hidden="1" customHeight="1">
      <c r="A46" s="23"/>
      <c r="B46" s="24" t="s">
        <v>22</v>
      </c>
      <c r="C46" s="25"/>
      <c r="D46" s="26"/>
      <c r="E46" s="27"/>
      <c r="F46" s="28"/>
      <c r="G46" s="29"/>
      <c r="H46" s="29" t="str">
        <f>IF(ISBLANK(G46),"",G46*F46)</f>
        <v/>
      </c>
      <c r="I46" s="36"/>
      <c r="J46" s="30" t="str">
        <f>IF(ISBLANK(I46),"",I46*F46)</f>
        <v/>
      </c>
      <c r="K46" s="31"/>
      <c r="L46" s="1"/>
    </row>
    <row r="47" spans="1:12" s="45" customFormat="1" ht="15" hidden="1" customHeight="1">
      <c r="A47" s="257"/>
      <c r="B47" s="53" t="s">
        <v>51</v>
      </c>
      <c r="C47" s="265"/>
      <c r="D47" s="266"/>
      <c r="E47" s="267"/>
      <c r="F47" s="266"/>
      <c r="G47" s="57"/>
      <c r="H47" s="266"/>
      <c r="I47" s="59"/>
      <c r="J47" s="268"/>
      <c r="K47" s="269"/>
      <c r="L47" s="1"/>
    </row>
    <row r="48" spans="1:12" s="45" customFormat="1" ht="15" hidden="1" customHeight="1">
      <c r="A48" s="262">
        <f>A42+1</f>
        <v>11</v>
      </c>
      <c r="B48" s="61" t="s">
        <v>52</v>
      </c>
      <c r="C48" s="38" t="s">
        <v>20</v>
      </c>
      <c r="D48" s="38" t="s">
        <v>30</v>
      </c>
      <c r="E48" s="102"/>
      <c r="F48" s="97">
        <f>26.98+41</f>
        <v>67.98</v>
      </c>
      <c r="G48" s="32">
        <v>250</v>
      </c>
      <c r="H48" s="235">
        <f>F48*G48</f>
        <v>16995</v>
      </c>
      <c r="I48" s="33"/>
      <c r="J48" s="66"/>
      <c r="K48" s="260">
        <f t="shared" ref="K48:K56" si="2">H48+J48</f>
        <v>16995</v>
      </c>
      <c r="L48" s="1"/>
    </row>
    <row r="49" spans="1:12" s="44" customFormat="1" ht="15" hidden="1" customHeight="1">
      <c r="A49" s="279"/>
      <c r="B49" s="74" t="s">
        <v>53</v>
      </c>
      <c r="C49" s="38" t="s">
        <v>20</v>
      </c>
      <c r="D49" s="70" t="s">
        <v>19</v>
      </c>
      <c r="E49" s="102">
        <v>1.8</v>
      </c>
      <c r="F49" s="68">
        <f>E49*F48</f>
        <v>122.364</v>
      </c>
      <c r="G49" s="32"/>
      <c r="H49" s="236"/>
      <c r="I49" s="33">
        <v>8.7200000000000006</v>
      </c>
      <c r="J49" s="73">
        <f>F49*I49</f>
        <v>1067.0140800000001</v>
      </c>
      <c r="K49" s="263">
        <f t="shared" si="2"/>
        <v>1067.0140800000001</v>
      </c>
      <c r="L49" s="1"/>
    </row>
    <row r="50" spans="1:12" s="44" customFormat="1" ht="15" hidden="1" customHeight="1">
      <c r="A50" s="279"/>
      <c r="B50" s="74" t="s">
        <v>54</v>
      </c>
      <c r="C50" s="38" t="s">
        <v>20</v>
      </c>
      <c r="D50" s="70" t="s">
        <v>19</v>
      </c>
      <c r="E50" s="102">
        <v>1.8</v>
      </c>
      <c r="F50" s="68">
        <f>E50*F48</f>
        <v>122.364</v>
      </c>
      <c r="G50" s="32"/>
      <c r="H50" s="236"/>
      <c r="I50" s="33">
        <v>18.690000000000001</v>
      </c>
      <c r="J50" s="73">
        <f>F50*I50</f>
        <v>2286.9831600000002</v>
      </c>
      <c r="K50" s="263">
        <f t="shared" si="2"/>
        <v>2286.9831600000002</v>
      </c>
      <c r="L50" s="1"/>
    </row>
    <row r="51" spans="1:12" s="44" customFormat="1" ht="15" hidden="1" customHeight="1">
      <c r="A51" s="279"/>
      <c r="B51" s="74" t="s">
        <v>34</v>
      </c>
      <c r="C51" s="38" t="s">
        <v>20</v>
      </c>
      <c r="D51" s="70" t="s">
        <v>21</v>
      </c>
      <c r="E51" s="102">
        <v>0.15</v>
      </c>
      <c r="F51" s="68">
        <f>E51*F48</f>
        <v>10.197000000000001</v>
      </c>
      <c r="G51" s="32"/>
      <c r="H51" s="236"/>
      <c r="I51" s="33">
        <v>37.450000000000003</v>
      </c>
      <c r="J51" s="73">
        <f>F51*I51</f>
        <v>381.87765000000007</v>
      </c>
      <c r="K51" s="263">
        <f t="shared" si="2"/>
        <v>381.87765000000007</v>
      </c>
      <c r="L51" s="1"/>
    </row>
    <row r="52" spans="1:12" s="44" customFormat="1" ht="15" hidden="1" customHeight="1">
      <c r="A52" s="279"/>
      <c r="B52" s="74" t="s">
        <v>55</v>
      </c>
      <c r="C52" s="38" t="s">
        <v>20</v>
      </c>
      <c r="D52" s="70" t="s">
        <v>56</v>
      </c>
      <c r="E52" s="102">
        <v>0.1</v>
      </c>
      <c r="F52" s="68">
        <f>E52*F48</f>
        <v>6.7980000000000009</v>
      </c>
      <c r="G52" s="32"/>
      <c r="H52" s="236"/>
      <c r="I52" s="33">
        <v>19.260000000000002</v>
      </c>
      <c r="J52" s="73">
        <f>F52*I52</f>
        <v>130.92948000000004</v>
      </c>
      <c r="K52" s="263">
        <f t="shared" si="2"/>
        <v>130.92948000000004</v>
      </c>
      <c r="L52" s="1"/>
    </row>
    <row r="53" spans="1:12" s="44" customFormat="1" ht="15" hidden="1" customHeight="1">
      <c r="A53" s="279"/>
      <c r="B53" s="74" t="s">
        <v>57</v>
      </c>
      <c r="C53" s="38" t="s">
        <v>20</v>
      </c>
      <c r="D53" s="70" t="s">
        <v>58</v>
      </c>
      <c r="E53" s="102">
        <v>1.1000000000000001</v>
      </c>
      <c r="F53" s="68">
        <f>E53*F48</f>
        <v>74.778000000000006</v>
      </c>
      <c r="G53" s="32"/>
      <c r="H53" s="236"/>
      <c r="I53" s="33">
        <v>3.1240000000000001</v>
      </c>
      <c r="J53" s="73">
        <f>F53*I53</f>
        <v>233.60647200000002</v>
      </c>
      <c r="K53" s="263">
        <f t="shared" si="2"/>
        <v>233.60647200000002</v>
      </c>
      <c r="L53" s="1"/>
    </row>
    <row r="54" spans="1:12" s="45" customFormat="1" ht="15" hidden="1" customHeight="1">
      <c r="A54" s="280">
        <f>A48+1</f>
        <v>12</v>
      </c>
      <c r="B54" s="61" t="s">
        <v>59</v>
      </c>
      <c r="C54" s="38" t="s">
        <v>20</v>
      </c>
      <c r="D54" s="38" t="s">
        <v>30</v>
      </c>
      <c r="E54" s="102"/>
      <c r="F54" s="97">
        <f>F48</f>
        <v>67.98</v>
      </c>
      <c r="G54" s="241">
        <v>200</v>
      </c>
      <c r="H54" s="235">
        <f>F54*G54</f>
        <v>13596</v>
      </c>
      <c r="I54" s="33"/>
      <c r="J54" s="66"/>
      <c r="K54" s="260">
        <f t="shared" si="2"/>
        <v>13596</v>
      </c>
      <c r="L54" s="1"/>
    </row>
    <row r="55" spans="1:12" s="44" customFormat="1" ht="25.5" hidden="1" customHeight="1">
      <c r="A55" s="279"/>
      <c r="B55" s="103" t="s">
        <v>60</v>
      </c>
      <c r="C55" s="38" t="s">
        <v>20</v>
      </c>
      <c r="D55" s="70" t="s">
        <v>21</v>
      </c>
      <c r="E55" s="104">
        <v>0.35</v>
      </c>
      <c r="F55" s="68">
        <f>E55*F54</f>
        <v>23.792999999999999</v>
      </c>
      <c r="G55" s="32"/>
      <c r="H55" s="236"/>
      <c r="I55" s="33">
        <v>122.50221999999999</v>
      </c>
      <c r="J55" s="73">
        <f>F55*I55</f>
        <v>2914.6953204599999</v>
      </c>
      <c r="K55" s="263">
        <f t="shared" si="2"/>
        <v>2914.6953204599999</v>
      </c>
      <c r="L55" s="1"/>
    </row>
    <row r="56" spans="1:12" s="44" customFormat="1" ht="15" hidden="1" customHeight="1">
      <c r="A56" s="279"/>
      <c r="B56" s="105" t="s">
        <v>34</v>
      </c>
      <c r="C56" s="38" t="s">
        <v>20</v>
      </c>
      <c r="D56" s="70" t="s">
        <v>21</v>
      </c>
      <c r="E56" s="102">
        <v>0.15</v>
      </c>
      <c r="F56" s="68">
        <f>E56*F54</f>
        <v>10.197000000000001</v>
      </c>
      <c r="G56" s="32"/>
      <c r="H56" s="236"/>
      <c r="I56" s="33">
        <v>37.450000000000003</v>
      </c>
      <c r="J56" s="73">
        <f>F56*I56</f>
        <v>381.87765000000007</v>
      </c>
      <c r="K56" s="263">
        <f t="shared" si="2"/>
        <v>381.87765000000007</v>
      </c>
      <c r="L56" s="1"/>
    </row>
    <row r="57" spans="1:12" s="45" customFormat="1" ht="15" hidden="1" customHeight="1">
      <c r="A57" s="281"/>
      <c r="B57" s="76"/>
      <c r="C57" s="77"/>
      <c r="D57" s="76"/>
      <c r="E57" s="106"/>
      <c r="F57" s="107"/>
      <c r="G57" s="32"/>
      <c r="H57" s="81"/>
      <c r="I57" s="33"/>
      <c r="J57" s="82"/>
      <c r="K57" s="264"/>
      <c r="L57" s="1"/>
    </row>
    <row r="58" spans="1:12" s="45" customFormat="1" ht="15" hidden="1" customHeight="1">
      <c r="A58" s="257"/>
      <c r="B58" s="53" t="s">
        <v>61</v>
      </c>
      <c r="C58" s="53"/>
      <c r="D58" s="54"/>
      <c r="E58" s="55"/>
      <c r="F58" s="56"/>
      <c r="G58" s="57"/>
      <c r="H58" s="58"/>
      <c r="I58" s="59"/>
      <c r="J58" s="60"/>
      <c r="K58" s="258"/>
      <c r="L58" s="1"/>
    </row>
    <row r="59" spans="1:12" s="45" customFormat="1" ht="15" hidden="1" customHeight="1">
      <c r="A59" s="277">
        <f>A54+1</f>
        <v>13</v>
      </c>
      <c r="B59" s="61" t="s">
        <v>188</v>
      </c>
      <c r="C59" s="62" t="s">
        <v>29</v>
      </c>
      <c r="D59" s="63" t="s">
        <v>30</v>
      </c>
      <c r="E59" s="64"/>
      <c r="F59" s="65">
        <f>534.41+196.7</f>
        <v>731.1099999999999</v>
      </c>
      <c r="G59" s="32">
        <v>180</v>
      </c>
      <c r="H59" s="235">
        <f>F59*G59</f>
        <v>131599.79999999999</v>
      </c>
      <c r="I59" s="33"/>
      <c r="J59" s="66"/>
      <c r="K59" s="260">
        <f>H59+J59</f>
        <v>131599.79999999999</v>
      </c>
      <c r="L59" s="1"/>
    </row>
    <row r="60" spans="1:12" s="45" customFormat="1" ht="15" hidden="1" customHeight="1">
      <c r="A60" s="259"/>
      <c r="B60" s="41" t="s">
        <v>31</v>
      </c>
      <c r="C60" s="62" t="s">
        <v>29</v>
      </c>
      <c r="D60" s="67" t="s">
        <v>25</v>
      </c>
      <c r="E60" s="64">
        <v>0.02</v>
      </c>
      <c r="F60" s="68">
        <f>E60*F59</f>
        <v>14.622199999999998</v>
      </c>
      <c r="G60" s="32"/>
      <c r="H60" s="69"/>
      <c r="I60" s="33">
        <v>288.47499999999997</v>
      </c>
      <c r="J60" s="43">
        <f>F60*I60</f>
        <v>4218.1391449999992</v>
      </c>
      <c r="K60" s="261">
        <f>H60+J60</f>
        <v>4218.1391449999992</v>
      </c>
      <c r="L60" s="1"/>
    </row>
    <row r="61" spans="1:12" s="45" customFormat="1" ht="15" hidden="1" customHeight="1">
      <c r="A61" s="262">
        <f>A59+1</f>
        <v>14</v>
      </c>
      <c r="B61" s="61" t="s">
        <v>59</v>
      </c>
      <c r="C61" s="38" t="s">
        <v>20</v>
      </c>
      <c r="D61" s="63" t="s">
        <v>30</v>
      </c>
      <c r="E61" s="64"/>
      <c r="F61" s="65">
        <f>F59</f>
        <v>731.1099999999999</v>
      </c>
      <c r="G61" s="32">
        <v>200</v>
      </c>
      <c r="H61" s="235">
        <f>F61*G61</f>
        <v>146221.99999999997</v>
      </c>
      <c r="I61" s="33"/>
      <c r="J61" s="66"/>
      <c r="K61" s="260">
        <f>H61+J61</f>
        <v>146221.99999999997</v>
      </c>
      <c r="L61" s="1"/>
    </row>
    <row r="62" spans="1:12" s="44" customFormat="1" ht="25.5" hidden="1" customHeight="1">
      <c r="A62" s="259"/>
      <c r="B62" s="70" t="s">
        <v>33</v>
      </c>
      <c r="C62" s="38" t="s">
        <v>20</v>
      </c>
      <c r="D62" s="71" t="s">
        <v>21</v>
      </c>
      <c r="E62" s="64">
        <v>0.35</v>
      </c>
      <c r="F62" s="72">
        <f>F61*E62</f>
        <v>255.88849999999994</v>
      </c>
      <c r="G62" s="32"/>
      <c r="H62" s="236"/>
      <c r="I62" s="33">
        <v>122.50221999999999</v>
      </c>
      <c r="J62" s="73">
        <f>F62*I62</f>
        <v>31346.90932246999</v>
      </c>
      <c r="K62" s="263">
        <f>H62+J62</f>
        <v>31346.90932246999</v>
      </c>
      <c r="L62" s="1"/>
    </row>
    <row r="63" spans="1:12" s="44" customFormat="1" ht="15" hidden="1" customHeight="1">
      <c r="A63" s="259"/>
      <c r="B63" s="74" t="s">
        <v>34</v>
      </c>
      <c r="C63" s="38" t="s">
        <v>20</v>
      </c>
      <c r="D63" s="71" t="s">
        <v>21</v>
      </c>
      <c r="E63" s="64">
        <v>0.15</v>
      </c>
      <c r="F63" s="72">
        <f>F61*E63</f>
        <v>109.66649999999998</v>
      </c>
      <c r="G63" s="32"/>
      <c r="H63" s="236"/>
      <c r="I63" s="33">
        <v>37.450000000000003</v>
      </c>
      <c r="J63" s="73">
        <f>F63*I63</f>
        <v>4107.0104249999995</v>
      </c>
      <c r="K63" s="263">
        <f>H63+J63</f>
        <v>4107.0104249999995</v>
      </c>
      <c r="L63" s="1"/>
    </row>
    <row r="64" spans="1:12" s="45" customFormat="1" ht="15" hidden="1" customHeight="1">
      <c r="A64" s="257"/>
      <c r="B64" s="76"/>
      <c r="C64" s="77"/>
      <c r="D64" s="78"/>
      <c r="E64" s="79"/>
      <c r="F64" s="80"/>
      <c r="G64" s="32"/>
      <c r="H64" s="81"/>
      <c r="I64" s="33"/>
      <c r="J64" s="82"/>
      <c r="K64" s="264"/>
      <c r="L64" s="1"/>
    </row>
    <row r="65" spans="1:12" s="45" customFormat="1" ht="15" hidden="1" customHeight="1">
      <c r="A65" s="282"/>
      <c r="B65" s="53" t="s">
        <v>62</v>
      </c>
      <c r="C65" s="53"/>
      <c r="D65" s="54"/>
      <c r="E65" s="108"/>
      <c r="F65" s="56"/>
      <c r="G65" s="57"/>
      <c r="H65" s="58"/>
      <c r="I65" s="59"/>
      <c r="J65" s="60"/>
      <c r="K65" s="258"/>
      <c r="L65" s="1"/>
    </row>
    <row r="66" spans="1:12" s="45" customFormat="1" ht="15" hidden="1" customHeight="1">
      <c r="A66" s="262">
        <f>A61+1</f>
        <v>15</v>
      </c>
      <c r="B66" s="61" t="s">
        <v>63</v>
      </c>
      <c r="C66" s="38" t="s">
        <v>17</v>
      </c>
      <c r="D66" s="38" t="s">
        <v>30</v>
      </c>
      <c r="E66" s="102"/>
      <c r="F66" s="97">
        <v>170.62</v>
      </c>
      <c r="G66" s="32">
        <v>250</v>
      </c>
      <c r="H66" s="235">
        <f>F66*G66</f>
        <v>42655</v>
      </c>
      <c r="I66" s="33"/>
      <c r="J66" s="66"/>
      <c r="K66" s="260">
        <f t="shared" ref="K66:K77" si="3">H66+J66</f>
        <v>42655</v>
      </c>
      <c r="L66" s="1"/>
    </row>
    <row r="67" spans="1:12" s="44" customFormat="1" ht="15" hidden="1" customHeight="1">
      <c r="A67" s="259"/>
      <c r="B67" s="103" t="s">
        <v>64</v>
      </c>
      <c r="C67" s="38" t="s">
        <v>17</v>
      </c>
      <c r="D67" s="70" t="s">
        <v>56</v>
      </c>
      <c r="E67" s="102">
        <v>0.4</v>
      </c>
      <c r="F67" s="37">
        <f>F66*E67</f>
        <v>68.248000000000005</v>
      </c>
      <c r="G67" s="32"/>
      <c r="H67" s="244"/>
      <c r="I67" s="33">
        <v>16.05</v>
      </c>
      <c r="J67" s="73">
        <f>F67*I67</f>
        <v>1095.3804000000002</v>
      </c>
      <c r="K67" s="263">
        <f t="shared" si="3"/>
        <v>1095.3804000000002</v>
      </c>
      <c r="L67" s="1"/>
    </row>
    <row r="68" spans="1:12" s="44" customFormat="1" ht="15" hidden="1" customHeight="1">
      <c r="A68" s="283"/>
      <c r="B68" s="103" t="s">
        <v>65</v>
      </c>
      <c r="C68" s="38" t="s">
        <v>17</v>
      </c>
      <c r="D68" s="70" t="s">
        <v>56</v>
      </c>
      <c r="E68" s="102">
        <v>0.4</v>
      </c>
      <c r="F68" s="37">
        <f>F66*E68</f>
        <v>68.248000000000005</v>
      </c>
      <c r="G68" s="32"/>
      <c r="H68" s="244"/>
      <c r="I68" s="33">
        <v>16.77</v>
      </c>
      <c r="J68" s="73">
        <f>F68*I68</f>
        <v>1144.5189600000001</v>
      </c>
      <c r="K68" s="263">
        <f t="shared" si="3"/>
        <v>1144.5189600000001</v>
      </c>
      <c r="L68" s="1"/>
    </row>
    <row r="69" spans="1:12" s="44" customFormat="1" ht="15" hidden="1" customHeight="1">
      <c r="A69" s="279"/>
      <c r="B69" s="103" t="s">
        <v>66</v>
      </c>
      <c r="C69" s="38" t="s">
        <v>17</v>
      </c>
      <c r="D69" s="70" t="s">
        <v>19</v>
      </c>
      <c r="E69" s="102">
        <v>25</v>
      </c>
      <c r="F69" s="37">
        <f>F66*E69</f>
        <v>4265.5</v>
      </c>
      <c r="G69" s="32"/>
      <c r="H69" s="244"/>
      <c r="I69" s="33">
        <v>4.9960000000000004</v>
      </c>
      <c r="J69" s="73">
        <f>F69*I69</f>
        <v>21310.438000000002</v>
      </c>
      <c r="K69" s="263">
        <f t="shared" si="3"/>
        <v>21310.438000000002</v>
      </c>
      <c r="L69" s="1"/>
    </row>
    <row r="70" spans="1:12" s="44" customFormat="1" ht="17.399999999999999" hidden="1" customHeight="1">
      <c r="A70" s="279"/>
      <c r="B70" s="103" t="s">
        <v>67</v>
      </c>
      <c r="C70" s="38" t="s">
        <v>17</v>
      </c>
      <c r="D70" s="70" t="s">
        <v>19</v>
      </c>
      <c r="E70" s="102">
        <v>0.3</v>
      </c>
      <c r="F70" s="37">
        <f>F66*E70</f>
        <v>51.186</v>
      </c>
      <c r="G70" s="32"/>
      <c r="H70" s="244"/>
      <c r="I70" s="33">
        <v>70.739999999999995</v>
      </c>
      <c r="J70" s="73">
        <f>F70*I70</f>
        <v>3620.8976399999997</v>
      </c>
      <c r="K70" s="263">
        <f t="shared" si="3"/>
        <v>3620.8976399999997</v>
      </c>
      <c r="L70" s="1"/>
    </row>
    <row r="71" spans="1:12" s="44" customFormat="1" ht="15" hidden="1" customHeight="1">
      <c r="A71" s="279"/>
      <c r="B71" s="103" t="s">
        <v>68</v>
      </c>
      <c r="C71" s="38" t="s">
        <v>17</v>
      </c>
      <c r="D71" s="70" t="s">
        <v>41</v>
      </c>
      <c r="E71" s="102">
        <v>0.1</v>
      </c>
      <c r="F71" s="37">
        <f>F66*E71</f>
        <v>17.062000000000001</v>
      </c>
      <c r="G71" s="32"/>
      <c r="H71" s="244"/>
      <c r="I71" s="33">
        <v>19.170000000000002</v>
      </c>
      <c r="J71" s="73">
        <f>F71*I71</f>
        <v>327.07854000000003</v>
      </c>
      <c r="K71" s="263">
        <f t="shared" si="3"/>
        <v>327.07854000000003</v>
      </c>
      <c r="L71" s="1"/>
    </row>
    <row r="72" spans="1:12" s="45" customFormat="1" ht="15" customHeight="1">
      <c r="A72" s="277">
        <f>A66+1</f>
        <v>16</v>
      </c>
      <c r="B72" s="61" t="s">
        <v>69</v>
      </c>
      <c r="C72" s="38" t="s">
        <v>23</v>
      </c>
      <c r="D72" s="38" t="s">
        <v>30</v>
      </c>
      <c r="E72" s="109"/>
      <c r="F72" s="97">
        <f>F66</f>
        <v>170.62</v>
      </c>
      <c r="G72" s="32">
        <v>1000</v>
      </c>
      <c r="H72" s="235">
        <f>F72*G72</f>
        <v>170620</v>
      </c>
      <c r="I72" s="33"/>
      <c r="J72" s="66"/>
      <c r="K72" s="260">
        <f t="shared" si="3"/>
        <v>170620</v>
      </c>
      <c r="L72" s="1"/>
    </row>
    <row r="73" spans="1:12" s="45" customFormat="1" ht="15" customHeight="1">
      <c r="A73" s="279"/>
      <c r="B73" s="105" t="s">
        <v>70</v>
      </c>
      <c r="C73" s="38" t="s">
        <v>23</v>
      </c>
      <c r="D73" s="70" t="s">
        <v>41</v>
      </c>
      <c r="E73" s="109">
        <v>1.1000000000000001</v>
      </c>
      <c r="F73" s="37">
        <f>F72*E73</f>
        <v>187.68200000000002</v>
      </c>
      <c r="G73" s="32"/>
      <c r="H73" s="110"/>
      <c r="I73" s="33"/>
      <c r="J73" s="73">
        <f>F73*I73</f>
        <v>0</v>
      </c>
      <c r="K73" s="263">
        <f t="shared" si="3"/>
        <v>0</v>
      </c>
      <c r="L73" s="1"/>
    </row>
    <row r="74" spans="1:12" s="44" customFormat="1" ht="15" customHeight="1">
      <c r="A74" s="279"/>
      <c r="B74" s="105" t="s">
        <v>34</v>
      </c>
      <c r="C74" s="38" t="s">
        <v>23</v>
      </c>
      <c r="D74" s="70" t="s">
        <v>21</v>
      </c>
      <c r="E74" s="109">
        <v>0.15</v>
      </c>
      <c r="F74" s="37">
        <f>F72*E74</f>
        <v>25.593</v>
      </c>
      <c r="G74" s="32"/>
      <c r="H74" s="244"/>
      <c r="I74" s="33"/>
      <c r="J74" s="73">
        <f>F74*I74</f>
        <v>0</v>
      </c>
      <c r="K74" s="263">
        <f t="shared" si="3"/>
        <v>0</v>
      </c>
      <c r="L74" s="1"/>
    </row>
    <row r="75" spans="1:12" s="44" customFormat="1" ht="15" customHeight="1">
      <c r="A75" s="279"/>
      <c r="B75" s="105" t="s">
        <v>71</v>
      </c>
      <c r="C75" s="38" t="s">
        <v>23</v>
      </c>
      <c r="D75" s="70" t="s">
        <v>19</v>
      </c>
      <c r="E75" s="109">
        <v>7.6</v>
      </c>
      <c r="F75" s="37">
        <f>F72*E75</f>
        <v>1296.712</v>
      </c>
      <c r="G75" s="32"/>
      <c r="H75" s="244"/>
      <c r="I75" s="33"/>
      <c r="J75" s="73">
        <f>F75*I75</f>
        <v>0</v>
      </c>
      <c r="K75" s="263">
        <f t="shared" si="3"/>
        <v>0</v>
      </c>
      <c r="L75" s="1"/>
    </row>
    <row r="76" spans="1:12" s="45" customFormat="1" ht="15" customHeight="1">
      <c r="A76" s="279"/>
      <c r="B76" s="105" t="s">
        <v>72</v>
      </c>
      <c r="C76" s="38" t="s">
        <v>23</v>
      </c>
      <c r="D76" s="70" t="s">
        <v>56</v>
      </c>
      <c r="E76" s="109">
        <v>11</v>
      </c>
      <c r="F76" s="37">
        <f>F72*E76</f>
        <v>1876.8200000000002</v>
      </c>
      <c r="G76" s="32"/>
      <c r="H76" s="110"/>
      <c r="I76" s="33"/>
      <c r="J76" s="73">
        <f>F76*I76</f>
        <v>0</v>
      </c>
      <c r="K76" s="263">
        <f t="shared" si="3"/>
        <v>0</v>
      </c>
      <c r="L76" s="1"/>
    </row>
    <row r="77" spans="1:12" s="44" customFormat="1" ht="15" customHeight="1">
      <c r="A77" s="279"/>
      <c r="B77" s="105" t="s">
        <v>73</v>
      </c>
      <c r="C77" s="38" t="s">
        <v>23</v>
      </c>
      <c r="D77" s="70" t="s">
        <v>19</v>
      </c>
      <c r="E77" s="109">
        <v>0.4</v>
      </c>
      <c r="F77" s="37">
        <f>F72*E77</f>
        <v>68.248000000000005</v>
      </c>
      <c r="G77" s="32"/>
      <c r="H77" s="244"/>
      <c r="I77" s="33"/>
      <c r="J77" s="73">
        <f>F77*I77</f>
        <v>0</v>
      </c>
      <c r="K77" s="263">
        <f t="shared" si="3"/>
        <v>0</v>
      </c>
      <c r="L77" s="1"/>
    </row>
    <row r="78" spans="1:12" s="45" customFormat="1" ht="15" hidden="1" customHeight="1">
      <c r="A78" s="279"/>
      <c r="B78" s="105"/>
      <c r="C78" s="75"/>
      <c r="D78" s="70"/>
      <c r="E78" s="109"/>
      <c r="F78" s="37"/>
      <c r="G78" s="32"/>
      <c r="H78" s="110"/>
      <c r="I78" s="33"/>
      <c r="J78" s="73"/>
      <c r="K78" s="263"/>
      <c r="L78" s="1"/>
    </row>
    <row r="79" spans="1:12" s="45" customFormat="1" ht="15" hidden="1" customHeight="1">
      <c r="A79" s="284"/>
      <c r="B79" s="111" t="s">
        <v>74</v>
      </c>
      <c r="C79" s="112"/>
      <c r="D79" s="113"/>
      <c r="E79" s="114"/>
      <c r="F79" s="113"/>
      <c r="G79" s="57"/>
      <c r="H79" s="113"/>
      <c r="I79" s="59"/>
      <c r="J79" s="115"/>
      <c r="K79" s="285"/>
      <c r="L79" s="1"/>
    </row>
    <row r="80" spans="1:12" s="45" customFormat="1" ht="15" hidden="1" customHeight="1">
      <c r="A80" s="277">
        <f>A72+1</f>
        <v>17</v>
      </c>
      <c r="B80" s="61" t="s">
        <v>52</v>
      </c>
      <c r="C80" s="38" t="s">
        <v>20</v>
      </c>
      <c r="D80" s="38" t="s">
        <v>30</v>
      </c>
      <c r="E80" s="102"/>
      <c r="F80" s="97">
        <f>161.76+164.62+56.06</f>
        <v>382.44</v>
      </c>
      <c r="G80" s="32">
        <v>250</v>
      </c>
      <c r="H80" s="235">
        <f>F80*G80</f>
        <v>95610</v>
      </c>
      <c r="I80" s="33"/>
      <c r="J80" s="66"/>
      <c r="K80" s="260">
        <f t="shared" ref="K80:K88" si="4">H80+J80</f>
        <v>95610</v>
      </c>
      <c r="L80" s="1"/>
    </row>
    <row r="81" spans="1:15" s="44" customFormat="1" ht="15" hidden="1" customHeight="1">
      <c r="A81" s="279"/>
      <c r="B81" s="74" t="s">
        <v>53</v>
      </c>
      <c r="C81" s="38" t="s">
        <v>20</v>
      </c>
      <c r="D81" s="70" t="s">
        <v>19</v>
      </c>
      <c r="E81" s="102">
        <v>1.8</v>
      </c>
      <c r="F81" s="101">
        <f>E81*F80</f>
        <v>688.39200000000005</v>
      </c>
      <c r="G81" s="32"/>
      <c r="H81" s="236"/>
      <c r="I81" s="33">
        <v>8.7200000000000006</v>
      </c>
      <c r="J81" s="73">
        <f>F81*I81</f>
        <v>6002.7782400000006</v>
      </c>
      <c r="K81" s="263">
        <f t="shared" si="4"/>
        <v>6002.7782400000006</v>
      </c>
      <c r="L81" s="1"/>
    </row>
    <row r="82" spans="1:15" s="44" customFormat="1" ht="15" hidden="1" customHeight="1">
      <c r="A82" s="279"/>
      <c r="B82" s="74" t="s">
        <v>54</v>
      </c>
      <c r="C82" s="38" t="s">
        <v>20</v>
      </c>
      <c r="D82" s="70" t="s">
        <v>19</v>
      </c>
      <c r="E82" s="102">
        <v>1.8</v>
      </c>
      <c r="F82" s="101">
        <f>E82*F80</f>
        <v>688.39200000000005</v>
      </c>
      <c r="G82" s="32"/>
      <c r="H82" s="236"/>
      <c r="I82" s="33">
        <v>18.690000000000001</v>
      </c>
      <c r="J82" s="73">
        <f>F82*I82</f>
        <v>12866.046480000003</v>
      </c>
      <c r="K82" s="263">
        <f t="shared" si="4"/>
        <v>12866.046480000003</v>
      </c>
      <c r="L82" s="1"/>
    </row>
    <row r="83" spans="1:15" s="44" customFormat="1" ht="15" hidden="1" customHeight="1">
      <c r="A83" s="279"/>
      <c r="B83" s="74" t="s">
        <v>34</v>
      </c>
      <c r="C83" s="38" t="s">
        <v>20</v>
      </c>
      <c r="D83" s="70" t="s">
        <v>21</v>
      </c>
      <c r="E83" s="102">
        <v>0.15</v>
      </c>
      <c r="F83" s="101">
        <f>E83*F80</f>
        <v>57.366</v>
      </c>
      <c r="G83" s="32"/>
      <c r="H83" s="236"/>
      <c r="I83" s="33">
        <v>37.450000000000003</v>
      </c>
      <c r="J83" s="73">
        <f>F83*I83</f>
        <v>2148.3567000000003</v>
      </c>
      <c r="K83" s="263">
        <f t="shared" si="4"/>
        <v>2148.3567000000003</v>
      </c>
      <c r="L83" s="1"/>
    </row>
    <row r="84" spans="1:15" s="44" customFormat="1" ht="15" hidden="1" customHeight="1">
      <c r="A84" s="279"/>
      <c r="B84" s="74" t="s">
        <v>55</v>
      </c>
      <c r="C84" s="38" t="s">
        <v>20</v>
      </c>
      <c r="D84" s="70" t="s">
        <v>56</v>
      </c>
      <c r="E84" s="102">
        <v>0.1</v>
      </c>
      <c r="F84" s="101">
        <f>E84*F80</f>
        <v>38.244</v>
      </c>
      <c r="G84" s="32"/>
      <c r="H84" s="236"/>
      <c r="I84" s="33">
        <v>19.260000000000002</v>
      </c>
      <c r="J84" s="73">
        <f>F84*I84</f>
        <v>736.57944000000009</v>
      </c>
      <c r="K84" s="263">
        <f t="shared" si="4"/>
        <v>736.57944000000009</v>
      </c>
      <c r="L84" s="1"/>
    </row>
    <row r="85" spans="1:15" s="44" customFormat="1" ht="15" hidden="1" customHeight="1">
      <c r="A85" s="279"/>
      <c r="B85" s="74" t="s">
        <v>57</v>
      </c>
      <c r="C85" s="38" t="s">
        <v>20</v>
      </c>
      <c r="D85" s="70" t="s">
        <v>58</v>
      </c>
      <c r="E85" s="102">
        <v>1.1000000000000001</v>
      </c>
      <c r="F85" s="101">
        <f>E85*F80</f>
        <v>420.68400000000003</v>
      </c>
      <c r="G85" s="32"/>
      <c r="H85" s="236"/>
      <c r="I85" s="33">
        <v>3.1240000000000001</v>
      </c>
      <c r="J85" s="73">
        <f>F85*I85</f>
        <v>1314.2168160000001</v>
      </c>
      <c r="K85" s="263">
        <f t="shared" si="4"/>
        <v>1314.2168160000001</v>
      </c>
      <c r="L85" s="1"/>
    </row>
    <row r="86" spans="1:15" s="45" customFormat="1" ht="15" hidden="1" customHeight="1">
      <c r="A86" s="279">
        <f>A80+1</f>
        <v>18</v>
      </c>
      <c r="B86" s="61" t="s">
        <v>59</v>
      </c>
      <c r="C86" s="38" t="s">
        <v>20</v>
      </c>
      <c r="D86" s="38" t="s">
        <v>30</v>
      </c>
      <c r="E86" s="102"/>
      <c r="F86" s="97">
        <f>F80</f>
        <v>382.44</v>
      </c>
      <c r="G86" s="32">
        <v>200</v>
      </c>
      <c r="H86" s="235">
        <f>F86*G86</f>
        <v>76488</v>
      </c>
      <c r="I86" s="33"/>
      <c r="J86" s="66"/>
      <c r="K86" s="260">
        <f t="shared" si="4"/>
        <v>76488</v>
      </c>
      <c r="L86" s="1"/>
    </row>
    <row r="87" spans="1:15" s="44" customFormat="1" ht="25.5" hidden="1" customHeight="1">
      <c r="A87" s="279"/>
      <c r="B87" s="103" t="s">
        <v>60</v>
      </c>
      <c r="C87" s="38" t="s">
        <v>20</v>
      </c>
      <c r="D87" s="70" t="s">
        <v>21</v>
      </c>
      <c r="E87" s="104">
        <v>0.35</v>
      </c>
      <c r="F87" s="101">
        <f>E87*F86</f>
        <v>133.85399999999998</v>
      </c>
      <c r="G87" s="32"/>
      <c r="H87" s="236"/>
      <c r="I87" s="33">
        <v>122.50221999999999</v>
      </c>
      <c r="J87" s="73">
        <f>F87*I87</f>
        <v>16397.412155879996</v>
      </c>
      <c r="K87" s="263">
        <f t="shared" si="4"/>
        <v>16397.412155879996</v>
      </c>
      <c r="L87" s="1"/>
    </row>
    <row r="88" spans="1:15" s="44" customFormat="1" ht="15" hidden="1" customHeight="1">
      <c r="A88" s="279"/>
      <c r="B88" s="105" t="s">
        <v>34</v>
      </c>
      <c r="C88" s="38" t="s">
        <v>20</v>
      </c>
      <c r="D88" s="70" t="s">
        <v>21</v>
      </c>
      <c r="E88" s="102">
        <v>0.15</v>
      </c>
      <c r="F88" s="101">
        <f>E88*F86</f>
        <v>57.366</v>
      </c>
      <c r="G88" s="32"/>
      <c r="H88" s="236"/>
      <c r="I88" s="33">
        <v>37.450000000000003</v>
      </c>
      <c r="J88" s="73">
        <f>F88*I88</f>
        <v>2148.3567000000003</v>
      </c>
      <c r="K88" s="263">
        <f t="shared" si="4"/>
        <v>2148.3567000000003</v>
      </c>
      <c r="L88" s="1"/>
    </row>
    <row r="89" spans="1:15" s="45" customFormat="1" ht="15" hidden="1" customHeight="1">
      <c r="A89" s="279"/>
      <c r="B89" s="70"/>
      <c r="C89" s="38"/>
      <c r="D89" s="70"/>
      <c r="E89" s="79"/>
      <c r="F89" s="37"/>
      <c r="G89" s="32"/>
      <c r="H89" s="116"/>
      <c r="I89" s="33"/>
      <c r="J89" s="73"/>
      <c r="K89" s="263"/>
      <c r="L89" s="1"/>
    </row>
    <row r="90" spans="1:15" s="45" customFormat="1" ht="15" hidden="1" customHeight="1">
      <c r="A90" s="284"/>
      <c r="B90" s="70"/>
      <c r="C90" s="38"/>
      <c r="D90" s="70"/>
      <c r="E90" s="79"/>
      <c r="F90" s="37"/>
      <c r="G90" s="32"/>
      <c r="H90" s="116"/>
      <c r="I90" s="33"/>
      <c r="J90" s="73"/>
      <c r="K90" s="263"/>
      <c r="L90" s="1"/>
    </row>
    <row r="91" spans="1:15" s="45" customFormat="1" ht="15" hidden="1" customHeight="1">
      <c r="A91" s="23"/>
      <c r="B91" s="24" t="s">
        <v>75</v>
      </c>
      <c r="C91" s="25"/>
      <c r="D91" s="26"/>
      <c r="E91" s="27"/>
      <c r="F91" s="28"/>
      <c r="G91" s="29"/>
      <c r="H91" s="29" t="str">
        <f>IF(ISBLANK(G91),"",G91*F91)</f>
        <v/>
      </c>
      <c r="I91" s="36"/>
      <c r="J91" s="30" t="str">
        <f>IF(ISBLANK(I91),"",I91*F91)</f>
        <v/>
      </c>
      <c r="K91" s="31"/>
      <c r="L91" s="1"/>
    </row>
    <row r="92" spans="1:15" s="45" customFormat="1" ht="25.5" hidden="1" customHeight="1">
      <c r="A92" s="282"/>
      <c r="B92" s="53" t="s">
        <v>76</v>
      </c>
      <c r="C92" s="265"/>
      <c r="D92" s="266"/>
      <c r="E92" s="267"/>
      <c r="F92" s="266"/>
      <c r="G92" s="57"/>
      <c r="H92" s="266"/>
      <c r="I92" s="59"/>
      <c r="J92" s="268"/>
      <c r="K92" s="269"/>
      <c r="L92" s="1"/>
    </row>
    <row r="93" spans="1:15" s="140" customFormat="1" ht="15" customHeight="1">
      <c r="A93" s="286">
        <f>A86+1</f>
        <v>19</v>
      </c>
      <c r="B93" s="61" t="s">
        <v>77</v>
      </c>
      <c r="C93" s="38" t="s">
        <v>23</v>
      </c>
      <c r="D93" s="38" t="s">
        <v>30</v>
      </c>
      <c r="E93" s="64"/>
      <c r="F93" s="97">
        <f>327.16</f>
        <v>327.16000000000003</v>
      </c>
      <c r="G93" s="32">
        <v>670</v>
      </c>
      <c r="H93" s="235">
        <f>F93*G93</f>
        <v>219197.2</v>
      </c>
      <c r="I93" s="33"/>
      <c r="J93" s="66"/>
      <c r="K93" s="260">
        <f t="shared" ref="K93:K107" si="5">H93+J93</f>
        <v>219197.2</v>
      </c>
      <c r="L93" s="141"/>
      <c r="M93" s="139"/>
      <c r="N93" s="139"/>
      <c r="O93" s="138"/>
    </row>
    <row r="94" spans="1:15" s="140" customFormat="1" ht="15" customHeight="1">
      <c r="A94" s="287"/>
      <c r="B94" s="105" t="s">
        <v>24</v>
      </c>
      <c r="C94" s="38" t="s">
        <v>23</v>
      </c>
      <c r="D94" s="70" t="s">
        <v>41</v>
      </c>
      <c r="E94" s="64">
        <v>1.1000000000000001</v>
      </c>
      <c r="F94" s="37">
        <v>315.63400000000007</v>
      </c>
      <c r="G94" s="32"/>
      <c r="H94" s="110"/>
      <c r="I94" s="33"/>
      <c r="J94" s="73">
        <f t="shared" ref="J94:J99" si="6">F94*I94</f>
        <v>0</v>
      </c>
      <c r="K94" s="263">
        <f t="shared" si="5"/>
        <v>0</v>
      </c>
      <c r="L94" s="141"/>
    </row>
    <row r="95" spans="1:15" s="140" customFormat="1" ht="15" customHeight="1">
      <c r="A95" s="287"/>
      <c r="B95" s="105" t="s">
        <v>78</v>
      </c>
      <c r="C95" s="38" t="s">
        <v>23</v>
      </c>
      <c r="D95" s="70" t="s">
        <v>41</v>
      </c>
      <c r="E95" s="64">
        <v>1.1000000000000001</v>
      </c>
      <c r="F95" s="37">
        <v>44.242000000000004</v>
      </c>
      <c r="G95" s="32"/>
      <c r="H95" s="110"/>
      <c r="I95" s="33"/>
      <c r="J95" s="73">
        <f t="shared" si="6"/>
        <v>0</v>
      </c>
      <c r="K95" s="263">
        <f t="shared" si="5"/>
        <v>0</v>
      </c>
      <c r="L95" s="138"/>
    </row>
    <row r="96" spans="1:15" s="44" customFormat="1" ht="15" customHeight="1">
      <c r="A96" s="287"/>
      <c r="B96" s="105" t="s">
        <v>34</v>
      </c>
      <c r="C96" s="38" t="s">
        <v>23</v>
      </c>
      <c r="D96" s="70" t="s">
        <v>21</v>
      </c>
      <c r="E96" s="64">
        <v>0.15</v>
      </c>
      <c r="F96" s="37">
        <v>49.074000000000005</v>
      </c>
      <c r="G96" s="32"/>
      <c r="H96" s="244"/>
      <c r="I96" s="33"/>
      <c r="J96" s="73">
        <f t="shared" si="6"/>
        <v>0</v>
      </c>
      <c r="K96" s="263">
        <f t="shared" si="5"/>
        <v>0</v>
      </c>
      <c r="L96" s="1"/>
    </row>
    <row r="97" spans="1:12" s="44" customFormat="1" ht="15" customHeight="1">
      <c r="A97" s="284"/>
      <c r="B97" s="105" t="s">
        <v>71</v>
      </c>
      <c r="C97" s="38" t="s">
        <v>23</v>
      </c>
      <c r="D97" s="70" t="s">
        <v>19</v>
      </c>
      <c r="E97" s="64">
        <v>7.6</v>
      </c>
      <c r="F97" s="37">
        <v>2486.4160000000002</v>
      </c>
      <c r="G97" s="32"/>
      <c r="H97" s="244"/>
      <c r="I97" s="33"/>
      <c r="J97" s="73">
        <f t="shared" si="6"/>
        <v>0</v>
      </c>
      <c r="K97" s="263">
        <f t="shared" si="5"/>
        <v>0</v>
      </c>
      <c r="L97" s="1"/>
    </row>
    <row r="98" spans="1:12" s="45" customFormat="1" ht="15" customHeight="1">
      <c r="A98" s="284"/>
      <c r="B98" s="105" t="s">
        <v>72</v>
      </c>
      <c r="C98" s="38" t="s">
        <v>23</v>
      </c>
      <c r="D98" s="70" t="s">
        <v>56</v>
      </c>
      <c r="E98" s="64">
        <v>11</v>
      </c>
      <c r="F98" s="37">
        <v>3598.76</v>
      </c>
      <c r="G98" s="32"/>
      <c r="H98" s="110"/>
      <c r="I98" s="33"/>
      <c r="J98" s="73">
        <f t="shared" si="6"/>
        <v>0</v>
      </c>
      <c r="K98" s="263">
        <f t="shared" si="5"/>
        <v>0</v>
      </c>
      <c r="L98" s="1"/>
    </row>
    <row r="99" spans="1:12" s="44" customFormat="1" ht="15" customHeight="1">
      <c r="A99" s="284"/>
      <c r="B99" s="105" t="s">
        <v>73</v>
      </c>
      <c r="C99" s="38" t="s">
        <v>23</v>
      </c>
      <c r="D99" s="70" t="s">
        <v>19</v>
      </c>
      <c r="E99" s="64">
        <v>0.4</v>
      </c>
      <c r="F99" s="37">
        <v>130.864</v>
      </c>
      <c r="G99" s="32"/>
      <c r="H99" s="244"/>
      <c r="I99" s="33"/>
      <c r="J99" s="73">
        <f t="shared" si="6"/>
        <v>0</v>
      </c>
      <c r="K99" s="263">
        <f t="shared" si="5"/>
        <v>0</v>
      </c>
      <c r="L99" s="1"/>
    </row>
    <row r="100" spans="1:12" s="45" customFormat="1" ht="25.5" hidden="1" customHeight="1">
      <c r="A100" s="288">
        <f>A93+1</f>
        <v>20</v>
      </c>
      <c r="B100" s="61" t="s">
        <v>79</v>
      </c>
      <c r="C100" s="38" t="s">
        <v>29</v>
      </c>
      <c r="D100" s="38" t="s">
        <v>30</v>
      </c>
      <c r="E100" s="64"/>
      <c r="F100" s="97">
        <v>327.16000000000003</v>
      </c>
      <c r="G100" s="32">
        <v>250</v>
      </c>
      <c r="H100" s="235">
        <f>F100*G100</f>
        <v>81790</v>
      </c>
      <c r="I100" s="33"/>
      <c r="J100" s="66"/>
      <c r="K100" s="260">
        <f t="shared" si="5"/>
        <v>81790</v>
      </c>
      <c r="L100" s="1"/>
    </row>
    <row r="101" spans="1:12" s="44" customFormat="1" ht="15" hidden="1" customHeight="1">
      <c r="A101" s="284"/>
      <c r="B101" s="105" t="s">
        <v>80</v>
      </c>
      <c r="C101" s="38" t="s">
        <v>29</v>
      </c>
      <c r="D101" s="70" t="s">
        <v>81</v>
      </c>
      <c r="E101" s="64">
        <f>499*0.085*1.02/1000</f>
        <v>4.3263300000000011E-2</v>
      </c>
      <c r="F101" s="37">
        <f>F100*E101</f>
        <v>14.154021228000005</v>
      </c>
      <c r="G101" s="32"/>
      <c r="H101" s="244"/>
      <c r="I101" s="33">
        <v>5473.05</v>
      </c>
      <c r="J101" s="73">
        <f t="shared" ref="J101:J107" si="7">F101*I101</f>
        <v>77465.665881905428</v>
      </c>
      <c r="K101" s="263">
        <f t="shared" si="5"/>
        <v>77465.665881905428</v>
      </c>
      <c r="L101" s="1"/>
    </row>
    <row r="102" spans="1:12" s="44" customFormat="1" ht="15" hidden="1" customHeight="1">
      <c r="A102" s="284"/>
      <c r="B102" s="105" t="s">
        <v>82</v>
      </c>
      <c r="C102" s="38" t="s">
        <v>29</v>
      </c>
      <c r="D102" s="70" t="s">
        <v>81</v>
      </c>
      <c r="E102" s="64">
        <f>1792*0.8*0.085*1.02/1000</f>
        <v>0.12429312000000003</v>
      </c>
      <c r="F102" s="37">
        <f>F100*E102</f>
        <v>40.663737139200016</v>
      </c>
      <c r="G102" s="32"/>
      <c r="H102" s="244"/>
      <c r="I102" s="33">
        <v>823.63</v>
      </c>
      <c r="J102" s="73">
        <f t="shared" si="7"/>
        <v>33491.873819959306</v>
      </c>
      <c r="K102" s="263">
        <f t="shared" si="5"/>
        <v>33491.873819959306</v>
      </c>
      <c r="L102" s="1"/>
    </row>
    <row r="103" spans="1:12" s="45" customFormat="1" ht="15" hidden="1" customHeight="1">
      <c r="A103" s="284"/>
      <c r="B103" s="105" t="s">
        <v>83</v>
      </c>
      <c r="C103" s="38" t="s">
        <v>29</v>
      </c>
      <c r="D103" s="70" t="s">
        <v>81</v>
      </c>
      <c r="E103" s="64">
        <f>1792*0.2*0.85*1.02/1000</f>
        <v>0.31073280000000003</v>
      </c>
      <c r="F103" s="37">
        <f>F100*E103</f>
        <v>101.65934284800002</v>
      </c>
      <c r="G103" s="32"/>
      <c r="H103" s="110"/>
      <c r="I103" s="33">
        <v>374.49299999999999</v>
      </c>
      <c r="J103" s="73">
        <f t="shared" si="7"/>
        <v>38070.712281176071</v>
      </c>
      <c r="K103" s="263">
        <f t="shared" si="5"/>
        <v>38070.712281176071</v>
      </c>
      <c r="L103" s="1"/>
    </row>
    <row r="104" spans="1:12" s="45" customFormat="1" ht="15" hidden="1" customHeight="1">
      <c r="A104" s="284"/>
      <c r="B104" s="105" t="s">
        <v>84</v>
      </c>
      <c r="C104" s="38" t="s">
        <v>29</v>
      </c>
      <c r="D104" s="70" t="s">
        <v>41</v>
      </c>
      <c r="E104" s="64">
        <v>1.1000000000000001</v>
      </c>
      <c r="F104" s="37">
        <f>F100*E104</f>
        <v>359.87600000000003</v>
      </c>
      <c r="G104" s="32"/>
      <c r="H104" s="110"/>
      <c r="I104" s="33">
        <v>115.91449999999999</v>
      </c>
      <c r="J104" s="73">
        <f t="shared" si="7"/>
        <v>41714.846601999998</v>
      </c>
      <c r="K104" s="263">
        <f t="shared" si="5"/>
        <v>41714.846601999998</v>
      </c>
      <c r="L104" s="1"/>
    </row>
    <row r="105" spans="1:12" s="44" customFormat="1" ht="15" hidden="1" customHeight="1">
      <c r="A105" s="284"/>
      <c r="B105" s="105" t="s">
        <v>85</v>
      </c>
      <c r="C105" s="38" t="s">
        <v>29</v>
      </c>
      <c r="D105" s="70" t="s">
        <v>81</v>
      </c>
      <c r="E105" s="64">
        <f>0.21/1000</f>
        <v>2.0999999999999998E-4</v>
      </c>
      <c r="F105" s="37">
        <f>F100*E105</f>
        <v>6.8703600000000004E-2</v>
      </c>
      <c r="G105" s="32"/>
      <c r="H105" s="244"/>
      <c r="I105" s="33">
        <v>56431.8</v>
      </c>
      <c r="J105" s="73">
        <f t="shared" si="7"/>
        <v>3877.0678144800004</v>
      </c>
      <c r="K105" s="263">
        <f t="shared" si="5"/>
        <v>3877.0678144800004</v>
      </c>
      <c r="L105" s="1"/>
    </row>
    <row r="106" spans="1:12" s="45" customFormat="1" ht="15" hidden="1" customHeight="1">
      <c r="A106" s="284"/>
      <c r="B106" s="105" t="s">
        <v>86</v>
      </c>
      <c r="C106" s="38" t="s">
        <v>29</v>
      </c>
      <c r="D106" s="70" t="s">
        <v>56</v>
      </c>
      <c r="E106" s="64">
        <v>4</v>
      </c>
      <c r="F106" s="37">
        <f>F100*E106</f>
        <v>1308.6400000000001</v>
      </c>
      <c r="G106" s="32"/>
      <c r="H106" s="110"/>
      <c r="I106" s="33">
        <v>0.67135999999999996</v>
      </c>
      <c r="J106" s="73">
        <f t="shared" si="7"/>
        <v>878.56855040000005</v>
      </c>
      <c r="K106" s="263">
        <f t="shared" si="5"/>
        <v>878.56855040000005</v>
      </c>
      <c r="L106" s="1"/>
    </row>
    <row r="107" spans="1:12" s="44" customFormat="1" ht="15" hidden="1" customHeight="1">
      <c r="A107" s="284"/>
      <c r="B107" s="105" t="s">
        <v>87</v>
      </c>
      <c r="C107" s="38" t="s">
        <v>29</v>
      </c>
      <c r="D107" s="70" t="s">
        <v>58</v>
      </c>
      <c r="E107" s="64"/>
      <c r="F107" s="37">
        <f>F100</f>
        <v>327.16000000000003</v>
      </c>
      <c r="G107" s="32"/>
      <c r="H107" s="244"/>
      <c r="I107" s="33">
        <v>7.0979999999999999</v>
      </c>
      <c r="J107" s="73">
        <f t="shared" si="7"/>
        <v>2322.1816800000001</v>
      </c>
      <c r="K107" s="263">
        <f t="shared" si="5"/>
        <v>2322.1816800000001</v>
      </c>
      <c r="L107" s="1"/>
    </row>
    <row r="108" spans="1:12" s="45" customFormat="1" ht="15" hidden="1" customHeight="1">
      <c r="A108" s="284"/>
      <c r="B108" s="105"/>
      <c r="C108" s="75"/>
      <c r="D108" s="70"/>
      <c r="E108" s="64"/>
      <c r="F108" s="37"/>
      <c r="G108" s="32"/>
      <c r="H108" s="110"/>
      <c r="I108" s="33"/>
      <c r="J108" s="73"/>
      <c r="K108" s="263"/>
      <c r="L108" s="1"/>
    </row>
    <row r="109" spans="1:12" s="45" customFormat="1" ht="15" hidden="1" customHeight="1">
      <c r="A109" s="282"/>
      <c r="B109" s="117" t="s">
        <v>88</v>
      </c>
      <c r="C109" s="265"/>
      <c r="D109" s="266"/>
      <c r="E109" s="267"/>
      <c r="F109" s="266"/>
      <c r="G109" s="57"/>
      <c r="H109" s="266"/>
      <c r="I109" s="59"/>
      <c r="J109" s="268"/>
      <c r="K109" s="269"/>
      <c r="L109" s="1"/>
    </row>
    <row r="110" spans="1:12" s="45" customFormat="1" ht="15" customHeight="1">
      <c r="A110" s="288">
        <f>A100+1</f>
        <v>21</v>
      </c>
      <c r="B110" s="61" t="s">
        <v>77</v>
      </c>
      <c r="C110" s="38" t="s">
        <v>23</v>
      </c>
      <c r="D110" s="38" t="s">
        <v>30</v>
      </c>
      <c r="E110" s="102"/>
      <c r="F110" s="97">
        <v>52.89</v>
      </c>
      <c r="G110" s="32">
        <v>670</v>
      </c>
      <c r="H110" s="235">
        <f>F110*G110</f>
        <v>35436.300000000003</v>
      </c>
      <c r="I110" s="33"/>
      <c r="J110" s="66"/>
      <c r="K110" s="260">
        <f t="shared" ref="K110:K131" si="8">H110+J110</f>
        <v>35436.300000000003</v>
      </c>
      <c r="L110" s="1"/>
    </row>
    <row r="111" spans="1:12" s="45" customFormat="1" ht="15" customHeight="1">
      <c r="A111" s="284"/>
      <c r="B111" s="105" t="s">
        <v>24</v>
      </c>
      <c r="C111" s="38" t="s">
        <v>23</v>
      </c>
      <c r="D111" s="70" t="s">
        <v>41</v>
      </c>
      <c r="E111" s="102">
        <v>1.1000000000000001</v>
      </c>
      <c r="F111" s="37">
        <f>F110*E111</f>
        <v>58.179000000000002</v>
      </c>
      <c r="G111" s="32"/>
      <c r="H111" s="110"/>
      <c r="I111" s="33"/>
      <c r="J111" s="73">
        <f>F111*I111</f>
        <v>0</v>
      </c>
      <c r="K111" s="263">
        <f t="shared" si="8"/>
        <v>0</v>
      </c>
      <c r="L111" s="1"/>
    </row>
    <row r="112" spans="1:12" s="44" customFormat="1" ht="15" customHeight="1">
      <c r="A112" s="284"/>
      <c r="B112" s="105" t="s">
        <v>34</v>
      </c>
      <c r="C112" s="38" t="s">
        <v>23</v>
      </c>
      <c r="D112" s="70" t="s">
        <v>21</v>
      </c>
      <c r="E112" s="102">
        <v>0.2</v>
      </c>
      <c r="F112" s="37">
        <f>F110*E112</f>
        <v>10.578000000000001</v>
      </c>
      <c r="G112" s="32"/>
      <c r="H112" s="244"/>
      <c r="I112" s="33"/>
      <c r="J112" s="73">
        <f>F112*I112</f>
        <v>0</v>
      </c>
      <c r="K112" s="263">
        <f t="shared" si="8"/>
        <v>0</v>
      </c>
      <c r="L112" s="1"/>
    </row>
    <row r="113" spans="1:12" s="44" customFormat="1" ht="15" customHeight="1">
      <c r="A113" s="284"/>
      <c r="B113" s="105" t="s">
        <v>71</v>
      </c>
      <c r="C113" s="38" t="s">
        <v>23</v>
      </c>
      <c r="D113" s="70" t="s">
        <v>19</v>
      </c>
      <c r="E113" s="102">
        <v>7.6</v>
      </c>
      <c r="F113" s="37">
        <f>F110*E113</f>
        <v>401.964</v>
      </c>
      <c r="G113" s="32"/>
      <c r="H113" s="244"/>
      <c r="I113" s="33"/>
      <c r="J113" s="73">
        <f>F113*I113</f>
        <v>0</v>
      </c>
      <c r="K113" s="263">
        <f t="shared" si="8"/>
        <v>0</v>
      </c>
      <c r="L113" s="1"/>
    </row>
    <row r="114" spans="1:12" s="45" customFormat="1" ht="15" customHeight="1">
      <c r="A114" s="284"/>
      <c r="B114" s="105" t="s">
        <v>72</v>
      </c>
      <c r="C114" s="38" t="s">
        <v>23</v>
      </c>
      <c r="D114" s="70" t="s">
        <v>56</v>
      </c>
      <c r="E114" s="102">
        <v>11</v>
      </c>
      <c r="F114" s="37">
        <f>F110*E114</f>
        <v>581.79</v>
      </c>
      <c r="G114" s="32"/>
      <c r="H114" s="110"/>
      <c r="I114" s="33"/>
      <c r="J114" s="73">
        <f>F114*I114</f>
        <v>0</v>
      </c>
      <c r="K114" s="263">
        <f t="shared" si="8"/>
        <v>0</v>
      </c>
      <c r="L114" s="1"/>
    </row>
    <row r="115" spans="1:12" s="44" customFormat="1" ht="15" customHeight="1">
      <c r="A115" s="284"/>
      <c r="B115" s="105" t="s">
        <v>73</v>
      </c>
      <c r="C115" s="38" t="s">
        <v>23</v>
      </c>
      <c r="D115" s="70" t="s">
        <v>19</v>
      </c>
      <c r="E115" s="102">
        <v>0.4</v>
      </c>
      <c r="F115" s="37">
        <f>F110*E115</f>
        <v>21.156000000000002</v>
      </c>
      <c r="G115" s="32"/>
      <c r="H115" s="244"/>
      <c r="I115" s="33"/>
      <c r="J115" s="73">
        <f>F115*I115</f>
        <v>0</v>
      </c>
      <c r="K115" s="263">
        <f t="shared" si="8"/>
        <v>0</v>
      </c>
      <c r="L115" s="1"/>
    </row>
    <row r="116" spans="1:12" s="45" customFormat="1" ht="15" hidden="1" customHeight="1">
      <c r="A116" s="288">
        <f>A110+1</f>
        <v>22</v>
      </c>
      <c r="B116" s="61" t="s">
        <v>89</v>
      </c>
      <c r="C116" s="38" t="s">
        <v>29</v>
      </c>
      <c r="D116" s="38" t="s">
        <v>30</v>
      </c>
      <c r="E116" s="102"/>
      <c r="F116" s="97">
        <f>F110</f>
        <v>52.89</v>
      </c>
      <c r="G116" s="32">
        <v>100</v>
      </c>
      <c r="H116" s="235">
        <f>F116*G116</f>
        <v>5289</v>
      </c>
      <c r="I116" s="33"/>
      <c r="J116" s="66"/>
      <c r="K116" s="260">
        <f t="shared" si="8"/>
        <v>5289</v>
      </c>
      <c r="L116" s="1"/>
    </row>
    <row r="117" spans="1:12" s="44" customFormat="1" ht="15" hidden="1" customHeight="1">
      <c r="A117" s="284"/>
      <c r="B117" s="105" t="s">
        <v>34</v>
      </c>
      <c r="C117" s="38" t="s">
        <v>29</v>
      </c>
      <c r="D117" s="70" t="s">
        <v>21</v>
      </c>
      <c r="E117" s="102">
        <v>0.2</v>
      </c>
      <c r="F117" s="37">
        <f>F116*E117</f>
        <v>10.578000000000001</v>
      </c>
      <c r="G117" s="32"/>
      <c r="H117" s="244"/>
      <c r="I117" s="33">
        <v>37.450000000000003</v>
      </c>
      <c r="J117" s="73">
        <f>F117*I117</f>
        <v>396.14610000000005</v>
      </c>
      <c r="K117" s="263">
        <f t="shared" si="8"/>
        <v>396.14610000000005</v>
      </c>
      <c r="L117" s="1"/>
    </row>
    <row r="118" spans="1:12" s="44" customFormat="1" ht="15" hidden="1" customHeight="1">
      <c r="A118" s="284"/>
      <c r="B118" s="105" t="s">
        <v>90</v>
      </c>
      <c r="C118" s="38" t="s">
        <v>29</v>
      </c>
      <c r="D118" s="70" t="s">
        <v>19</v>
      </c>
      <c r="E118" s="102">
        <v>4.8</v>
      </c>
      <c r="F118" s="37">
        <f>F116*E118</f>
        <v>253.87199999999999</v>
      </c>
      <c r="G118" s="32"/>
      <c r="H118" s="244"/>
      <c r="I118" s="33">
        <v>20.329999999999998</v>
      </c>
      <c r="J118" s="73">
        <f>F118*I118</f>
        <v>5161.2177599999995</v>
      </c>
      <c r="K118" s="263">
        <f t="shared" si="8"/>
        <v>5161.2177599999995</v>
      </c>
      <c r="L118" s="1"/>
    </row>
    <row r="119" spans="1:12" s="45" customFormat="1" ht="25.5" hidden="1" customHeight="1">
      <c r="A119" s="288">
        <f>A116+1</f>
        <v>23</v>
      </c>
      <c r="B119" s="61" t="s">
        <v>79</v>
      </c>
      <c r="C119" s="38" t="s">
        <v>29</v>
      </c>
      <c r="D119" s="38" t="s">
        <v>30</v>
      </c>
      <c r="E119" s="102"/>
      <c r="F119" s="97">
        <f>F110</f>
        <v>52.89</v>
      </c>
      <c r="G119" s="32">
        <v>250</v>
      </c>
      <c r="H119" s="235">
        <f>F119*G119</f>
        <v>13222.5</v>
      </c>
      <c r="I119" s="33"/>
      <c r="J119" s="66"/>
      <c r="K119" s="260">
        <f t="shared" si="8"/>
        <v>13222.5</v>
      </c>
      <c r="L119" s="1"/>
    </row>
    <row r="120" spans="1:12" s="44" customFormat="1" ht="15" hidden="1" customHeight="1">
      <c r="A120" s="284"/>
      <c r="B120" s="105" t="s">
        <v>80</v>
      </c>
      <c r="C120" s="38" t="s">
        <v>29</v>
      </c>
      <c r="D120" s="70" t="s">
        <v>81</v>
      </c>
      <c r="E120" s="102">
        <f>(499*0.085*1.02)/1000</f>
        <v>4.3263300000000011E-2</v>
      </c>
      <c r="F120" s="37">
        <f>F119*E120</f>
        <v>2.2881959370000007</v>
      </c>
      <c r="G120" s="32"/>
      <c r="H120" s="244"/>
      <c r="I120" s="33">
        <v>5473.05</v>
      </c>
      <c r="J120" s="73">
        <f t="shared" ref="J120:J126" si="9">F120*I120</f>
        <v>12523.410772997855</v>
      </c>
      <c r="K120" s="263">
        <f t="shared" si="8"/>
        <v>12523.410772997855</v>
      </c>
      <c r="L120" s="1"/>
    </row>
    <row r="121" spans="1:12" s="44" customFormat="1" ht="15" hidden="1" customHeight="1">
      <c r="A121" s="284"/>
      <c r="B121" s="105" t="s">
        <v>82</v>
      </c>
      <c r="C121" s="38" t="s">
        <v>29</v>
      </c>
      <c r="D121" s="70" t="s">
        <v>81</v>
      </c>
      <c r="E121" s="102">
        <f>(1792*0.8*0.085*1.02)/1000</f>
        <v>0.12429312000000003</v>
      </c>
      <c r="F121" s="37">
        <f>F119*E121</f>
        <v>6.5738631168000019</v>
      </c>
      <c r="G121" s="32"/>
      <c r="H121" s="244"/>
      <c r="I121" s="33">
        <v>823.63</v>
      </c>
      <c r="J121" s="73">
        <f t="shared" si="9"/>
        <v>5414.4308788899853</v>
      </c>
      <c r="K121" s="263">
        <f t="shared" si="8"/>
        <v>5414.4308788899853</v>
      </c>
      <c r="L121" s="1"/>
    </row>
    <row r="122" spans="1:12" s="45" customFormat="1" ht="15" hidden="1" customHeight="1">
      <c r="A122" s="284"/>
      <c r="B122" s="105" t="s">
        <v>83</v>
      </c>
      <c r="C122" s="38" t="s">
        <v>29</v>
      </c>
      <c r="D122" s="70" t="s">
        <v>81</v>
      </c>
      <c r="E122" s="102">
        <f>(1792*0.2*0.085*1.02)/1000</f>
        <v>3.1073280000000009E-2</v>
      </c>
      <c r="F122" s="37">
        <f>F119*E122</f>
        <v>1.6434657792000005</v>
      </c>
      <c r="G122" s="32"/>
      <c r="H122" s="110"/>
      <c r="I122" s="33">
        <v>374.49299999999999</v>
      </c>
      <c r="J122" s="73">
        <f t="shared" si="9"/>
        <v>615.46643004994576</v>
      </c>
      <c r="K122" s="263">
        <f t="shared" si="8"/>
        <v>615.46643004994576</v>
      </c>
      <c r="L122" s="1"/>
    </row>
    <row r="123" spans="1:12" s="45" customFormat="1" ht="15" hidden="1" customHeight="1">
      <c r="A123" s="284"/>
      <c r="B123" s="105" t="s">
        <v>84</v>
      </c>
      <c r="C123" s="38" t="s">
        <v>29</v>
      </c>
      <c r="D123" s="70" t="s">
        <v>41</v>
      </c>
      <c r="E123" s="102">
        <v>1.1000000000000001</v>
      </c>
      <c r="F123" s="37">
        <f>F119*E123</f>
        <v>58.179000000000002</v>
      </c>
      <c r="G123" s="32"/>
      <c r="H123" s="110"/>
      <c r="I123" s="33">
        <v>115.91449999999999</v>
      </c>
      <c r="J123" s="73">
        <f t="shared" si="9"/>
        <v>6743.7896954999997</v>
      </c>
      <c r="K123" s="263">
        <f t="shared" si="8"/>
        <v>6743.7896954999997</v>
      </c>
      <c r="L123" s="1"/>
    </row>
    <row r="124" spans="1:12" s="44" customFormat="1" ht="15" hidden="1" customHeight="1">
      <c r="A124" s="284"/>
      <c r="B124" s="105" t="s">
        <v>85</v>
      </c>
      <c r="C124" s="38" t="s">
        <v>29</v>
      </c>
      <c r="D124" s="70" t="s">
        <v>81</v>
      </c>
      <c r="E124" s="102">
        <f>0.21/1000</f>
        <v>2.0999999999999998E-4</v>
      </c>
      <c r="F124" s="37">
        <f>F119*E124</f>
        <v>1.1106899999999999E-2</v>
      </c>
      <c r="G124" s="32"/>
      <c r="H124" s="244"/>
      <c r="I124" s="33">
        <v>56431.8</v>
      </c>
      <c r="J124" s="73">
        <f t="shared" si="9"/>
        <v>626.78235942000003</v>
      </c>
      <c r="K124" s="263">
        <f t="shared" si="8"/>
        <v>626.78235942000003</v>
      </c>
      <c r="L124" s="1"/>
    </row>
    <row r="125" spans="1:12" s="45" customFormat="1" ht="15" hidden="1" customHeight="1">
      <c r="A125" s="284"/>
      <c r="B125" s="105" t="s">
        <v>86</v>
      </c>
      <c r="C125" s="38" t="s">
        <v>29</v>
      </c>
      <c r="D125" s="70" t="s">
        <v>56</v>
      </c>
      <c r="E125" s="102">
        <v>4</v>
      </c>
      <c r="F125" s="37">
        <f>F119*E125</f>
        <v>211.56</v>
      </c>
      <c r="G125" s="32"/>
      <c r="H125" s="110"/>
      <c r="I125" s="33">
        <v>0.67135999999999996</v>
      </c>
      <c r="J125" s="73">
        <f t="shared" si="9"/>
        <v>142.03292159999998</v>
      </c>
      <c r="K125" s="263">
        <f t="shared" si="8"/>
        <v>142.03292159999998</v>
      </c>
      <c r="L125" s="1"/>
    </row>
    <row r="126" spans="1:12" s="44" customFormat="1" ht="15" hidden="1" customHeight="1">
      <c r="A126" s="284"/>
      <c r="B126" s="105" t="s">
        <v>87</v>
      </c>
      <c r="C126" s="38" t="s">
        <v>29</v>
      </c>
      <c r="D126" s="70" t="s">
        <v>58</v>
      </c>
      <c r="E126" s="102"/>
      <c r="F126" s="37">
        <f>F119</f>
        <v>52.89</v>
      </c>
      <c r="G126" s="32"/>
      <c r="H126" s="244"/>
      <c r="I126" s="33">
        <v>7.0979999999999999</v>
      </c>
      <c r="J126" s="73">
        <f t="shared" si="9"/>
        <v>375.41322000000002</v>
      </c>
      <c r="K126" s="263">
        <f t="shared" si="8"/>
        <v>375.41322000000002</v>
      </c>
      <c r="L126" s="1"/>
    </row>
    <row r="127" spans="1:12" s="45" customFormat="1" ht="15" hidden="1" customHeight="1">
      <c r="A127" s="288">
        <f>A119+1</f>
        <v>24</v>
      </c>
      <c r="B127" s="61" t="s">
        <v>91</v>
      </c>
      <c r="C127" s="38" t="s">
        <v>29</v>
      </c>
      <c r="D127" s="38" t="s">
        <v>30</v>
      </c>
      <c r="E127" s="102"/>
      <c r="F127" s="97">
        <f>F110</f>
        <v>52.89</v>
      </c>
      <c r="G127" s="32">
        <v>50</v>
      </c>
      <c r="H127" s="235">
        <f>F127*G127</f>
        <v>2644.5</v>
      </c>
      <c r="I127" s="33"/>
      <c r="J127" s="66"/>
      <c r="K127" s="260">
        <f t="shared" si="8"/>
        <v>2644.5</v>
      </c>
      <c r="L127" s="1"/>
    </row>
    <row r="128" spans="1:12" s="45" customFormat="1" ht="15" hidden="1" customHeight="1">
      <c r="A128" s="284"/>
      <c r="B128" s="105" t="s">
        <v>92</v>
      </c>
      <c r="C128" s="38" t="s">
        <v>29</v>
      </c>
      <c r="D128" s="70" t="s">
        <v>41</v>
      </c>
      <c r="E128" s="102">
        <v>1.1000000000000001</v>
      </c>
      <c r="F128" s="37">
        <f>F127*E128</f>
        <v>58.179000000000002</v>
      </c>
      <c r="G128" s="32"/>
      <c r="H128" s="110"/>
      <c r="I128" s="33">
        <v>14.05</v>
      </c>
      <c r="J128" s="73">
        <f>F128*I128</f>
        <v>817.41495000000009</v>
      </c>
      <c r="K128" s="263">
        <f t="shared" si="8"/>
        <v>817.41495000000009</v>
      </c>
      <c r="L128" s="1"/>
    </row>
    <row r="129" spans="1:12" s="44" customFormat="1" ht="15" hidden="1" customHeight="1">
      <c r="A129" s="284"/>
      <c r="B129" s="105" t="s">
        <v>93</v>
      </c>
      <c r="C129" s="38" t="s">
        <v>29</v>
      </c>
      <c r="D129" s="70" t="s">
        <v>58</v>
      </c>
      <c r="E129" s="102"/>
      <c r="F129" s="37">
        <f>F127*E129</f>
        <v>0</v>
      </c>
      <c r="G129" s="32"/>
      <c r="H129" s="244"/>
      <c r="I129" s="33">
        <v>4.96</v>
      </c>
      <c r="J129" s="73">
        <f>F129*I129</f>
        <v>0</v>
      </c>
      <c r="K129" s="263">
        <f t="shared" si="8"/>
        <v>0</v>
      </c>
      <c r="L129" s="1"/>
    </row>
    <row r="130" spans="1:12" s="45" customFormat="1" ht="15" hidden="1" customHeight="1">
      <c r="A130" s="288">
        <f>A127+1</f>
        <v>25</v>
      </c>
      <c r="B130" s="61" t="s">
        <v>94</v>
      </c>
      <c r="C130" s="38" t="s">
        <v>29</v>
      </c>
      <c r="D130" s="38" t="s">
        <v>30</v>
      </c>
      <c r="E130" s="102"/>
      <c r="F130" s="97">
        <f>F110</f>
        <v>52.89</v>
      </c>
      <c r="G130" s="32">
        <v>350</v>
      </c>
      <c r="H130" s="235">
        <f>F130*G130</f>
        <v>18511.5</v>
      </c>
      <c r="I130" s="33"/>
      <c r="J130" s="66"/>
      <c r="K130" s="260">
        <f t="shared" si="8"/>
        <v>18511.5</v>
      </c>
      <c r="L130" s="1"/>
    </row>
    <row r="131" spans="1:12" s="45" customFormat="1" ht="15" hidden="1" customHeight="1">
      <c r="A131" s="284"/>
      <c r="B131" s="105" t="s">
        <v>95</v>
      </c>
      <c r="C131" s="38" t="s">
        <v>29</v>
      </c>
      <c r="D131" s="70" t="s">
        <v>96</v>
      </c>
      <c r="E131" s="102">
        <f>0.3*1.02</f>
        <v>0.30599999999999999</v>
      </c>
      <c r="F131" s="37">
        <f>F130*E131</f>
        <v>16.184339999999999</v>
      </c>
      <c r="G131" s="32"/>
      <c r="H131" s="110"/>
      <c r="I131" s="33">
        <v>2448.1561999999999</v>
      </c>
      <c r="J131" s="73">
        <f>F131*I131</f>
        <v>39621.792313907994</v>
      </c>
      <c r="K131" s="263">
        <f t="shared" si="8"/>
        <v>39621.792313907994</v>
      </c>
      <c r="L131" s="1"/>
    </row>
    <row r="132" spans="1:12" s="45" customFormat="1" ht="15" hidden="1" customHeight="1">
      <c r="A132" s="284"/>
      <c r="B132" s="105"/>
      <c r="C132" s="75"/>
      <c r="D132" s="70"/>
      <c r="E132" s="64"/>
      <c r="F132" s="37"/>
      <c r="G132" s="32"/>
      <c r="H132" s="110"/>
      <c r="I132" s="33"/>
      <c r="J132" s="73"/>
      <c r="K132" s="263"/>
      <c r="L132" s="1"/>
    </row>
    <row r="133" spans="1:12" s="45" customFormat="1" ht="15" hidden="1" customHeight="1">
      <c r="A133" s="282"/>
      <c r="B133" s="117" t="s">
        <v>97</v>
      </c>
      <c r="C133" s="265"/>
      <c r="D133" s="266"/>
      <c r="E133" s="267"/>
      <c r="F133" s="266"/>
      <c r="G133" s="57"/>
      <c r="H133" s="266"/>
      <c r="I133" s="59"/>
      <c r="J133" s="268"/>
      <c r="K133" s="269"/>
      <c r="L133" s="1"/>
    </row>
    <row r="134" spans="1:12" s="45" customFormat="1" ht="15" customHeight="1">
      <c r="A134" s="288">
        <f>A130+1</f>
        <v>26</v>
      </c>
      <c r="B134" s="61" t="s">
        <v>77</v>
      </c>
      <c r="C134" s="38" t="s">
        <v>23</v>
      </c>
      <c r="D134" s="38" t="s">
        <v>30</v>
      </c>
      <c r="E134" s="102"/>
      <c r="F134" s="97">
        <v>208.22</v>
      </c>
      <c r="G134" s="32">
        <v>670</v>
      </c>
      <c r="H134" s="235">
        <f>F134*G134</f>
        <v>139507.4</v>
      </c>
      <c r="I134" s="33"/>
      <c r="J134" s="66"/>
      <c r="K134" s="260">
        <f t="shared" ref="K134:K154" si="10">H134+J134</f>
        <v>139507.4</v>
      </c>
      <c r="L134" s="1"/>
    </row>
    <row r="135" spans="1:12" s="45" customFormat="1" ht="15" customHeight="1">
      <c r="A135" s="284"/>
      <c r="B135" s="105" t="s">
        <v>24</v>
      </c>
      <c r="C135" s="38" t="s">
        <v>23</v>
      </c>
      <c r="D135" s="70" t="s">
        <v>41</v>
      </c>
      <c r="E135" s="102">
        <v>1.1000000000000001</v>
      </c>
      <c r="F135" s="37">
        <f>F134*E135</f>
        <v>229.04200000000003</v>
      </c>
      <c r="G135" s="32"/>
      <c r="H135" s="110"/>
      <c r="I135" s="33"/>
      <c r="J135" s="73">
        <f>F135*I135</f>
        <v>0</v>
      </c>
      <c r="K135" s="263">
        <f t="shared" si="10"/>
        <v>0</v>
      </c>
      <c r="L135" s="1"/>
    </row>
    <row r="136" spans="1:12" s="44" customFormat="1" ht="15" customHeight="1">
      <c r="A136" s="284"/>
      <c r="B136" s="105" t="s">
        <v>34</v>
      </c>
      <c r="C136" s="38" t="s">
        <v>23</v>
      </c>
      <c r="D136" s="70" t="s">
        <v>21</v>
      </c>
      <c r="E136" s="102">
        <v>0.2</v>
      </c>
      <c r="F136" s="37">
        <f>F134*E136</f>
        <v>41.644000000000005</v>
      </c>
      <c r="G136" s="32"/>
      <c r="H136" s="244"/>
      <c r="I136" s="33"/>
      <c r="J136" s="73">
        <f>F136*I136</f>
        <v>0</v>
      </c>
      <c r="K136" s="263">
        <f t="shared" si="10"/>
        <v>0</v>
      </c>
      <c r="L136" s="1"/>
    </row>
    <row r="137" spans="1:12" s="44" customFormat="1" ht="15" customHeight="1">
      <c r="A137" s="284"/>
      <c r="B137" s="105" t="s">
        <v>71</v>
      </c>
      <c r="C137" s="38" t="s">
        <v>23</v>
      </c>
      <c r="D137" s="70" t="s">
        <v>19</v>
      </c>
      <c r="E137" s="102">
        <v>7.6</v>
      </c>
      <c r="F137" s="37">
        <f>F134*E137</f>
        <v>1582.472</v>
      </c>
      <c r="G137" s="32"/>
      <c r="H137" s="244"/>
      <c r="I137" s="33"/>
      <c r="J137" s="73">
        <f>F137*I137</f>
        <v>0</v>
      </c>
      <c r="K137" s="263">
        <f t="shared" si="10"/>
        <v>0</v>
      </c>
      <c r="L137" s="1"/>
    </row>
    <row r="138" spans="1:12" s="45" customFormat="1" ht="15" customHeight="1">
      <c r="A138" s="284"/>
      <c r="B138" s="105" t="s">
        <v>72</v>
      </c>
      <c r="C138" s="38" t="s">
        <v>23</v>
      </c>
      <c r="D138" s="70" t="s">
        <v>56</v>
      </c>
      <c r="E138" s="102">
        <v>11</v>
      </c>
      <c r="F138" s="37">
        <f>F134*E138</f>
        <v>2290.42</v>
      </c>
      <c r="G138" s="32"/>
      <c r="H138" s="110"/>
      <c r="I138" s="33"/>
      <c r="J138" s="73">
        <f>F138*I138</f>
        <v>0</v>
      </c>
      <c r="K138" s="263">
        <f t="shared" si="10"/>
        <v>0</v>
      </c>
      <c r="L138" s="1"/>
    </row>
    <row r="139" spans="1:12" s="44" customFormat="1" ht="15" customHeight="1">
      <c r="A139" s="284"/>
      <c r="B139" s="105" t="s">
        <v>73</v>
      </c>
      <c r="C139" s="38" t="s">
        <v>23</v>
      </c>
      <c r="D139" s="70" t="s">
        <v>19</v>
      </c>
      <c r="E139" s="102">
        <v>0.4</v>
      </c>
      <c r="F139" s="37">
        <f>F134*E139</f>
        <v>83.288000000000011</v>
      </c>
      <c r="G139" s="32"/>
      <c r="H139" s="244"/>
      <c r="I139" s="33"/>
      <c r="J139" s="73">
        <f>F139*I139</f>
        <v>0</v>
      </c>
      <c r="K139" s="263">
        <f t="shared" si="10"/>
        <v>0</v>
      </c>
      <c r="L139" s="1"/>
    </row>
    <row r="140" spans="1:12" s="45" customFormat="1" ht="25.5" hidden="1" customHeight="1">
      <c r="A140" s="288">
        <f>A134+1</f>
        <v>27</v>
      </c>
      <c r="B140" s="61" t="s">
        <v>183</v>
      </c>
      <c r="C140" s="38" t="s">
        <v>29</v>
      </c>
      <c r="D140" s="38" t="s">
        <v>30</v>
      </c>
      <c r="E140" s="102"/>
      <c r="F140" s="97">
        <f>F134</f>
        <v>208.22</v>
      </c>
      <c r="G140" s="32">
        <v>250</v>
      </c>
      <c r="H140" s="235">
        <f>F140*G140</f>
        <v>52055</v>
      </c>
      <c r="I140" s="33"/>
      <c r="J140" s="66"/>
      <c r="K140" s="260">
        <f t="shared" si="10"/>
        <v>52055</v>
      </c>
      <c r="L140" s="1"/>
    </row>
    <row r="141" spans="1:12" s="44" customFormat="1" ht="15" hidden="1" customHeight="1">
      <c r="A141" s="284"/>
      <c r="B141" s="105" t="s">
        <v>80</v>
      </c>
      <c r="C141" s="38" t="s">
        <v>29</v>
      </c>
      <c r="D141" s="70" t="s">
        <v>81</v>
      </c>
      <c r="E141" s="102">
        <f>(499*0.08*1.02)/1000</f>
        <v>4.0718400000000002E-2</v>
      </c>
      <c r="F141" s="37">
        <f>F140*E141</f>
        <v>8.4783852480000004</v>
      </c>
      <c r="G141" s="32"/>
      <c r="H141" s="244"/>
      <c r="I141" s="33">
        <v>5473.05</v>
      </c>
      <c r="J141" s="73">
        <f t="shared" ref="J141:J147" si="11">F141*I141</f>
        <v>46402.626381566406</v>
      </c>
      <c r="K141" s="263">
        <f t="shared" si="10"/>
        <v>46402.626381566406</v>
      </c>
      <c r="L141" s="1"/>
    </row>
    <row r="142" spans="1:12" s="44" customFormat="1" ht="15" hidden="1" customHeight="1">
      <c r="A142" s="284"/>
      <c r="B142" s="105" t="s">
        <v>82</v>
      </c>
      <c r="C142" s="38" t="s">
        <v>29</v>
      </c>
      <c r="D142" s="70" t="s">
        <v>81</v>
      </c>
      <c r="E142" s="102">
        <f>(1792*0.8*0.08*1.02)/1000</f>
        <v>0.11698176000000002</v>
      </c>
      <c r="F142" s="37">
        <f>F140*E142</f>
        <v>24.357942067200003</v>
      </c>
      <c r="G142" s="32"/>
      <c r="H142" s="244"/>
      <c r="I142" s="33">
        <v>823.63</v>
      </c>
      <c r="J142" s="73">
        <f t="shared" si="11"/>
        <v>20061.93182480794</v>
      </c>
      <c r="K142" s="263">
        <f t="shared" si="10"/>
        <v>20061.93182480794</v>
      </c>
      <c r="L142" s="1"/>
    </row>
    <row r="143" spans="1:12" s="45" customFormat="1" ht="15" hidden="1" customHeight="1">
      <c r="A143" s="283"/>
      <c r="B143" s="105" t="s">
        <v>83</v>
      </c>
      <c r="C143" s="38" t="s">
        <v>29</v>
      </c>
      <c r="D143" s="70" t="s">
        <v>81</v>
      </c>
      <c r="E143" s="102">
        <f>(1792*0.2*0.08*1.02)/1000</f>
        <v>2.9245440000000004E-2</v>
      </c>
      <c r="F143" s="37">
        <f>F140*E143</f>
        <v>6.0894855168000008</v>
      </c>
      <c r="G143" s="32"/>
      <c r="H143" s="110"/>
      <c r="I143" s="33">
        <v>374.49299999999999</v>
      </c>
      <c r="J143" s="73">
        <f t="shared" si="11"/>
        <v>2280.4696996429825</v>
      </c>
      <c r="K143" s="263">
        <f t="shared" si="10"/>
        <v>2280.4696996429825</v>
      </c>
      <c r="L143" s="1"/>
    </row>
    <row r="144" spans="1:12" s="45" customFormat="1" ht="15" hidden="1" customHeight="1">
      <c r="A144" s="284"/>
      <c r="B144" s="105" t="s">
        <v>84</v>
      </c>
      <c r="C144" s="38" t="s">
        <v>29</v>
      </c>
      <c r="D144" s="70" t="s">
        <v>41</v>
      </c>
      <c r="E144" s="102">
        <v>1.1000000000000001</v>
      </c>
      <c r="F144" s="37">
        <f>F140*E144</f>
        <v>229.04200000000003</v>
      </c>
      <c r="G144" s="32"/>
      <c r="H144" s="110"/>
      <c r="I144" s="33">
        <v>115.91449999999999</v>
      </c>
      <c r="J144" s="73">
        <f t="shared" si="11"/>
        <v>26549.288909000003</v>
      </c>
      <c r="K144" s="263">
        <f t="shared" si="10"/>
        <v>26549.288909000003</v>
      </c>
      <c r="L144" s="1"/>
    </row>
    <row r="145" spans="1:12" s="44" customFormat="1" ht="15" hidden="1" customHeight="1">
      <c r="A145" s="284"/>
      <c r="B145" s="105" t="s">
        <v>85</v>
      </c>
      <c r="C145" s="38" t="s">
        <v>29</v>
      </c>
      <c r="D145" s="70" t="s">
        <v>81</v>
      </c>
      <c r="E145" s="102">
        <f>0.21/1000</f>
        <v>2.0999999999999998E-4</v>
      </c>
      <c r="F145" s="37">
        <f>F140*E145</f>
        <v>4.3726199999999993E-2</v>
      </c>
      <c r="G145" s="32"/>
      <c r="H145" s="244"/>
      <c r="I145" s="33">
        <v>56431.8</v>
      </c>
      <c r="J145" s="73">
        <f t="shared" si="11"/>
        <v>2467.5481731599998</v>
      </c>
      <c r="K145" s="263">
        <f t="shared" si="10"/>
        <v>2467.5481731599998</v>
      </c>
      <c r="L145" s="1"/>
    </row>
    <row r="146" spans="1:12" s="45" customFormat="1" ht="15" hidden="1" customHeight="1">
      <c r="A146" s="284"/>
      <c r="B146" s="105" t="s">
        <v>86</v>
      </c>
      <c r="C146" s="38" t="s">
        <v>29</v>
      </c>
      <c r="D146" s="70" t="s">
        <v>56</v>
      </c>
      <c r="E146" s="102">
        <v>4</v>
      </c>
      <c r="F146" s="37">
        <f>F140*E146</f>
        <v>832.88</v>
      </c>
      <c r="G146" s="32"/>
      <c r="H146" s="110"/>
      <c r="I146" s="33">
        <v>0.67135999999999996</v>
      </c>
      <c r="J146" s="73">
        <f t="shared" si="11"/>
        <v>559.16231679999999</v>
      </c>
      <c r="K146" s="263">
        <f t="shared" si="10"/>
        <v>559.16231679999999</v>
      </c>
      <c r="L146" s="1"/>
    </row>
    <row r="147" spans="1:12" s="44" customFormat="1" ht="15" hidden="1" customHeight="1">
      <c r="A147" s="284"/>
      <c r="B147" s="105" t="s">
        <v>87</v>
      </c>
      <c r="C147" s="38" t="s">
        <v>29</v>
      </c>
      <c r="D147" s="70" t="s">
        <v>58</v>
      </c>
      <c r="E147" s="102"/>
      <c r="F147" s="37">
        <f>F140</f>
        <v>208.22</v>
      </c>
      <c r="G147" s="32"/>
      <c r="H147" s="244"/>
      <c r="I147" s="33">
        <v>7.0979999999999999</v>
      </c>
      <c r="J147" s="73">
        <f t="shared" si="11"/>
        <v>1477.9455599999999</v>
      </c>
      <c r="K147" s="263">
        <f t="shared" si="10"/>
        <v>1477.9455599999999</v>
      </c>
      <c r="L147" s="1"/>
    </row>
    <row r="148" spans="1:12" s="45" customFormat="1" ht="25.5" hidden="1" customHeight="1">
      <c r="A148" s="288">
        <f>A140+1</f>
        <v>28</v>
      </c>
      <c r="B148" s="61" t="s">
        <v>98</v>
      </c>
      <c r="C148" s="38" t="s">
        <v>29</v>
      </c>
      <c r="D148" s="38" t="s">
        <v>30</v>
      </c>
      <c r="E148" s="102"/>
      <c r="F148" s="97">
        <f>F134</f>
        <v>208.22</v>
      </c>
      <c r="G148" s="32">
        <v>120</v>
      </c>
      <c r="H148" s="235">
        <f>F148*G148</f>
        <v>24986.400000000001</v>
      </c>
      <c r="I148" s="33"/>
      <c r="J148" s="66"/>
      <c r="K148" s="260">
        <f t="shared" si="10"/>
        <v>24986.400000000001</v>
      </c>
      <c r="L148" s="1"/>
    </row>
    <row r="149" spans="1:12" s="44" customFormat="1" ht="15" hidden="1" customHeight="1">
      <c r="A149" s="284"/>
      <c r="B149" s="105" t="s">
        <v>99</v>
      </c>
      <c r="C149" s="38" t="s">
        <v>29</v>
      </c>
      <c r="D149" s="70" t="s">
        <v>41</v>
      </c>
      <c r="E149" s="102">
        <v>1.1499999999999999</v>
      </c>
      <c r="F149" s="37">
        <f>F148*E149</f>
        <v>239.45299999999997</v>
      </c>
      <c r="G149" s="32"/>
      <c r="H149" s="244"/>
      <c r="I149" s="33">
        <v>161.51</v>
      </c>
      <c r="J149" s="73">
        <f>F149*I149</f>
        <v>38674.054029999992</v>
      </c>
      <c r="K149" s="263">
        <f t="shared" si="10"/>
        <v>38674.054029999992</v>
      </c>
      <c r="L149" s="1"/>
    </row>
    <row r="150" spans="1:12" s="45" customFormat="1" ht="15" hidden="1" customHeight="1">
      <c r="A150" s="284"/>
      <c r="B150" s="105" t="s">
        <v>100</v>
      </c>
      <c r="C150" s="38" t="s">
        <v>29</v>
      </c>
      <c r="D150" s="70" t="s">
        <v>58</v>
      </c>
      <c r="E150" s="102"/>
      <c r="F150" s="37">
        <f>F148</f>
        <v>208.22</v>
      </c>
      <c r="G150" s="32"/>
      <c r="H150" s="110"/>
      <c r="I150" s="33">
        <v>0.90213999999999994</v>
      </c>
      <c r="J150" s="73">
        <f>F150*I150</f>
        <v>187.84359079999999</v>
      </c>
      <c r="K150" s="263">
        <f t="shared" si="10"/>
        <v>187.84359079999999</v>
      </c>
      <c r="L150" s="1"/>
    </row>
    <row r="151" spans="1:12" s="45" customFormat="1" ht="15" hidden="1" customHeight="1">
      <c r="A151" s="288">
        <f>A148+1</f>
        <v>29</v>
      </c>
      <c r="B151" s="61" t="s">
        <v>101</v>
      </c>
      <c r="C151" s="38" t="s">
        <v>29</v>
      </c>
      <c r="D151" s="38" t="s">
        <v>30</v>
      </c>
      <c r="E151" s="102"/>
      <c r="F151" s="97">
        <f>F134</f>
        <v>208.22</v>
      </c>
      <c r="G151" s="32">
        <v>150</v>
      </c>
      <c r="H151" s="235">
        <f>F151*G151</f>
        <v>31233</v>
      </c>
      <c r="I151" s="33"/>
      <c r="J151" s="66"/>
      <c r="K151" s="260">
        <f t="shared" si="10"/>
        <v>31233</v>
      </c>
      <c r="L151" s="1"/>
    </row>
    <row r="152" spans="1:12" s="45" customFormat="1" ht="15" hidden="1" customHeight="1">
      <c r="A152" s="284"/>
      <c r="B152" s="105" t="s">
        <v>102</v>
      </c>
      <c r="C152" s="38" t="s">
        <v>29</v>
      </c>
      <c r="D152" s="70" t="s">
        <v>41</v>
      </c>
      <c r="E152" s="102">
        <f>1.15</f>
        <v>1.1499999999999999</v>
      </c>
      <c r="F152" s="37">
        <f>F151*E152</f>
        <v>239.45299999999997</v>
      </c>
      <c r="G152" s="32"/>
      <c r="H152" s="110"/>
      <c r="I152" s="33">
        <v>38.708099999999995</v>
      </c>
      <c r="J152" s="73">
        <f>F152*I152</f>
        <v>9268.7706692999982</v>
      </c>
      <c r="K152" s="263">
        <f t="shared" si="10"/>
        <v>9268.7706692999982</v>
      </c>
      <c r="L152" s="1"/>
    </row>
    <row r="153" spans="1:12" s="44" customFormat="1" ht="15" hidden="1" customHeight="1">
      <c r="A153" s="284"/>
      <c r="B153" s="105" t="s">
        <v>103</v>
      </c>
      <c r="C153" s="38" t="s">
        <v>29</v>
      </c>
      <c r="D153" s="70" t="s">
        <v>19</v>
      </c>
      <c r="E153" s="102">
        <v>0.3</v>
      </c>
      <c r="F153" s="37">
        <f>F151*E153</f>
        <v>62.465999999999994</v>
      </c>
      <c r="G153" s="32"/>
      <c r="H153" s="244"/>
      <c r="I153" s="33">
        <v>60.6</v>
      </c>
      <c r="J153" s="73">
        <f>F153*I153</f>
        <v>3785.4395999999997</v>
      </c>
      <c r="K153" s="263">
        <f t="shared" si="10"/>
        <v>3785.4395999999997</v>
      </c>
      <c r="L153" s="1"/>
    </row>
    <row r="154" spans="1:12" s="45" customFormat="1" ht="15" hidden="1" customHeight="1">
      <c r="A154" s="288"/>
      <c r="B154" s="105" t="s">
        <v>104</v>
      </c>
      <c r="C154" s="38" t="s">
        <v>29</v>
      </c>
      <c r="D154" s="70" t="s">
        <v>21</v>
      </c>
      <c r="E154" s="64">
        <v>1</v>
      </c>
      <c r="F154" s="37">
        <f>E154*F151</f>
        <v>208.22</v>
      </c>
      <c r="G154" s="32"/>
      <c r="H154" s="110"/>
      <c r="I154" s="33">
        <v>35</v>
      </c>
      <c r="J154" s="73">
        <f>F154*I154</f>
        <v>7287.7</v>
      </c>
      <c r="K154" s="263">
        <f t="shared" si="10"/>
        <v>7287.7</v>
      </c>
      <c r="L154" s="1"/>
    </row>
    <row r="155" spans="1:12" s="45" customFormat="1" ht="15" hidden="1" customHeight="1">
      <c r="A155" s="282"/>
      <c r="B155" s="117" t="s">
        <v>105</v>
      </c>
      <c r="C155" s="265"/>
      <c r="D155" s="266"/>
      <c r="E155" s="267"/>
      <c r="F155" s="266"/>
      <c r="G155" s="57"/>
      <c r="H155" s="266"/>
      <c r="I155" s="59"/>
      <c r="J155" s="268"/>
      <c r="K155" s="269"/>
      <c r="L155" s="1"/>
    </row>
    <row r="156" spans="1:12" s="45" customFormat="1" ht="25.5" customHeight="1">
      <c r="A156" s="288">
        <f>A151+1</f>
        <v>30</v>
      </c>
      <c r="B156" s="61" t="s">
        <v>106</v>
      </c>
      <c r="C156" s="38" t="s">
        <v>23</v>
      </c>
      <c r="D156" s="38" t="s">
        <v>58</v>
      </c>
      <c r="E156" s="64"/>
      <c r="F156" s="97">
        <f>911.9+165.87+62.25</f>
        <v>1140.02</v>
      </c>
      <c r="G156" s="32">
        <v>200</v>
      </c>
      <c r="H156" s="235">
        <f>F156*G156</f>
        <v>228004</v>
      </c>
      <c r="I156" s="33"/>
      <c r="J156" s="66"/>
      <c r="K156" s="260">
        <f>H156+J156</f>
        <v>228004</v>
      </c>
      <c r="L156" s="1"/>
    </row>
    <row r="157" spans="1:12" s="45" customFormat="1" ht="15" customHeight="1">
      <c r="A157" s="284"/>
      <c r="B157" s="105" t="s">
        <v>24</v>
      </c>
      <c r="C157" s="38" t="s">
        <v>23</v>
      </c>
      <c r="D157" s="70" t="s">
        <v>41</v>
      </c>
      <c r="E157" s="64">
        <f>1.1*0.1</f>
        <v>0.11000000000000001</v>
      </c>
      <c r="F157" s="37">
        <f>F156*E157</f>
        <v>125.40220000000001</v>
      </c>
      <c r="G157" s="32"/>
      <c r="H157" s="110"/>
      <c r="I157" s="33"/>
      <c r="J157" s="73">
        <f>F157*I157</f>
        <v>0</v>
      </c>
      <c r="K157" s="263">
        <f>H157+J157</f>
        <v>0</v>
      </c>
      <c r="L157" s="1"/>
    </row>
    <row r="158" spans="1:12" s="44" customFormat="1" ht="15" customHeight="1">
      <c r="A158" s="284"/>
      <c r="B158" s="105" t="s">
        <v>34</v>
      </c>
      <c r="C158" s="38" t="s">
        <v>23</v>
      </c>
      <c r="D158" s="70" t="s">
        <v>21</v>
      </c>
      <c r="E158" s="64">
        <f>0.15*0.1</f>
        <v>1.4999999999999999E-2</v>
      </c>
      <c r="F158" s="37">
        <f>F156*E158</f>
        <v>17.100300000000001</v>
      </c>
      <c r="G158" s="32"/>
      <c r="H158" s="244"/>
      <c r="I158" s="33"/>
      <c r="J158" s="73">
        <f>F158*I158</f>
        <v>0</v>
      </c>
      <c r="K158" s="263">
        <f>H158+J158</f>
        <v>0</v>
      </c>
      <c r="L158" s="1"/>
    </row>
    <row r="159" spans="1:12" s="44" customFormat="1" ht="15" customHeight="1">
      <c r="A159" s="284"/>
      <c r="B159" s="105" t="s">
        <v>71</v>
      </c>
      <c r="C159" s="38" t="s">
        <v>23</v>
      </c>
      <c r="D159" s="70" t="s">
        <v>19</v>
      </c>
      <c r="E159" s="64">
        <f>7.6*0.1</f>
        <v>0.76</v>
      </c>
      <c r="F159" s="37">
        <f>F156*E159</f>
        <v>866.41520000000003</v>
      </c>
      <c r="G159" s="32"/>
      <c r="H159" s="244"/>
      <c r="I159" s="33"/>
      <c r="J159" s="73">
        <f>F159*I159</f>
        <v>0</v>
      </c>
      <c r="K159" s="263">
        <f>H159+J159</f>
        <v>0</v>
      </c>
      <c r="L159" s="1"/>
    </row>
    <row r="160" spans="1:12" s="44" customFormat="1" ht="15" customHeight="1">
      <c r="A160" s="284"/>
      <c r="B160" s="105" t="s">
        <v>73</v>
      </c>
      <c r="C160" s="38" t="s">
        <v>23</v>
      </c>
      <c r="D160" s="70" t="s">
        <v>19</v>
      </c>
      <c r="E160" s="64">
        <f>0.4*0.1</f>
        <v>4.0000000000000008E-2</v>
      </c>
      <c r="F160" s="37">
        <f>F156*E160</f>
        <v>45.600800000000007</v>
      </c>
      <c r="G160" s="32"/>
      <c r="H160" s="244"/>
      <c r="I160" s="33"/>
      <c r="J160" s="73">
        <f>F160*I160</f>
        <v>0</v>
      </c>
      <c r="K160" s="263">
        <f>H160+J160</f>
        <v>0</v>
      </c>
      <c r="L160" s="1"/>
    </row>
    <row r="161" spans="1:12" s="45" customFormat="1" ht="15" hidden="1" customHeight="1">
      <c r="A161" s="289"/>
      <c r="B161" s="76"/>
      <c r="C161" s="77"/>
      <c r="D161" s="76"/>
      <c r="E161" s="106"/>
      <c r="F161" s="107"/>
      <c r="G161" s="32"/>
      <c r="H161" s="81"/>
      <c r="I161" s="33"/>
      <c r="J161" s="82"/>
      <c r="K161" s="264"/>
      <c r="L161" s="1"/>
    </row>
    <row r="162" spans="1:12" s="45" customFormat="1" ht="15" hidden="1" customHeight="1">
      <c r="A162" s="249"/>
      <c r="B162" s="46" t="s">
        <v>107</v>
      </c>
      <c r="C162" s="250"/>
      <c r="D162" s="251"/>
      <c r="E162" s="252"/>
      <c r="F162" s="251"/>
      <c r="G162" s="39"/>
      <c r="H162" s="251"/>
      <c r="I162" s="40"/>
      <c r="J162" s="118"/>
      <c r="K162" s="254"/>
      <c r="L162" s="1"/>
    </row>
    <row r="163" spans="1:12" s="45" customFormat="1" ht="15" hidden="1" customHeight="1">
      <c r="A163" s="255"/>
      <c r="B163" s="24" t="s">
        <v>16</v>
      </c>
      <c r="C163" s="47"/>
      <c r="D163" s="48"/>
      <c r="E163" s="49"/>
      <c r="F163" s="50"/>
      <c r="G163" s="29"/>
      <c r="H163" s="51"/>
      <c r="I163" s="36"/>
      <c r="J163" s="52"/>
      <c r="K163" s="256"/>
      <c r="L163" s="1"/>
    </row>
    <row r="164" spans="1:12" s="45" customFormat="1" ht="25.5" hidden="1" customHeight="1">
      <c r="A164" s="257"/>
      <c r="B164" s="53" t="s">
        <v>108</v>
      </c>
      <c r="C164" s="53"/>
      <c r="D164" s="54"/>
      <c r="E164" s="55"/>
      <c r="F164" s="56"/>
      <c r="G164" s="57"/>
      <c r="H164" s="58"/>
      <c r="I164" s="59"/>
      <c r="J164" s="60"/>
      <c r="K164" s="258"/>
      <c r="L164" s="1"/>
    </row>
    <row r="165" spans="1:12" s="45" customFormat="1" ht="15" hidden="1" customHeight="1">
      <c r="A165" s="259" t="s">
        <v>15</v>
      </c>
      <c r="B165" s="61" t="s">
        <v>28</v>
      </c>
      <c r="C165" s="62" t="s">
        <v>29</v>
      </c>
      <c r="D165" s="63" t="s">
        <v>30</v>
      </c>
      <c r="E165" s="64"/>
      <c r="F165" s="65">
        <f>101.93+119.14+49.73</f>
        <v>270.8</v>
      </c>
      <c r="G165" s="32">
        <v>180</v>
      </c>
      <c r="H165" s="235">
        <f>F165*G165</f>
        <v>48744</v>
      </c>
      <c r="I165" s="33"/>
      <c r="J165" s="66"/>
      <c r="K165" s="260">
        <f>H165+J165</f>
        <v>48744</v>
      </c>
      <c r="L165" s="1"/>
    </row>
    <row r="166" spans="1:12" s="45" customFormat="1" ht="15" hidden="1" customHeight="1">
      <c r="A166" s="259"/>
      <c r="B166" s="41" t="s">
        <v>31</v>
      </c>
      <c r="C166" s="62" t="s">
        <v>29</v>
      </c>
      <c r="D166" s="67" t="s">
        <v>25</v>
      </c>
      <c r="E166" s="64">
        <v>0.02</v>
      </c>
      <c r="F166" s="68">
        <f>E166*F165</f>
        <v>5.4160000000000004</v>
      </c>
      <c r="G166" s="32"/>
      <c r="H166" s="69"/>
      <c r="I166" s="33">
        <v>288.47499999999997</v>
      </c>
      <c r="J166" s="43">
        <f>F166*I166</f>
        <v>1562.3806</v>
      </c>
      <c r="K166" s="261">
        <f>H166+J166</f>
        <v>1562.3806</v>
      </c>
      <c r="L166" s="1"/>
    </row>
    <row r="167" spans="1:12" s="45" customFormat="1" ht="15" hidden="1" customHeight="1">
      <c r="A167" s="262">
        <f>A165+1</f>
        <v>2</v>
      </c>
      <c r="B167" s="61" t="s">
        <v>32</v>
      </c>
      <c r="C167" s="38" t="s">
        <v>20</v>
      </c>
      <c r="D167" s="63" t="s">
        <v>30</v>
      </c>
      <c r="E167" s="64"/>
      <c r="F167" s="65">
        <f>F165</f>
        <v>270.8</v>
      </c>
      <c r="G167" s="32">
        <v>200</v>
      </c>
      <c r="H167" s="235">
        <f>F167*G167</f>
        <v>54160</v>
      </c>
      <c r="I167" s="33"/>
      <c r="J167" s="66"/>
      <c r="K167" s="260">
        <f>H167+J167</f>
        <v>54160</v>
      </c>
      <c r="L167" s="1"/>
    </row>
    <row r="168" spans="1:12" s="44" customFormat="1" ht="25.5" hidden="1" customHeight="1">
      <c r="A168" s="259"/>
      <c r="B168" s="70" t="s">
        <v>33</v>
      </c>
      <c r="C168" s="38" t="s">
        <v>20</v>
      </c>
      <c r="D168" s="71" t="s">
        <v>21</v>
      </c>
      <c r="E168" s="64">
        <v>0.35</v>
      </c>
      <c r="F168" s="72">
        <f>F167*E168</f>
        <v>94.78</v>
      </c>
      <c r="G168" s="32"/>
      <c r="H168" s="236"/>
      <c r="I168" s="33">
        <v>122.50221999999999</v>
      </c>
      <c r="J168" s="73">
        <f>F168*I168</f>
        <v>11610.7604116</v>
      </c>
      <c r="K168" s="263">
        <f>H168+J168</f>
        <v>11610.7604116</v>
      </c>
      <c r="L168" s="1"/>
    </row>
    <row r="169" spans="1:12" s="44" customFormat="1" ht="15" hidden="1" customHeight="1">
      <c r="A169" s="259"/>
      <c r="B169" s="74" t="s">
        <v>34</v>
      </c>
      <c r="C169" s="38" t="s">
        <v>20</v>
      </c>
      <c r="D169" s="71" t="s">
        <v>21</v>
      </c>
      <c r="E169" s="64">
        <v>0.15</v>
      </c>
      <c r="F169" s="72">
        <f>F167*E169</f>
        <v>40.619999999999997</v>
      </c>
      <c r="G169" s="32"/>
      <c r="H169" s="236"/>
      <c r="I169" s="33">
        <v>37.450000000000003</v>
      </c>
      <c r="J169" s="73">
        <f>F169*I169</f>
        <v>1521.2190000000001</v>
      </c>
      <c r="K169" s="263">
        <f>H169+J169</f>
        <v>1521.2190000000001</v>
      </c>
      <c r="L169" s="1"/>
    </row>
    <row r="170" spans="1:12" s="45" customFormat="1" ht="15" hidden="1" customHeight="1">
      <c r="A170" s="257"/>
      <c r="B170" s="76"/>
      <c r="C170" s="77"/>
      <c r="D170" s="78"/>
      <c r="E170" s="79"/>
      <c r="F170" s="80"/>
      <c r="G170" s="32"/>
      <c r="H170" s="81"/>
      <c r="I170" s="33"/>
      <c r="J170" s="82"/>
      <c r="K170" s="264"/>
      <c r="L170" s="1"/>
    </row>
    <row r="171" spans="1:12" s="45" customFormat="1" ht="25.5" hidden="1" customHeight="1">
      <c r="A171" s="257"/>
      <c r="B171" s="53" t="s">
        <v>109</v>
      </c>
      <c r="C171" s="265"/>
      <c r="D171" s="266"/>
      <c r="E171" s="267"/>
      <c r="F171" s="266"/>
      <c r="G171" s="57"/>
      <c r="H171" s="266"/>
      <c r="I171" s="59"/>
      <c r="J171" s="268"/>
      <c r="K171" s="269"/>
      <c r="L171" s="1"/>
    </row>
    <row r="172" spans="1:12" s="45" customFormat="1" ht="15" hidden="1" customHeight="1">
      <c r="A172" s="274">
        <f>A167+1</f>
        <v>3</v>
      </c>
      <c r="B172" s="83" t="s">
        <v>36</v>
      </c>
      <c r="C172" s="19" t="s">
        <v>20</v>
      </c>
      <c r="D172" s="19" t="s">
        <v>30</v>
      </c>
      <c r="E172" s="69"/>
      <c r="F172" s="84">
        <f>998+131.9+103.5+34</f>
        <v>1267.4000000000001</v>
      </c>
      <c r="G172" s="32">
        <v>50</v>
      </c>
      <c r="H172" s="237">
        <f>F172*G172</f>
        <v>63370.000000000007</v>
      </c>
      <c r="I172" s="33"/>
      <c r="J172" s="43"/>
      <c r="K172" s="271">
        <f t="shared" ref="K172:K179" si="12">H172+J172</f>
        <v>63370.000000000007</v>
      </c>
      <c r="L172" s="1"/>
    </row>
    <row r="173" spans="1:12" s="44" customFormat="1" ht="15" hidden="1" customHeight="1">
      <c r="A173" s="272"/>
      <c r="B173" s="85" t="s">
        <v>37</v>
      </c>
      <c r="C173" s="19" t="s">
        <v>20</v>
      </c>
      <c r="D173" s="41" t="s">
        <v>19</v>
      </c>
      <c r="E173" s="21">
        <v>0.15</v>
      </c>
      <c r="F173" s="68">
        <f>E173*F172</f>
        <v>190.11</v>
      </c>
      <c r="G173" s="32"/>
      <c r="H173" s="238"/>
      <c r="I173" s="33">
        <v>37.81</v>
      </c>
      <c r="J173" s="43">
        <f>F173*I173</f>
        <v>7188.0591000000013</v>
      </c>
      <c r="K173" s="273">
        <f t="shared" si="12"/>
        <v>7188.0591000000013</v>
      </c>
      <c r="L173" s="1"/>
    </row>
    <row r="174" spans="1:12" s="45" customFormat="1" ht="15" hidden="1" customHeight="1">
      <c r="A174" s="274">
        <f>A172+1</f>
        <v>4</v>
      </c>
      <c r="B174" s="86" t="s">
        <v>38</v>
      </c>
      <c r="C174" s="69" t="s">
        <v>190</v>
      </c>
      <c r="D174" s="19" t="s">
        <v>30</v>
      </c>
      <c r="E174" s="69"/>
      <c r="F174" s="69">
        <f>F172</f>
        <v>1267.4000000000001</v>
      </c>
      <c r="G174" s="241">
        <v>200</v>
      </c>
      <c r="H174" s="237">
        <f>F174*G174</f>
        <v>253480.00000000003</v>
      </c>
      <c r="I174" s="33"/>
      <c r="J174" s="43"/>
      <c r="K174" s="271">
        <f t="shared" si="12"/>
        <v>253480.00000000003</v>
      </c>
      <c r="L174" s="137"/>
    </row>
    <row r="175" spans="1:12" s="44" customFormat="1" ht="15" hidden="1" customHeight="1">
      <c r="A175" s="275"/>
      <c r="B175" s="87" t="s">
        <v>39</v>
      </c>
      <c r="C175" s="69" t="s">
        <v>190</v>
      </c>
      <c r="D175" s="41" t="s">
        <v>19</v>
      </c>
      <c r="E175" s="21">
        <v>5</v>
      </c>
      <c r="F175" s="34">
        <f>E175*F174</f>
        <v>6337</v>
      </c>
      <c r="G175" s="241"/>
      <c r="H175" s="239"/>
      <c r="I175" s="33">
        <v>12.67</v>
      </c>
      <c r="J175" s="43">
        <f>F175*I175</f>
        <v>80289.789999999994</v>
      </c>
      <c r="K175" s="273">
        <f t="shared" si="12"/>
        <v>80289.789999999994</v>
      </c>
      <c r="L175" s="1"/>
    </row>
    <row r="176" spans="1:12" s="45" customFormat="1" ht="15" hidden="1" customHeight="1" thickBot="1">
      <c r="A176" s="275"/>
      <c r="B176" s="88" t="s">
        <v>40</v>
      </c>
      <c r="C176" s="69" t="s">
        <v>190</v>
      </c>
      <c r="D176" s="88" t="s">
        <v>41</v>
      </c>
      <c r="E176" s="89">
        <v>1.05</v>
      </c>
      <c r="F176" s="34">
        <f>E176*F174</f>
        <v>1330.7700000000002</v>
      </c>
      <c r="G176" s="241"/>
      <c r="H176" s="240"/>
      <c r="I176" s="33">
        <v>629.42999999999995</v>
      </c>
      <c r="J176" s="90">
        <f>F176*I176</f>
        <v>837626.56110000005</v>
      </c>
      <c r="K176" s="261">
        <f t="shared" si="12"/>
        <v>837626.56110000005</v>
      </c>
      <c r="L176" s="1"/>
    </row>
    <row r="177" spans="1:14" s="45" customFormat="1" ht="15" hidden="1" customHeight="1">
      <c r="A177" s="274">
        <f>A174+1</f>
        <v>5</v>
      </c>
      <c r="B177" s="61" t="s">
        <v>32</v>
      </c>
      <c r="C177" s="38" t="s">
        <v>20</v>
      </c>
      <c r="D177" s="38" t="s">
        <v>30</v>
      </c>
      <c r="E177" s="64"/>
      <c r="F177" s="97">
        <f>F172</f>
        <v>1267.4000000000001</v>
      </c>
      <c r="G177" s="241">
        <v>200</v>
      </c>
      <c r="H177" s="235">
        <f>F177*G177</f>
        <v>253480.00000000003</v>
      </c>
      <c r="I177" s="33"/>
      <c r="J177" s="66"/>
      <c r="K177" s="260">
        <f t="shared" si="12"/>
        <v>253480.00000000003</v>
      </c>
      <c r="L177" s="1"/>
    </row>
    <row r="178" spans="1:14" s="44" customFormat="1" ht="15" hidden="1" customHeight="1">
      <c r="A178" s="275"/>
      <c r="B178" s="74" t="s">
        <v>48</v>
      </c>
      <c r="C178" s="38" t="s">
        <v>20</v>
      </c>
      <c r="D178" s="70" t="s">
        <v>21</v>
      </c>
      <c r="E178" s="64">
        <v>0.35</v>
      </c>
      <c r="F178" s="68">
        <f>E178*F177</f>
        <v>443.59000000000003</v>
      </c>
      <c r="G178" s="32"/>
      <c r="H178" s="236"/>
      <c r="I178" s="33">
        <v>122.50221999999999</v>
      </c>
      <c r="J178" s="73">
        <f>F178*I178</f>
        <v>54340.759769800003</v>
      </c>
      <c r="K178" s="263">
        <f t="shared" si="12"/>
        <v>54340.759769800003</v>
      </c>
      <c r="L178" s="1"/>
    </row>
    <row r="179" spans="1:14" s="44" customFormat="1" ht="15" hidden="1" customHeight="1">
      <c r="A179" s="276"/>
      <c r="B179" s="98" t="s">
        <v>37</v>
      </c>
      <c r="C179" s="38" t="s">
        <v>20</v>
      </c>
      <c r="D179" s="41" t="s">
        <v>19</v>
      </c>
      <c r="E179" s="21">
        <v>0.15</v>
      </c>
      <c r="F179" s="68">
        <f>E179*F177</f>
        <v>190.11</v>
      </c>
      <c r="G179" s="32"/>
      <c r="H179" s="238"/>
      <c r="I179" s="33">
        <v>37.81</v>
      </c>
      <c r="J179" s="43">
        <f>F179*I179</f>
        <v>7188.0591000000013</v>
      </c>
      <c r="K179" s="273">
        <f t="shared" si="12"/>
        <v>7188.0591000000013</v>
      </c>
      <c r="L179" s="1"/>
    </row>
    <row r="180" spans="1:14" s="45" customFormat="1" ht="15" hidden="1" customHeight="1">
      <c r="A180" s="278"/>
      <c r="B180" s="98"/>
      <c r="C180" s="20"/>
      <c r="D180" s="41"/>
      <c r="E180" s="21"/>
      <c r="F180" s="68"/>
      <c r="G180" s="32"/>
      <c r="H180" s="43"/>
      <c r="I180" s="33"/>
      <c r="J180" s="43"/>
      <c r="K180" s="273"/>
      <c r="L180" s="1"/>
    </row>
    <row r="181" spans="1:14" s="45" customFormat="1" ht="15" hidden="1" customHeight="1">
      <c r="A181" s="23"/>
      <c r="B181" s="24" t="s">
        <v>22</v>
      </c>
      <c r="C181" s="25"/>
      <c r="D181" s="26"/>
      <c r="E181" s="27"/>
      <c r="F181" s="28"/>
      <c r="G181" s="29"/>
      <c r="H181" s="29" t="str">
        <f>IF(ISBLANK(G181),"",G181*F181)</f>
        <v/>
      </c>
      <c r="I181" s="36"/>
      <c r="J181" s="30" t="str">
        <f>IF(ISBLANK(I181),"",I181*F181)</f>
        <v/>
      </c>
      <c r="K181" s="290"/>
      <c r="L181" s="1"/>
    </row>
    <row r="182" spans="1:14" s="45" customFormat="1" ht="15" hidden="1" customHeight="1">
      <c r="A182" s="257"/>
      <c r="B182" s="53" t="s">
        <v>110</v>
      </c>
      <c r="C182" s="265"/>
      <c r="D182" s="266"/>
      <c r="E182" s="267"/>
      <c r="F182" s="266"/>
      <c r="G182" s="57"/>
      <c r="H182" s="266"/>
      <c r="I182" s="59"/>
      <c r="J182" s="268"/>
      <c r="K182" s="285"/>
      <c r="L182" s="1"/>
      <c r="M182" s="119"/>
      <c r="N182" s="119"/>
    </row>
    <row r="183" spans="1:14" s="45" customFormat="1" ht="15" hidden="1" customHeight="1">
      <c r="A183" s="262">
        <f>A177+1</f>
        <v>6</v>
      </c>
      <c r="B183" s="61" t="s">
        <v>52</v>
      </c>
      <c r="C183" s="38" t="s">
        <v>20</v>
      </c>
      <c r="D183" s="38" t="s">
        <v>30</v>
      </c>
      <c r="E183" s="102"/>
      <c r="F183" s="97">
        <f>354.7</f>
        <v>354.7</v>
      </c>
      <c r="G183" s="32">
        <v>250</v>
      </c>
      <c r="H183" s="235">
        <f>F183*G183</f>
        <v>88675</v>
      </c>
      <c r="I183" s="33"/>
      <c r="J183" s="66"/>
      <c r="K183" s="260">
        <f t="shared" ref="K183:K191" si="13">H183+J183</f>
        <v>88675</v>
      </c>
      <c r="L183" s="1"/>
    </row>
    <row r="184" spans="1:14" s="44" customFormat="1" ht="15" hidden="1" customHeight="1">
      <c r="A184" s="279"/>
      <c r="B184" s="74" t="s">
        <v>53</v>
      </c>
      <c r="C184" s="38" t="s">
        <v>20</v>
      </c>
      <c r="D184" s="70" t="s">
        <v>19</v>
      </c>
      <c r="E184" s="102">
        <v>1.8</v>
      </c>
      <c r="F184" s="68">
        <f>E184*F183</f>
        <v>638.46</v>
      </c>
      <c r="G184" s="32"/>
      <c r="H184" s="236"/>
      <c r="I184" s="33">
        <v>8.7200000000000006</v>
      </c>
      <c r="J184" s="73">
        <f>F184*I184</f>
        <v>5567.3712000000005</v>
      </c>
      <c r="K184" s="263">
        <f t="shared" si="13"/>
        <v>5567.3712000000005</v>
      </c>
      <c r="L184" s="1"/>
    </row>
    <row r="185" spans="1:14" s="44" customFormat="1" ht="15" hidden="1" customHeight="1">
      <c r="A185" s="279"/>
      <c r="B185" s="74" t="s">
        <v>54</v>
      </c>
      <c r="C185" s="38" t="s">
        <v>20</v>
      </c>
      <c r="D185" s="70" t="s">
        <v>19</v>
      </c>
      <c r="E185" s="102">
        <v>1.8</v>
      </c>
      <c r="F185" s="68">
        <f>E185*F183</f>
        <v>638.46</v>
      </c>
      <c r="G185" s="32"/>
      <c r="H185" s="236"/>
      <c r="I185" s="33">
        <v>18.690000000000001</v>
      </c>
      <c r="J185" s="73">
        <f>F185*I185</f>
        <v>11932.817400000002</v>
      </c>
      <c r="K185" s="263">
        <f t="shared" si="13"/>
        <v>11932.817400000002</v>
      </c>
      <c r="L185" s="1"/>
    </row>
    <row r="186" spans="1:14" s="44" customFormat="1" ht="15" hidden="1" customHeight="1">
      <c r="A186" s="279"/>
      <c r="B186" s="74" t="s">
        <v>34</v>
      </c>
      <c r="C186" s="38" t="s">
        <v>20</v>
      </c>
      <c r="D186" s="70" t="s">
        <v>21</v>
      </c>
      <c r="E186" s="102">
        <v>0.15</v>
      </c>
      <c r="F186" s="68">
        <f>E186*F183</f>
        <v>53.204999999999998</v>
      </c>
      <c r="G186" s="32"/>
      <c r="H186" s="236"/>
      <c r="I186" s="33">
        <v>37.450000000000003</v>
      </c>
      <c r="J186" s="73">
        <f>F186*I186</f>
        <v>1992.5272500000001</v>
      </c>
      <c r="K186" s="263">
        <f t="shared" si="13"/>
        <v>1992.5272500000001</v>
      </c>
      <c r="L186" s="1"/>
    </row>
    <row r="187" spans="1:14" s="44" customFormat="1" ht="15" hidden="1" customHeight="1">
      <c r="A187" s="279"/>
      <c r="B187" s="74" t="s">
        <v>55</v>
      </c>
      <c r="C187" s="38" t="s">
        <v>20</v>
      </c>
      <c r="D187" s="70" t="s">
        <v>56</v>
      </c>
      <c r="E187" s="102">
        <v>0.1</v>
      </c>
      <c r="F187" s="68">
        <f>E187*F183</f>
        <v>35.47</v>
      </c>
      <c r="G187" s="32"/>
      <c r="H187" s="236"/>
      <c r="I187" s="33">
        <v>19.260000000000002</v>
      </c>
      <c r="J187" s="73">
        <f>F187*I187</f>
        <v>683.15219999999999</v>
      </c>
      <c r="K187" s="263">
        <f t="shared" si="13"/>
        <v>683.15219999999999</v>
      </c>
      <c r="L187" s="1"/>
    </row>
    <row r="188" spans="1:14" s="44" customFormat="1" ht="15" hidden="1" customHeight="1">
      <c r="A188" s="279"/>
      <c r="B188" s="74" t="s">
        <v>57</v>
      </c>
      <c r="C188" s="38" t="s">
        <v>20</v>
      </c>
      <c r="D188" s="70" t="s">
        <v>58</v>
      </c>
      <c r="E188" s="102">
        <v>1.1000000000000001</v>
      </c>
      <c r="F188" s="68">
        <f>E188*F183</f>
        <v>390.17</v>
      </c>
      <c r="G188" s="32"/>
      <c r="H188" s="236"/>
      <c r="I188" s="33">
        <v>3.1240000000000001</v>
      </c>
      <c r="J188" s="73">
        <f>F188*I188</f>
        <v>1218.8910800000001</v>
      </c>
      <c r="K188" s="263">
        <f t="shared" si="13"/>
        <v>1218.8910800000001</v>
      </c>
      <c r="L188" s="1"/>
    </row>
    <row r="189" spans="1:14" s="45" customFormat="1" ht="15" hidden="1" customHeight="1">
      <c r="A189" s="280">
        <f>A183+1</f>
        <v>7</v>
      </c>
      <c r="B189" s="61" t="s">
        <v>59</v>
      </c>
      <c r="C189" s="38" t="s">
        <v>20</v>
      </c>
      <c r="D189" s="38" t="s">
        <v>30</v>
      </c>
      <c r="E189" s="102"/>
      <c r="F189" s="97">
        <f>F183</f>
        <v>354.7</v>
      </c>
      <c r="G189" s="32">
        <v>200</v>
      </c>
      <c r="H189" s="235">
        <f>F189*G189</f>
        <v>70940</v>
      </c>
      <c r="I189" s="33"/>
      <c r="J189" s="66"/>
      <c r="K189" s="260">
        <f t="shared" si="13"/>
        <v>70940</v>
      </c>
      <c r="L189" s="1"/>
    </row>
    <row r="190" spans="1:14" s="44" customFormat="1" ht="25.5" hidden="1" customHeight="1">
      <c r="A190" s="279"/>
      <c r="B190" s="103" t="s">
        <v>60</v>
      </c>
      <c r="C190" s="38" t="s">
        <v>20</v>
      </c>
      <c r="D190" s="70" t="s">
        <v>21</v>
      </c>
      <c r="E190" s="104">
        <v>0.35</v>
      </c>
      <c r="F190" s="68">
        <f>E190*F189</f>
        <v>124.14499999999998</v>
      </c>
      <c r="G190" s="32"/>
      <c r="H190" s="236"/>
      <c r="I190" s="33">
        <v>122.50221999999999</v>
      </c>
      <c r="J190" s="73">
        <f>F190*I190</f>
        <v>15208.038101899998</v>
      </c>
      <c r="K190" s="263">
        <f t="shared" si="13"/>
        <v>15208.038101899998</v>
      </c>
      <c r="L190" s="1"/>
    </row>
    <row r="191" spans="1:14" s="44" customFormat="1" ht="15" hidden="1" customHeight="1">
      <c r="A191" s="279"/>
      <c r="B191" s="105" t="s">
        <v>34</v>
      </c>
      <c r="C191" s="38" t="s">
        <v>20</v>
      </c>
      <c r="D191" s="70" t="s">
        <v>21</v>
      </c>
      <c r="E191" s="102">
        <v>0.15</v>
      </c>
      <c r="F191" s="68">
        <f>E191*F189</f>
        <v>53.204999999999998</v>
      </c>
      <c r="G191" s="32"/>
      <c r="H191" s="236"/>
      <c r="I191" s="33">
        <v>37.450000000000003</v>
      </c>
      <c r="J191" s="73">
        <f>F191*I191</f>
        <v>1992.5272500000001</v>
      </c>
      <c r="K191" s="263">
        <f t="shared" si="13"/>
        <v>1992.5272500000001</v>
      </c>
      <c r="L191" s="1"/>
    </row>
    <row r="192" spans="1:14" s="45" customFormat="1" ht="15" hidden="1" customHeight="1">
      <c r="A192" s="281"/>
      <c r="B192" s="76"/>
      <c r="C192" s="77"/>
      <c r="D192" s="76"/>
      <c r="E192" s="106"/>
      <c r="F192" s="107"/>
      <c r="G192" s="32"/>
      <c r="H192" s="81"/>
      <c r="I192" s="33"/>
      <c r="J192" s="82"/>
      <c r="K192" s="264"/>
      <c r="L192" s="1"/>
    </row>
    <row r="193" spans="1:12" s="45" customFormat="1" ht="15" hidden="1" customHeight="1">
      <c r="A193" s="257"/>
      <c r="B193" s="53" t="s">
        <v>111</v>
      </c>
      <c r="C193" s="53"/>
      <c r="D193" s="54"/>
      <c r="E193" s="55"/>
      <c r="F193" s="56"/>
      <c r="G193" s="57"/>
      <c r="H193" s="58"/>
      <c r="I193" s="59"/>
      <c r="J193" s="60"/>
      <c r="K193" s="258"/>
      <c r="L193" s="1"/>
    </row>
    <row r="194" spans="1:12" s="45" customFormat="1" ht="15" hidden="1" customHeight="1">
      <c r="A194" s="277">
        <f>A189+1</f>
        <v>8</v>
      </c>
      <c r="B194" s="61" t="s">
        <v>188</v>
      </c>
      <c r="C194" s="62" t="s">
        <v>29</v>
      </c>
      <c r="D194" s="63" t="s">
        <v>30</v>
      </c>
      <c r="E194" s="64"/>
      <c r="F194" s="65">
        <f>124.2+350.09</f>
        <v>474.28999999999996</v>
      </c>
      <c r="G194" s="32">
        <v>180</v>
      </c>
      <c r="H194" s="235">
        <f>F194*G194</f>
        <v>85372.2</v>
      </c>
      <c r="I194" s="33"/>
      <c r="J194" s="66"/>
      <c r="K194" s="260">
        <f>H194+J194</f>
        <v>85372.2</v>
      </c>
      <c r="L194" s="1"/>
    </row>
    <row r="195" spans="1:12" s="45" customFormat="1" ht="15" hidden="1" customHeight="1">
      <c r="A195" s="259"/>
      <c r="B195" s="41" t="s">
        <v>31</v>
      </c>
      <c r="C195" s="62" t="s">
        <v>29</v>
      </c>
      <c r="D195" s="67" t="s">
        <v>25</v>
      </c>
      <c r="E195" s="64">
        <v>0.02</v>
      </c>
      <c r="F195" s="68">
        <f>E195*F194</f>
        <v>9.4857999999999993</v>
      </c>
      <c r="G195" s="32"/>
      <c r="H195" s="69"/>
      <c r="I195" s="33">
        <v>288.47499999999997</v>
      </c>
      <c r="J195" s="43">
        <f>F195*I195</f>
        <v>2736.4161549999994</v>
      </c>
      <c r="K195" s="261">
        <f>H195+J195</f>
        <v>2736.4161549999994</v>
      </c>
      <c r="L195" s="1"/>
    </row>
    <row r="196" spans="1:12" s="45" customFormat="1" ht="15" hidden="1" customHeight="1">
      <c r="A196" s="262">
        <f>A194+1</f>
        <v>9</v>
      </c>
      <c r="B196" s="61" t="s">
        <v>59</v>
      </c>
      <c r="C196" s="38" t="s">
        <v>20</v>
      </c>
      <c r="D196" s="63" t="s">
        <v>30</v>
      </c>
      <c r="E196" s="64"/>
      <c r="F196" s="65">
        <f>F194</f>
        <v>474.28999999999996</v>
      </c>
      <c r="G196" s="241">
        <v>200</v>
      </c>
      <c r="H196" s="235">
        <f>F196*G196</f>
        <v>94858</v>
      </c>
      <c r="I196" s="33"/>
      <c r="J196" s="66"/>
      <c r="K196" s="260">
        <f>H196+J196</f>
        <v>94858</v>
      </c>
      <c r="L196" s="1"/>
    </row>
    <row r="197" spans="1:12" s="44" customFormat="1" ht="25.5" hidden="1" customHeight="1">
      <c r="A197" s="259"/>
      <c r="B197" s="70" t="s">
        <v>33</v>
      </c>
      <c r="C197" s="38" t="s">
        <v>20</v>
      </c>
      <c r="D197" s="71" t="s">
        <v>21</v>
      </c>
      <c r="E197" s="64">
        <v>0.35</v>
      </c>
      <c r="F197" s="72">
        <f>F196*E197</f>
        <v>166.00149999999996</v>
      </c>
      <c r="G197" s="32"/>
      <c r="H197" s="236"/>
      <c r="I197" s="33">
        <v>122.50221999999999</v>
      </c>
      <c r="J197" s="73">
        <f>F197*I197</f>
        <v>20335.552273329995</v>
      </c>
      <c r="K197" s="263">
        <f>H197+J197</f>
        <v>20335.552273329995</v>
      </c>
      <c r="L197" s="1"/>
    </row>
    <row r="198" spans="1:12" s="44" customFormat="1" ht="15" hidden="1" customHeight="1">
      <c r="A198" s="259"/>
      <c r="B198" s="74" t="s">
        <v>34</v>
      </c>
      <c r="C198" s="38" t="s">
        <v>20</v>
      </c>
      <c r="D198" s="71" t="s">
        <v>21</v>
      </c>
      <c r="E198" s="64">
        <v>0.15</v>
      </c>
      <c r="F198" s="72">
        <f>F196*E198</f>
        <v>71.143499999999989</v>
      </c>
      <c r="G198" s="32"/>
      <c r="H198" s="236"/>
      <c r="I198" s="33">
        <v>37.450000000000003</v>
      </c>
      <c r="J198" s="73">
        <f>F198*I198</f>
        <v>2664.324075</v>
      </c>
      <c r="K198" s="263">
        <f>H198+J198</f>
        <v>2664.324075</v>
      </c>
      <c r="L198" s="1"/>
    </row>
    <row r="199" spans="1:12" s="45" customFormat="1" ht="15" hidden="1" customHeight="1">
      <c r="A199" s="257"/>
      <c r="B199" s="76"/>
      <c r="C199" s="77"/>
      <c r="D199" s="78"/>
      <c r="E199" s="79"/>
      <c r="F199" s="80"/>
      <c r="G199" s="32"/>
      <c r="H199" s="81"/>
      <c r="I199" s="33"/>
      <c r="J199" s="82"/>
      <c r="K199" s="264"/>
      <c r="L199" s="1"/>
    </row>
    <row r="200" spans="1:12" s="45" customFormat="1" ht="15" hidden="1" customHeight="1">
      <c r="A200" s="282"/>
      <c r="B200" s="53" t="s">
        <v>62</v>
      </c>
      <c r="C200" s="53"/>
      <c r="D200" s="54"/>
      <c r="E200" s="108"/>
      <c r="F200" s="56"/>
      <c r="G200" s="57"/>
      <c r="H200" s="58"/>
      <c r="I200" s="59"/>
      <c r="J200" s="60"/>
      <c r="K200" s="258"/>
      <c r="L200" s="1"/>
    </row>
    <row r="201" spans="1:12" s="45" customFormat="1" ht="15" hidden="1" customHeight="1">
      <c r="A201" s="262">
        <f>A196+1</f>
        <v>10</v>
      </c>
      <c r="B201" s="61" t="s">
        <v>63</v>
      </c>
      <c r="C201" s="38" t="s">
        <v>17</v>
      </c>
      <c r="D201" s="38" t="s">
        <v>30</v>
      </c>
      <c r="E201" s="102"/>
      <c r="F201" s="97">
        <v>180.38</v>
      </c>
      <c r="G201" s="32">
        <v>250</v>
      </c>
      <c r="H201" s="235">
        <f>F201*G201</f>
        <v>45095</v>
      </c>
      <c r="I201" s="33"/>
      <c r="J201" s="66"/>
      <c r="K201" s="260">
        <f t="shared" ref="K201:K212" si="14">H201+J201</f>
        <v>45095</v>
      </c>
      <c r="L201" s="1"/>
    </row>
    <row r="202" spans="1:12" s="44" customFormat="1" ht="15" hidden="1" customHeight="1">
      <c r="A202" s="259"/>
      <c r="B202" s="103" t="s">
        <v>64</v>
      </c>
      <c r="C202" s="38" t="s">
        <v>17</v>
      </c>
      <c r="D202" s="70" t="s">
        <v>56</v>
      </c>
      <c r="E202" s="102">
        <v>0.4</v>
      </c>
      <c r="F202" s="37">
        <f>F201*E202</f>
        <v>72.152000000000001</v>
      </c>
      <c r="G202" s="32"/>
      <c r="H202" s="244"/>
      <c r="I202" s="33">
        <v>16.05</v>
      </c>
      <c r="J202" s="73">
        <f>F202*I202</f>
        <v>1158.0396000000001</v>
      </c>
      <c r="K202" s="263">
        <f t="shared" si="14"/>
        <v>1158.0396000000001</v>
      </c>
      <c r="L202" s="1"/>
    </row>
    <row r="203" spans="1:12" s="44" customFormat="1" ht="15" hidden="1" customHeight="1">
      <c r="A203" s="283"/>
      <c r="B203" s="103" t="s">
        <v>65</v>
      </c>
      <c r="C203" s="38" t="s">
        <v>17</v>
      </c>
      <c r="D203" s="70" t="s">
        <v>56</v>
      </c>
      <c r="E203" s="102">
        <v>0.4</v>
      </c>
      <c r="F203" s="37">
        <f>F201*E203</f>
        <v>72.152000000000001</v>
      </c>
      <c r="G203" s="32"/>
      <c r="H203" s="244"/>
      <c r="I203" s="33">
        <v>16.77</v>
      </c>
      <c r="J203" s="73">
        <f>F203*I203</f>
        <v>1209.9890399999999</v>
      </c>
      <c r="K203" s="263">
        <f t="shared" si="14"/>
        <v>1209.9890399999999</v>
      </c>
      <c r="L203" s="1"/>
    </row>
    <row r="204" spans="1:12" s="44" customFormat="1" ht="15" hidden="1" customHeight="1">
      <c r="A204" s="279"/>
      <c r="B204" s="103" t="s">
        <v>66</v>
      </c>
      <c r="C204" s="38" t="s">
        <v>17</v>
      </c>
      <c r="D204" s="70" t="s">
        <v>19</v>
      </c>
      <c r="E204" s="102">
        <v>25</v>
      </c>
      <c r="F204" s="37">
        <f>F201*E204</f>
        <v>4509.5</v>
      </c>
      <c r="G204" s="32"/>
      <c r="H204" s="244"/>
      <c r="I204" s="33">
        <v>4.9960000000000004</v>
      </c>
      <c r="J204" s="73">
        <f>F204*I204</f>
        <v>22529.462000000003</v>
      </c>
      <c r="K204" s="263">
        <f t="shared" si="14"/>
        <v>22529.462000000003</v>
      </c>
      <c r="L204" s="1"/>
    </row>
    <row r="205" spans="1:12" s="44" customFormat="1" ht="15" hidden="1" customHeight="1">
      <c r="A205" s="279"/>
      <c r="B205" s="103" t="s">
        <v>67</v>
      </c>
      <c r="C205" s="38" t="s">
        <v>17</v>
      </c>
      <c r="D205" s="70" t="s">
        <v>19</v>
      </c>
      <c r="E205" s="102">
        <v>0.3</v>
      </c>
      <c r="F205" s="37">
        <f>F201*E205</f>
        <v>54.113999999999997</v>
      </c>
      <c r="G205" s="32"/>
      <c r="H205" s="244"/>
      <c r="I205" s="33">
        <v>70.739999999999995</v>
      </c>
      <c r="J205" s="73">
        <f>F205*I205</f>
        <v>3828.0243599999994</v>
      </c>
      <c r="K205" s="263">
        <f t="shared" si="14"/>
        <v>3828.0243599999994</v>
      </c>
      <c r="L205" s="1"/>
    </row>
    <row r="206" spans="1:12" s="44" customFormat="1" ht="15" hidden="1" customHeight="1" thickBot="1">
      <c r="A206" s="279"/>
      <c r="B206" s="103" t="s">
        <v>68</v>
      </c>
      <c r="C206" s="38" t="s">
        <v>17</v>
      </c>
      <c r="D206" s="70" t="s">
        <v>41</v>
      </c>
      <c r="E206" s="102">
        <v>0.1</v>
      </c>
      <c r="F206" s="37">
        <f>F201*E206</f>
        <v>18.038</v>
      </c>
      <c r="G206" s="32"/>
      <c r="H206" s="244"/>
      <c r="I206" s="33">
        <v>19.170000000000002</v>
      </c>
      <c r="J206" s="73">
        <f>F206*I206</f>
        <v>345.78846000000004</v>
      </c>
      <c r="K206" s="263">
        <f t="shared" si="14"/>
        <v>345.78846000000004</v>
      </c>
      <c r="L206" s="1"/>
    </row>
    <row r="207" spans="1:12" s="45" customFormat="1" ht="15" customHeight="1">
      <c r="A207" s="277">
        <f>A201+1</f>
        <v>11</v>
      </c>
      <c r="B207" s="61" t="s">
        <v>69</v>
      </c>
      <c r="C207" s="38" t="s">
        <v>23</v>
      </c>
      <c r="D207" s="38" t="s">
        <v>30</v>
      </c>
      <c r="E207" s="109"/>
      <c r="F207" s="97">
        <f>F201</f>
        <v>180.38</v>
      </c>
      <c r="G207" s="32">
        <v>1000</v>
      </c>
      <c r="H207" s="235">
        <f>F207*G207</f>
        <v>180380</v>
      </c>
      <c r="I207" s="33"/>
      <c r="J207" s="66"/>
      <c r="K207" s="260">
        <f t="shared" si="14"/>
        <v>180380</v>
      </c>
      <c r="L207" s="1"/>
    </row>
    <row r="208" spans="1:12" s="45" customFormat="1" ht="15" customHeight="1">
      <c r="A208" s="279"/>
      <c r="B208" s="105" t="s">
        <v>70</v>
      </c>
      <c r="C208" s="38" t="s">
        <v>23</v>
      </c>
      <c r="D208" s="70" t="s">
        <v>41</v>
      </c>
      <c r="E208" s="109">
        <v>1.1000000000000001</v>
      </c>
      <c r="F208" s="37">
        <f>F207*E208</f>
        <v>198.41800000000001</v>
      </c>
      <c r="G208" s="32"/>
      <c r="H208" s="110"/>
      <c r="I208" s="33"/>
      <c r="J208" s="73">
        <f>F208*I208</f>
        <v>0</v>
      </c>
      <c r="K208" s="263">
        <f t="shared" si="14"/>
        <v>0</v>
      </c>
      <c r="L208" s="1"/>
    </row>
    <row r="209" spans="1:12" s="44" customFormat="1" ht="15" customHeight="1">
      <c r="A209" s="279"/>
      <c r="B209" s="105" t="s">
        <v>34</v>
      </c>
      <c r="C209" s="38" t="s">
        <v>23</v>
      </c>
      <c r="D209" s="70" t="s">
        <v>21</v>
      </c>
      <c r="E209" s="109">
        <v>0.15</v>
      </c>
      <c r="F209" s="37">
        <f>F207*E209</f>
        <v>27.056999999999999</v>
      </c>
      <c r="G209" s="32"/>
      <c r="H209" s="244"/>
      <c r="I209" s="33"/>
      <c r="J209" s="73">
        <f>F209*I209</f>
        <v>0</v>
      </c>
      <c r="K209" s="263">
        <f t="shared" si="14"/>
        <v>0</v>
      </c>
      <c r="L209" s="1"/>
    </row>
    <row r="210" spans="1:12" s="44" customFormat="1" ht="15" customHeight="1">
      <c r="A210" s="279"/>
      <c r="B210" s="105" t="s">
        <v>71</v>
      </c>
      <c r="C210" s="38" t="s">
        <v>23</v>
      </c>
      <c r="D210" s="70" t="s">
        <v>19</v>
      </c>
      <c r="E210" s="109">
        <v>7.6</v>
      </c>
      <c r="F210" s="37">
        <f>F207*E210</f>
        <v>1370.8879999999999</v>
      </c>
      <c r="G210" s="32"/>
      <c r="H210" s="244"/>
      <c r="I210" s="33"/>
      <c r="J210" s="73">
        <f>F210*I210</f>
        <v>0</v>
      </c>
      <c r="K210" s="263">
        <f t="shared" si="14"/>
        <v>0</v>
      </c>
      <c r="L210" s="1"/>
    </row>
    <row r="211" spans="1:12" s="45" customFormat="1" ht="15" customHeight="1">
      <c r="A211" s="279"/>
      <c r="B211" s="105" t="s">
        <v>72</v>
      </c>
      <c r="C211" s="38" t="s">
        <v>23</v>
      </c>
      <c r="D211" s="70" t="s">
        <v>56</v>
      </c>
      <c r="E211" s="109">
        <v>11</v>
      </c>
      <c r="F211" s="37">
        <f>F207*E211</f>
        <v>1984.1799999999998</v>
      </c>
      <c r="G211" s="32"/>
      <c r="H211" s="110"/>
      <c r="I211" s="33"/>
      <c r="J211" s="73">
        <f>F211*I211</f>
        <v>0</v>
      </c>
      <c r="K211" s="263">
        <f t="shared" si="14"/>
        <v>0</v>
      </c>
      <c r="L211" s="1"/>
    </row>
    <row r="212" spans="1:12" s="44" customFormat="1" ht="15" customHeight="1">
      <c r="A212" s="279"/>
      <c r="B212" s="105" t="s">
        <v>73</v>
      </c>
      <c r="C212" s="38" t="s">
        <v>23</v>
      </c>
      <c r="D212" s="70" t="s">
        <v>19</v>
      </c>
      <c r="E212" s="109">
        <v>0.4</v>
      </c>
      <c r="F212" s="37">
        <f>F207*E212</f>
        <v>72.152000000000001</v>
      </c>
      <c r="G212" s="32"/>
      <c r="H212" s="244"/>
      <c r="I212" s="33"/>
      <c r="J212" s="73">
        <f>F212*I212</f>
        <v>0</v>
      </c>
      <c r="K212" s="263">
        <f t="shared" si="14"/>
        <v>0</v>
      </c>
      <c r="L212" s="1"/>
    </row>
    <row r="213" spans="1:12" s="45" customFormat="1" ht="15" hidden="1" customHeight="1">
      <c r="A213" s="281"/>
      <c r="B213" s="76"/>
      <c r="C213" s="77"/>
      <c r="D213" s="76"/>
      <c r="E213" s="106"/>
      <c r="F213" s="107"/>
      <c r="G213" s="32"/>
      <c r="H213" s="81"/>
      <c r="I213" s="33"/>
      <c r="J213" s="82"/>
      <c r="K213" s="264"/>
      <c r="L213" s="1"/>
    </row>
    <row r="214" spans="1:12" s="45" customFormat="1" ht="15" hidden="1" customHeight="1">
      <c r="A214" s="282"/>
      <c r="B214" s="53" t="s">
        <v>112</v>
      </c>
      <c r="C214" s="53"/>
      <c r="D214" s="54"/>
      <c r="E214" s="108"/>
      <c r="F214" s="56"/>
      <c r="G214" s="57"/>
      <c r="H214" s="58"/>
      <c r="I214" s="59"/>
      <c r="J214" s="60"/>
      <c r="K214" s="258"/>
      <c r="L214" s="1"/>
    </row>
    <row r="215" spans="1:12" s="45" customFormat="1" ht="15" hidden="1" customHeight="1">
      <c r="A215" s="277">
        <f>A207+1</f>
        <v>12</v>
      </c>
      <c r="B215" s="61" t="s">
        <v>52</v>
      </c>
      <c r="C215" s="38" t="s">
        <v>20</v>
      </c>
      <c r="D215" s="38" t="s">
        <v>30</v>
      </c>
      <c r="E215" s="109"/>
      <c r="F215" s="97">
        <f>87.14+300+330.1</f>
        <v>717.24</v>
      </c>
      <c r="G215" s="32">
        <v>250</v>
      </c>
      <c r="H215" s="235">
        <f>F215*G215</f>
        <v>179310</v>
      </c>
      <c r="I215" s="33"/>
      <c r="J215" s="66"/>
      <c r="K215" s="260">
        <f t="shared" ref="K215:K223" si="15">H215+J215</f>
        <v>179310</v>
      </c>
      <c r="L215" s="1"/>
    </row>
    <row r="216" spans="1:12" s="44" customFormat="1" ht="15" hidden="1" customHeight="1">
      <c r="A216" s="279"/>
      <c r="B216" s="74" t="s">
        <v>53</v>
      </c>
      <c r="C216" s="38" t="s">
        <v>20</v>
      </c>
      <c r="D216" s="70" t="s">
        <v>19</v>
      </c>
      <c r="E216" s="109">
        <v>1.8</v>
      </c>
      <c r="F216" s="68">
        <f>E216*F215</f>
        <v>1291.0320000000002</v>
      </c>
      <c r="G216" s="32"/>
      <c r="H216" s="236"/>
      <c r="I216" s="33">
        <v>8.7200000000000006</v>
      </c>
      <c r="J216" s="73">
        <f>F216*I216</f>
        <v>11257.799040000002</v>
      </c>
      <c r="K216" s="263">
        <f t="shared" si="15"/>
        <v>11257.799040000002</v>
      </c>
      <c r="L216" s="1"/>
    </row>
    <row r="217" spans="1:12" s="44" customFormat="1" ht="15" hidden="1" customHeight="1">
      <c r="A217" s="279"/>
      <c r="B217" s="74" t="s">
        <v>54</v>
      </c>
      <c r="C217" s="38" t="s">
        <v>20</v>
      </c>
      <c r="D217" s="70" t="s">
        <v>19</v>
      </c>
      <c r="E217" s="109">
        <v>1.8</v>
      </c>
      <c r="F217" s="68">
        <f>E217*F215</f>
        <v>1291.0320000000002</v>
      </c>
      <c r="G217" s="32"/>
      <c r="H217" s="236"/>
      <c r="I217" s="33">
        <v>18.690000000000001</v>
      </c>
      <c r="J217" s="73">
        <f>F217*I217</f>
        <v>24129.388080000004</v>
      </c>
      <c r="K217" s="263">
        <f t="shared" si="15"/>
        <v>24129.388080000004</v>
      </c>
      <c r="L217" s="1"/>
    </row>
    <row r="218" spans="1:12" s="44" customFormat="1" ht="15" hidden="1" customHeight="1">
      <c r="A218" s="279"/>
      <c r="B218" s="74" t="s">
        <v>34</v>
      </c>
      <c r="C218" s="38" t="s">
        <v>20</v>
      </c>
      <c r="D218" s="70" t="s">
        <v>21</v>
      </c>
      <c r="E218" s="109">
        <v>0.15</v>
      </c>
      <c r="F218" s="68">
        <f>E218*F215</f>
        <v>107.586</v>
      </c>
      <c r="G218" s="32"/>
      <c r="H218" s="236"/>
      <c r="I218" s="33">
        <v>37.450000000000003</v>
      </c>
      <c r="J218" s="73">
        <f>F218*I218</f>
        <v>4029.0957000000003</v>
      </c>
      <c r="K218" s="263">
        <f t="shared" si="15"/>
        <v>4029.0957000000003</v>
      </c>
      <c r="L218" s="1"/>
    </row>
    <row r="219" spans="1:12" s="44" customFormat="1" ht="15" hidden="1" customHeight="1">
      <c r="A219" s="279"/>
      <c r="B219" s="74" t="s">
        <v>55</v>
      </c>
      <c r="C219" s="38" t="s">
        <v>20</v>
      </c>
      <c r="D219" s="70" t="s">
        <v>56</v>
      </c>
      <c r="E219" s="109">
        <v>0.1</v>
      </c>
      <c r="F219" s="68">
        <f>E219*F215</f>
        <v>71.724000000000004</v>
      </c>
      <c r="G219" s="32"/>
      <c r="H219" s="236"/>
      <c r="I219" s="33">
        <v>19.260000000000002</v>
      </c>
      <c r="J219" s="73">
        <f>F219*I219</f>
        <v>1381.4042400000001</v>
      </c>
      <c r="K219" s="263">
        <f t="shared" si="15"/>
        <v>1381.4042400000001</v>
      </c>
      <c r="L219" s="1"/>
    </row>
    <row r="220" spans="1:12" s="44" customFormat="1" ht="15" hidden="1" customHeight="1">
      <c r="A220" s="279"/>
      <c r="B220" s="74" t="s">
        <v>57</v>
      </c>
      <c r="C220" s="38" t="s">
        <v>20</v>
      </c>
      <c r="D220" s="70" t="s">
        <v>58</v>
      </c>
      <c r="E220" s="109">
        <v>1.1000000000000001</v>
      </c>
      <c r="F220" s="68">
        <f>E220*F215</f>
        <v>788.96400000000006</v>
      </c>
      <c r="G220" s="32"/>
      <c r="H220" s="236"/>
      <c r="I220" s="33">
        <v>3.1240000000000001</v>
      </c>
      <c r="J220" s="73">
        <f>F220*I220</f>
        <v>2464.7235360000004</v>
      </c>
      <c r="K220" s="263">
        <f t="shared" si="15"/>
        <v>2464.7235360000004</v>
      </c>
      <c r="L220" s="1"/>
    </row>
    <row r="221" spans="1:12" s="45" customFormat="1" ht="15" hidden="1" customHeight="1">
      <c r="A221" s="280">
        <f>A215+1</f>
        <v>13</v>
      </c>
      <c r="B221" s="61" t="s">
        <v>59</v>
      </c>
      <c r="C221" s="38" t="s">
        <v>20</v>
      </c>
      <c r="D221" s="38" t="s">
        <v>30</v>
      </c>
      <c r="E221" s="109"/>
      <c r="F221" s="97">
        <f>F215</f>
        <v>717.24</v>
      </c>
      <c r="G221" s="32">
        <v>200</v>
      </c>
      <c r="H221" s="235">
        <f>F221*G221</f>
        <v>143448</v>
      </c>
      <c r="I221" s="33"/>
      <c r="J221" s="66"/>
      <c r="K221" s="260">
        <f t="shared" si="15"/>
        <v>143448</v>
      </c>
      <c r="L221" s="1"/>
    </row>
    <row r="222" spans="1:12" s="44" customFormat="1" ht="25.5" hidden="1" customHeight="1">
      <c r="A222" s="279"/>
      <c r="B222" s="103" t="s">
        <v>60</v>
      </c>
      <c r="C222" s="38" t="s">
        <v>20</v>
      </c>
      <c r="D222" s="70" t="s">
        <v>21</v>
      </c>
      <c r="E222" s="64">
        <v>0.35</v>
      </c>
      <c r="F222" s="68">
        <f>E222*F221</f>
        <v>251.03399999999999</v>
      </c>
      <c r="G222" s="32"/>
      <c r="H222" s="236"/>
      <c r="I222" s="33">
        <v>122.50221999999999</v>
      </c>
      <c r="J222" s="73">
        <f>F222*I222</f>
        <v>30752.222295479998</v>
      </c>
      <c r="K222" s="263">
        <f t="shared" si="15"/>
        <v>30752.222295479998</v>
      </c>
      <c r="L222" s="1"/>
    </row>
    <row r="223" spans="1:12" s="44" customFormat="1" ht="15" hidden="1" customHeight="1">
      <c r="A223" s="279"/>
      <c r="B223" s="105" t="s">
        <v>34</v>
      </c>
      <c r="C223" s="38" t="s">
        <v>20</v>
      </c>
      <c r="D223" s="70" t="s">
        <v>21</v>
      </c>
      <c r="E223" s="109">
        <v>0.15</v>
      </c>
      <c r="F223" s="68">
        <f>E223*F221</f>
        <v>107.586</v>
      </c>
      <c r="G223" s="32"/>
      <c r="H223" s="236"/>
      <c r="I223" s="33">
        <v>37.450000000000003</v>
      </c>
      <c r="J223" s="73">
        <f>F223*I223</f>
        <v>4029.0957000000003</v>
      </c>
      <c r="K223" s="263">
        <f t="shared" si="15"/>
        <v>4029.0957000000003</v>
      </c>
      <c r="L223" s="1"/>
    </row>
    <row r="224" spans="1:12" s="45" customFormat="1" ht="15" hidden="1" customHeight="1">
      <c r="A224" s="278"/>
      <c r="B224" s="41"/>
      <c r="C224" s="19"/>
      <c r="D224" s="41"/>
      <c r="E224" s="21"/>
      <c r="F224" s="34"/>
      <c r="G224" s="32"/>
      <c r="H224" s="42"/>
      <c r="I224" s="33"/>
      <c r="J224" s="43"/>
      <c r="K224" s="273"/>
      <c r="L224" s="1"/>
    </row>
    <row r="225" spans="1:12" s="45" customFormat="1" ht="15" hidden="1" customHeight="1">
      <c r="A225" s="23"/>
      <c r="B225" s="24" t="s">
        <v>75</v>
      </c>
      <c r="C225" s="25"/>
      <c r="D225" s="26"/>
      <c r="E225" s="27"/>
      <c r="F225" s="28"/>
      <c r="G225" s="29"/>
      <c r="H225" s="29" t="str">
        <f>IF(ISBLANK(G225),"",G225*F225)</f>
        <v/>
      </c>
      <c r="I225" s="36"/>
      <c r="J225" s="30" t="str">
        <f>IF(ISBLANK(I225),"",I225*F225)</f>
        <v/>
      </c>
      <c r="K225" s="31"/>
      <c r="L225" s="1"/>
    </row>
    <row r="226" spans="1:12" s="45" customFormat="1" ht="15" hidden="1" customHeight="1">
      <c r="A226" s="282"/>
      <c r="B226" s="53" t="s">
        <v>113</v>
      </c>
      <c r="C226" s="291"/>
      <c r="D226" s="292"/>
      <c r="E226" s="293"/>
      <c r="F226" s="292"/>
      <c r="G226" s="57"/>
      <c r="H226" s="292"/>
      <c r="I226" s="59"/>
      <c r="J226" s="294"/>
      <c r="K226" s="295"/>
      <c r="L226" s="1"/>
    </row>
    <row r="227" spans="1:12" s="140" customFormat="1" ht="15" customHeight="1">
      <c r="A227" s="296" t="s">
        <v>184</v>
      </c>
      <c r="B227" s="61" t="s">
        <v>77</v>
      </c>
      <c r="C227" s="38" t="s">
        <v>23</v>
      </c>
      <c r="D227" s="38" t="s">
        <v>30</v>
      </c>
      <c r="E227" s="64"/>
      <c r="F227" s="97">
        <v>122.15</v>
      </c>
      <c r="G227" s="32">
        <v>670</v>
      </c>
      <c r="H227" s="235">
        <f>F227*G227</f>
        <v>81840.5</v>
      </c>
      <c r="I227" s="33"/>
      <c r="J227" s="66"/>
      <c r="K227" s="260">
        <f t="shared" ref="K227:K241" si="16">H227+J227</f>
        <v>81840.5</v>
      </c>
      <c r="L227" s="138"/>
    </row>
    <row r="228" spans="1:12" s="140" customFormat="1" ht="15" customHeight="1">
      <c r="A228" s="287"/>
      <c r="B228" s="105" t="s">
        <v>24</v>
      </c>
      <c r="C228" s="38" t="s">
        <v>23</v>
      </c>
      <c r="D228" s="70" t="s">
        <v>41</v>
      </c>
      <c r="E228" s="64">
        <v>1.1000000000000001</v>
      </c>
      <c r="F228" s="37">
        <v>79.860000000000014</v>
      </c>
      <c r="G228" s="32"/>
      <c r="H228" s="110"/>
      <c r="I228" s="33"/>
      <c r="J228" s="73">
        <f t="shared" ref="J228:J233" si="17">F228*I228</f>
        <v>0</v>
      </c>
      <c r="K228" s="263">
        <f t="shared" si="16"/>
        <v>0</v>
      </c>
      <c r="L228" s="138"/>
    </row>
    <row r="229" spans="1:12" s="140" customFormat="1" ht="15" customHeight="1">
      <c r="A229" s="287"/>
      <c r="B229" s="105" t="s">
        <v>70</v>
      </c>
      <c r="C229" s="38" t="s">
        <v>23</v>
      </c>
      <c r="D229" s="70" t="s">
        <v>41</v>
      </c>
      <c r="E229" s="109">
        <v>1.1000000000000001</v>
      </c>
      <c r="F229" s="37">
        <v>54.505000000000003</v>
      </c>
      <c r="G229" s="32"/>
      <c r="H229" s="110"/>
      <c r="I229" s="33"/>
      <c r="J229" s="73">
        <f t="shared" si="17"/>
        <v>0</v>
      </c>
      <c r="K229" s="263">
        <f t="shared" si="16"/>
        <v>0</v>
      </c>
      <c r="L229" s="138"/>
    </row>
    <row r="230" spans="1:12" s="44" customFormat="1" ht="15" customHeight="1">
      <c r="A230" s="287"/>
      <c r="B230" s="105" t="s">
        <v>34</v>
      </c>
      <c r="C230" s="38" t="s">
        <v>23</v>
      </c>
      <c r="D230" s="70" t="s">
        <v>21</v>
      </c>
      <c r="E230" s="64">
        <v>0.15</v>
      </c>
      <c r="F230" s="37">
        <v>18.322500000000002</v>
      </c>
      <c r="G230" s="32"/>
      <c r="H230" s="244"/>
      <c r="I230" s="33"/>
      <c r="J230" s="73">
        <f t="shared" si="17"/>
        <v>0</v>
      </c>
      <c r="K230" s="263">
        <f t="shared" si="16"/>
        <v>0</v>
      </c>
      <c r="L230" s="1"/>
    </row>
    <row r="231" spans="1:12" s="44" customFormat="1" ht="15" customHeight="1">
      <c r="A231" s="284"/>
      <c r="B231" s="105" t="s">
        <v>71</v>
      </c>
      <c r="C231" s="38" t="s">
        <v>23</v>
      </c>
      <c r="D231" s="70" t="s">
        <v>19</v>
      </c>
      <c r="E231" s="64">
        <v>7.6</v>
      </c>
      <c r="F231" s="37">
        <v>928.34</v>
      </c>
      <c r="G231" s="32"/>
      <c r="H231" s="244"/>
      <c r="I231" s="33"/>
      <c r="J231" s="73">
        <f t="shared" si="17"/>
        <v>0</v>
      </c>
      <c r="K231" s="263">
        <f t="shared" si="16"/>
        <v>0</v>
      </c>
      <c r="L231" s="1"/>
    </row>
    <row r="232" spans="1:12" s="45" customFormat="1" ht="15" customHeight="1">
      <c r="A232" s="284"/>
      <c r="B232" s="105" t="s">
        <v>72</v>
      </c>
      <c r="C232" s="38" t="s">
        <v>23</v>
      </c>
      <c r="D232" s="70" t="s">
        <v>56</v>
      </c>
      <c r="E232" s="64">
        <v>11</v>
      </c>
      <c r="F232" s="37">
        <v>1343.65</v>
      </c>
      <c r="G232" s="32"/>
      <c r="H232" s="110"/>
      <c r="I232" s="33"/>
      <c r="J232" s="73">
        <f t="shared" si="17"/>
        <v>0</v>
      </c>
      <c r="K232" s="263">
        <f t="shared" si="16"/>
        <v>0</v>
      </c>
      <c r="L232" s="1"/>
    </row>
    <row r="233" spans="1:12" s="44" customFormat="1" ht="15" customHeight="1">
      <c r="A233" s="284"/>
      <c r="B233" s="105" t="s">
        <v>73</v>
      </c>
      <c r="C233" s="38" t="s">
        <v>23</v>
      </c>
      <c r="D233" s="70" t="s">
        <v>19</v>
      </c>
      <c r="E233" s="64">
        <v>0.4</v>
      </c>
      <c r="F233" s="37">
        <v>48.860000000000007</v>
      </c>
      <c r="G233" s="32"/>
      <c r="H233" s="244"/>
      <c r="I233" s="33"/>
      <c r="J233" s="73">
        <f t="shared" si="17"/>
        <v>0</v>
      </c>
      <c r="K233" s="263">
        <f t="shared" si="16"/>
        <v>0</v>
      </c>
      <c r="L233" s="1"/>
    </row>
    <row r="234" spans="1:12" s="45" customFormat="1" ht="25.5" hidden="1" customHeight="1">
      <c r="A234" s="288">
        <f>A227+1</f>
        <v>15</v>
      </c>
      <c r="B234" s="61" t="s">
        <v>79</v>
      </c>
      <c r="C234" s="38" t="s">
        <v>29</v>
      </c>
      <c r="D234" s="38" t="s">
        <v>30</v>
      </c>
      <c r="E234" s="64"/>
      <c r="F234" s="97">
        <v>122.15</v>
      </c>
      <c r="G234" s="32">
        <v>250</v>
      </c>
      <c r="H234" s="235">
        <f>F234*G234</f>
        <v>30537.5</v>
      </c>
      <c r="I234" s="33"/>
      <c r="J234" s="66"/>
      <c r="K234" s="260">
        <f t="shared" si="16"/>
        <v>30537.5</v>
      </c>
      <c r="L234" s="1"/>
    </row>
    <row r="235" spans="1:12" s="44" customFormat="1" ht="15" hidden="1" customHeight="1">
      <c r="A235" s="284"/>
      <c r="B235" s="105" t="s">
        <v>80</v>
      </c>
      <c r="C235" s="38" t="s">
        <v>29</v>
      </c>
      <c r="D235" s="70" t="s">
        <v>81</v>
      </c>
      <c r="E235" s="64">
        <f>499*0.085*1.02/1000</f>
        <v>4.3263300000000011E-2</v>
      </c>
      <c r="F235" s="37">
        <f>F234*E235</f>
        <v>5.2846120950000017</v>
      </c>
      <c r="G235" s="32"/>
      <c r="H235" s="244"/>
      <c r="I235" s="33">
        <v>5473.05</v>
      </c>
      <c r="J235" s="73">
        <f t="shared" ref="J235:J241" si="18">F235*I235</f>
        <v>28922.94622653976</v>
      </c>
      <c r="K235" s="263">
        <f t="shared" si="16"/>
        <v>28922.94622653976</v>
      </c>
      <c r="L235" s="1"/>
    </row>
    <row r="236" spans="1:12" s="44" customFormat="1" ht="15" hidden="1" customHeight="1">
      <c r="A236" s="284"/>
      <c r="B236" s="105" t="s">
        <v>82</v>
      </c>
      <c r="C236" s="38" t="s">
        <v>29</v>
      </c>
      <c r="D236" s="70" t="s">
        <v>81</v>
      </c>
      <c r="E236" s="64">
        <f>1792*0.8*0.085*1.02/1000</f>
        <v>0.12429312000000003</v>
      </c>
      <c r="F236" s="37">
        <f>F234*E236</f>
        <v>15.182404608000004</v>
      </c>
      <c r="G236" s="32"/>
      <c r="H236" s="244"/>
      <c r="I236" s="33">
        <v>823.63</v>
      </c>
      <c r="J236" s="73">
        <f t="shared" si="18"/>
        <v>12504.683907287043</v>
      </c>
      <c r="K236" s="263">
        <f t="shared" si="16"/>
        <v>12504.683907287043</v>
      </c>
      <c r="L236" s="1"/>
    </row>
    <row r="237" spans="1:12" s="45" customFormat="1" ht="15" hidden="1" customHeight="1">
      <c r="A237" s="284"/>
      <c r="B237" s="105" t="s">
        <v>83</v>
      </c>
      <c r="C237" s="38" t="s">
        <v>29</v>
      </c>
      <c r="D237" s="70" t="s">
        <v>81</v>
      </c>
      <c r="E237" s="64">
        <f>1792*0.2*0.85*1.02/1000</f>
        <v>0.31073280000000003</v>
      </c>
      <c r="F237" s="37">
        <f>F234*E237</f>
        <v>37.956011520000004</v>
      </c>
      <c r="G237" s="32"/>
      <c r="H237" s="110"/>
      <c r="I237" s="33">
        <v>374.49299999999999</v>
      </c>
      <c r="J237" s="73">
        <f t="shared" si="18"/>
        <v>14214.260622159361</v>
      </c>
      <c r="K237" s="263">
        <f t="shared" si="16"/>
        <v>14214.260622159361</v>
      </c>
      <c r="L237" s="1"/>
    </row>
    <row r="238" spans="1:12" s="45" customFormat="1" ht="15" hidden="1" customHeight="1">
      <c r="A238" s="284"/>
      <c r="B238" s="105" t="s">
        <v>84</v>
      </c>
      <c r="C238" s="38" t="s">
        <v>29</v>
      </c>
      <c r="D238" s="70" t="s">
        <v>41</v>
      </c>
      <c r="E238" s="64">
        <v>1.1000000000000001</v>
      </c>
      <c r="F238" s="37">
        <f>F234*E238</f>
        <v>134.36500000000001</v>
      </c>
      <c r="G238" s="32"/>
      <c r="H238" s="110"/>
      <c r="I238" s="33">
        <v>115.91449999999999</v>
      </c>
      <c r="J238" s="73">
        <f t="shared" si="18"/>
        <v>15574.8517925</v>
      </c>
      <c r="K238" s="263">
        <f t="shared" si="16"/>
        <v>15574.8517925</v>
      </c>
      <c r="L238" s="1"/>
    </row>
    <row r="239" spans="1:12" s="44" customFormat="1" ht="15" hidden="1" customHeight="1">
      <c r="A239" s="284"/>
      <c r="B239" s="105" t="s">
        <v>85</v>
      </c>
      <c r="C239" s="38" t="s">
        <v>29</v>
      </c>
      <c r="D239" s="70" t="s">
        <v>81</v>
      </c>
      <c r="E239" s="64">
        <f>0.21/1000</f>
        <v>2.0999999999999998E-4</v>
      </c>
      <c r="F239" s="37">
        <f>F234*E239</f>
        <v>2.5651499999999997E-2</v>
      </c>
      <c r="G239" s="32"/>
      <c r="H239" s="244"/>
      <c r="I239" s="33">
        <v>56431.8</v>
      </c>
      <c r="J239" s="73">
        <f t="shared" si="18"/>
        <v>1447.5603176999998</v>
      </c>
      <c r="K239" s="263">
        <f t="shared" si="16"/>
        <v>1447.5603176999998</v>
      </c>
      <c r="L239" s="1"/>
    </row>
    <row r="240" spans="1:12" s="45" customFormat="1" ht="15" hidden="1" customHeight="1">
      <c r="A240" s="284"/>
      <c r="B240" s="105" t="s">
        <v>86</v>
      </c>
      <c r="C240" s="38" t="s">
        <v>29</v>
      </c>
      <c r="D240" s="70" t="s">
        <v>56</v>
      </c>
      <c r="E240" s="64">
        <v>4</v>
      </c>
      <c r="F240" s="37">
        <f>F234*E240</f>
        <v>488.6</v>
      </c>
      <c r="G240" s="32"/>
      <c r="H240" s="110"/>
      <c r="I240" s="33">
        <v>0.67135999999999996</v>
      </c>
      <c r="J240" s="73">
        <f t="shared" si="18"/>
        <v>328.02649600000001</v>
      </c>
      <c r="K240" s="263">
        <f t="shared" si="16"/>
        <v>328.02649600000001</v>
      </c>
      <c r="L240" s="1"/>
    </row>
    <row r="241" spans="1:12" s="35" customFormat="1" ht="15" hidden="1" customHeight="1">
      <c r="A241" s="284"/>
      <c r="B241" s="105" t="s">
        <v>87</v>
      </c>
      <c r="C241" s="38" t="s">
        <v>29</v>
      </c>
      <c r="D241" s="70" t="s">
        <v>58</v>
      </c>
      <c r="E241" s="64"/>
      <c r="F241" s="37">
        <f>F234</f>
        <v>122.15</v>
      </c>
      <c r="G241" s="32"/>
      <c r="H241" s="244"/>
      <c r="I241" s="33">
        <v>7.0979999999999999</v>
      </c>
      <c r="J241" s="73">
        <f t="shared" si="18"/>
        <v>867.02070000000003</v>
      </c>
      <c r="K241" s="263">
        <f t="shared" si="16"/>
        <v>867.02070000000003</v>
      </c>
      <c r="L241" s="1"/>
    </row>
    <row r="242" spans="1:12" ht="15" hidden="1" customHeight="1">
      <c r="A242" s="284"/>
      <c r="B242" s="105"/>
      <c r="C242" s="75"/>
      <c r="D242" s="70"/>
      <c r="E242" s="64"/>
      <c r="F242" s="37"/>
      <c r="G242" s="32"/>
      <c r="H242" s="110"/>
      <c r="I242" s="33"/>
      <c r="J242" s="73"/>
      <c r="K242" s="263"/>
    </row>
    <row r="243" spans="1:12" ht="15" hidden="1" customHeight="1">
      <c r="A243" s="282"/>
      <c r="B243" s="53" t="s">
        <v>114</v>
      </c>
      <c r="C243" s="291"/>
      <c r="D243" s="292"/>
      <c r="E243" s="293"/>
      <c r="F243" s="292"/>
      <c r="G243" s="57"/>
      <c r="H243" s="292"/>
      <c r="I243" s="59"/>
      <c r="J243" s="294"/>
      <c r="K243" s="295"/>
    </row>
    <row r="244" spans="1:12" ht="15" customHeight="1">
      <c r="A244" s="288">
        <f>A234+1</f>
        <v>16</v>
      </c>
      <c r="B244" s="61" t="s">
        <v>77</v>
      </c>
      <c r="C244" s="38" t="s">
        <v>23</v>
      </c>
      <c r="D244" s="38" t="s">
        <v>30</v>
      </c>
      <c r="E244" s="109"/>
      <c r="F244" s="97">
        <v>75.489999999999995</v>
      </c>
      <c r="G244" s="32">
        <v>670</v>
      </c>
      <c r="H244" s="235">
        <f>F244*G244</f>
        <v>50578.299999999996</v>
      </c>
      <c r="I244" s="33"/>
      <c r="J244" s="66"/>
      <c r="K244" s="260">
        <f t="shared" ref="K244:K260" si="19">H244+J244</f>
        <v>50578.299999999996</v>
      </c>
    </row>
    <row r="245" spans="1:12" ht="15" customHeight="1">
      <c r="A245" s="284"/>
      <c r="B245" s="105" t="s">
        <v>24</v>
      </c>
      <c r="C245" s="38" t="s">
        <v>23</v>
      </c>
      <c r="D245" s="70" t="s">
        <v>41</v>
      </c>
      <c r="E245" s="109">
        <v>1.1000000000000001</v>
      </c>
      <c r="F245" s="37">
        <f>F244*E245</f>
        <v>83.039000000000001</v>
      </c>
      <c r="G245" s="32"/>
      <c r="H245" s="110"/>
      <c r="I245" s="33"/>
      <c r="J245" s="73">
        <f>F245*I245</f>
        <v>0</v>
      </c>
      <c r="K245" s="263">
        <f t="shared" si="19"/>
        <v>0</v>
      </c>
    </row>
    <row r="246" spans="1:12" s="35" customFormat="1" ht="15" customHeight="1">
      <c r="A246" s="284"/>
      <c r="B246" s="105" t="s">
        <v>34</v>
      </c>
      <c r="C246" s="38" t="s">
        <v>23</v>
      </c>
      <c r="D246" s="70" t="s">
        <v>21</v>
      </c>
      <c r="E246" s="109">
        <v>0.2</v>
      </c>
      <c r="F246" s="37">
        <f>F244*E246</f>
        <v>15.097999999999999</v>
      </c>
      <c r="G246" s="32"/>
      <c r="H246" s="244"/>
      <c r="I246" s="33"/>
      <c r="J246" s="73">
        <f>F246*I246</f>
        <v>0</v>
      </c>
      <c r="K246" s="263">
        <f t="shared" si="19"/>
        <v>0</v>
      </c>
      <c r="L246" s="1"/>
    </row>
    <row r="247" spans="1:12" s="35" customFormat="1" ht="15" customHeight="1">
      <c r="A247" s="284"/>
      <c r="B247" s="105" t="s">
        <v>71</v>
      </c>
      <c r="C247" s="38" t="s">
        <v>23</v>
      </c>
      <c r="D247" s="70" t="s">
        <v>19</v>
      </c>
      <c r="E247" s="109">
        <v>7.6</v>
      </c>
      <c r="F247" s="37">
        <f>F244*E247</f>
        <v>573.72399999999993</v>
      </c>
      <c r="G247" s="32"/>
      <c r="H247" s="244"/>
      <c r="I247" s="33"/>
      <c r="J247" s="73">
        <f>F247*I247</f>
        <v>0</v>
      </c>
      <c r="K247" s="263">
        <f t="shared" si="19"/>
        <v>0</v>
      </c>
      <c r="L247" s="1"/>
    </row>
    <row r="248" spans="1:12" ht="15" customHeight="1">
      <c r="A248" s="284"/>
      <c r="B248" s="105" t="s">
        <v>72</v>
      </c>
      <c r="C248" s="38" t="s">
        <v>23</v>
      </c>
      <c r="D248" s="70" t="s">
        <v>56</v>
      </c>
      <c r="E248" s="109">
        <v>11</v>
      </c>
      <c r="F248" s="37">
        <f>F244*E248</f>
        <v>830.39</v>
      </c>
      <c r="G248" s="32"/>
      <c r="H248" s="110"/>
      <c r="I248" s="33"/>
      <c r="J248" s="73">
        <f>F248*I248</f>
        <v>0</v>
      </c>
      <c r="K248" s="263">
        <f t="shared" si="19"/>
        <v>0</v>
      </c>
    </row>
    <row r="249" spans="1:12" s="35" customFormat="1" ht="15" customHeight="1">
      <c r="A249" s="284"/>
      <c r="B249" s="105" t="s">
        <v>73</v>
      </c>
      <c r="C249" s="38" t="s">
        <v>23</v>
      </c>
      <c r="D249" s="70" t="s">
        <v>19</v>
      </c>
      <c r="E249" s="109">
        <v>0.4</v>
      </c>
      <c r="F249" s="37">
        <f>F244*E249</f>
        <v>30.195999999999998</v>
      </c>
      <c r="G249" s="32"/>
      <c r="H249" s="244"/>
      <c r="I249" s="33"/>
      <c r="J249" s="73">
        <f>F249*I249</f>
        <v>0</v>
      </c>
      <c r="K249" s="263">
        <f t="shared" si="19"/>
        <v>0</v>
      </c>
      <c r="L249" s="1"/>
    </row>
    <row r="250" spans="1:12" ht="25.5" hidden="1" customHeight="1">
      <c r="A250" s="288">
        <f>A244+1</f>
        <v>17</v>
      </c>
      <c r="B250" s="61" t="s">
        <v>115</v>
      </c>
      <c r="C250" s="38" t="s">
        <v>29</v>
      </c>
      <c r="D250" s="38" t="s">
        <v>30</v>
      </c>
      <c r="E250" s="109"/>
      <c r="F250" s="97">
        <f>F244</f>
        <v>75.489999999999995</v>
      </c>
      <c r="G250" s="32">
        <v>250</v>
      </c>
      <c r="H250" s="235">
        <f>F250*G250</f>
        <v>18872.5</v>
      </c>
      <c r="I250" s="33"/>
      <c r="J250" s="66"/>
      <c r="K250" s="260">
        <f t="shared" si="19"/>
        <v>18872.5</v>
      </c>
    </row>
    <row r="251" spans="1:12" s="35" customFormat="1" ht="15" hidden="1" customHeight="1">
      <c r="A251" s="284"/>
      <c r="B251" s="105" t="s">
        <v>80</v>
      </c>
      <c r="C251" s="38" t="s">
        <v>29</v>
      </c>
      <c r="D251" s="70" t="s">
        <v>81</v>
      </c>
      <c r="E251" s="109">
        <f>(499*0.075*1.02)/1000</f>
        <v>3.8173499999999999E-2</v>
      </c>
      <c r="F251" s="37">
        <f>F250*E251</f>
        <v>2.8817175149999996</v>
      </c>
      <c r="G251" s="32"/>
      <c r="H251" s="244"/>
      <c r="I251" s="33">
        <v>5473.05</v>
      </c>
      <c r="J251" s="73">
        <f t="shared" ref="J251:J257" si="20">F251*I251</f>
        <v>15771.784045470749</v>
      </c>
      <c r="K251" s="263">
        <f t="shared" si="19"/>
        <v>15771.784045470749</v>
      </c>
      <c r="L251" s="1"/>
    </row>
    <row r="252" spans="1:12" s="35" customFormat="1" ht="15" hidden="1" customHeight="1">
      <c r="A252" s="284"/>
      <c r="B252" s="105" t="s">
        <v>82</v>
      </c>
      <c r="C252" s="38" t="s">
        <v>29</v>
      </c>
      <c r="D252" s="70" t="s">
        <v>81</v>
      </c>
      <c r="E252" s="109">
        <f>(1792*0.8*0.075*1.02)/1000</f>
        <v>0.10967040000000002</v>
      </c>
      <c r="F252" s="37">
        <f>F250*E252</f>
        <v>8.2790184960000008</v>
      </c>
      <c r="G252" s="32"/>
      <c r="H252" s="244"/>
      <c r="I252" s="33">
        <v>823.63</v>
      </c>
      <c r="J252" s="73">
        <f t="shared" si="20"/>
        <v>6818.8480038604803</v>
      </c>
      <c r="K252" s="263">
        <f t="shared" si="19"/>
        <v>6818.8480038604803</v>
      </c>
      <c r="L252" s="1"/>
    </row>
    <row r="253" spans="1:12" ht="15" hidden="1" customHeight="1">
      <c r="A253" s="297"/>
      <c r="B253" s="105" t="s">
        <v>83</v>
      </c>
      <c r="C253" s="38" t="s">
        <v>29</v>
      </c>
      <c r="D253" s="70" t="s">
        <v>81</v>
      </c>
      <c r="E253" s="109">
        <f>(1792*0.2*0.075*1.02)/1000</f>
        <v>2.7417600000000004E-2</v>
      </c>
      <c r="F253" s="37">
        <f>F250*E253</f>
        <v>2.0697546240000002</v>
      </c>
      <c r="G253" s="32"/>
      <c r="H253" s="110"/>
      <c r="I253" s="33">
        <v>374.49299999999999</v>
      </c>
      <c r="J253" s="73">
        <f t="shared" si="20"/>
        <v>775.10861840563211</v>
      </c>
      <c r="K253" s="263">
        <f t="shared" si="19"/>
        <v>775.10861840563211</v>
      </c>
    </row>
    <row r="254" spans="1:12" ht="15" hidden="1" customHeight="1">
      <c r="A254" s="284"/>
      <c r="B254" s="105" t="s">
        <v>84</v>
      </c>
      <c r="C254" s="38" t="s">
        <v>29</v>
      </c>
      <c r="D254" s="70" t="s">
        <v>41</v>
      </c>
      <c r="E254" s="109">
        <v>1.1000000000000001</v>
      </c>
      <c r="F254" s="37">
        <f>F250*E254</f>
        <v>83.039000000000001</v>
      </c>
      <c r="G254" s="32"/>
      <c r="H254" s="110"/>
      <c r="I254" s="33">
        <v>115.91449999999999</v>
      </c>
      <c r="J254" s="73">
        <f t="shared" si="20"/>
        <v>9625.4241654999987</v>
      </c>
      <c r="K254" s="263">
        <f t="shared" si="19"/>
        <v>9625.4241654999987</v>
      </c>
    </row>
    <row r="255" spans="1:12" s="35" customFormat="1" ht="15" hidden="1" customHeight="1">
      <c r="A255" s="284"/>
      <c r="B255" s="105" t="s">
        <v>85</v>
      </c>
      <c r="C255" s="38" t="s">
        <v>29</v>
      </c>
      <c r="D255" s="70" t="s">
        <v>81</v>
      </c>
      <c r="E255" s="109">
        <f>0.21/1000</f>
        <v>2.0999999999999998E-4</v>
      </c>
      <c r="F255" s="37">
        <f>F250*E255</f>
        <v>1.5852899999999996E-2</v>
      </c>
      <c r="G255" s="32"/>
      <c r="H255" s="244"/>
      <c r="I255" s="33">
        <v>56431.8</v>
      </c>
      <c r="J255" s="73">
        <f t="shared" si="20"/>
        <v>894.60768221999979</v>
      </c>
      <c r="K255" s="263">
        <f t="shared" si="19"/>
        <v>894.60768221999979</v>
      </c>
      <c r="L255" s="1"/>
    </row>
    <row r="256" spans="1:12" ht="15" hidden="1" customHeight="1">
      <c r="A256" s="284"/>
      <c r="B256" s="105" t="s">
        <v>86</v>
      </c>
      <c r="C256" s="38" t="s">
        <v>29</v>
      </c>
      <c r="D256" s="70" t="s">
        <v>56</v>
      </c>
      <c r="E256" s="109">
        <v>4</v>
      </c>
      <c r="F256" s="37">
        <f>F250*E256</f>
        <v>301.95999999999998</v>
      </c>
      <c r="G256" s="32"/>
      <c r="H256" s="110"/>
      <c r="I256" s="33">
        <v>0.67135999999999996</v>
      </c>
      <c r="J256" s="73">
        <f t="shared" si="20"/>
        <v>202.72386559999998</v>
      </c>
      <c r="K256" s="263">
        <f t="shared" si="19"/>
        <v>202.72386559999998</v>
      </c>
    </row>
    <row r="257" spans="1:12" s="44" customFormat="1" ht="15" hidden="1" customHeight="1">
      <c r="A257" s="284"/>
      <c r="B257" s="105" t="s">
        <v>87</v>
      </c>
      <c r="C257" s="38" t="s">
        <v>29</v>
      </c>
      <c r="D257" s="70" t="s">
        <v>58</v>
      </c>
      <c r="E257" s="109"/>
      <c r="F257" s="37">
        <f>F250</f>
        <v>75.489999999999995</v>
      </c>
      <c r="G257" s="32"/>
      <c r="H257" s="244"/>
      <c r="I257" s="33">
        <v>7.0979999999999999</v>
      </c>
      <c r="J257" s="73">
        <f t="shared" si="20"/>
        <v>535.82801999999992</v>
      </c>
      <c r="K257" s="263">
        <f t="shared" si="19"/>
        <v>535.82801999999992</v>
      </c>
      <c r="L257" s="1"/>
    </row>
    <row r="258" spans="1:12" s="45" customFormat="1" ht="25.5" hidden="1" customHeight="1">
      <c r="A258" s="288">
        <f>A250+1</f>
        <v>18</v>
      </c>
      <c r="B258" s="61" t="s">
        <v>98</v>
      </c>
      <c r="C258" s="38" t="s">
        <v>29</v>
      </c>
      <c r="D258" s="38" t="s">
        <v>30</v>
      </c>
      <c r="E258" s="109"/>
      <c r="F258" s="97">
        <f>F244</f>
        <v>75.489999999999995</v>
      </c>
      <c r="G258" s="32">
        <v>120</v>
      </c>
      <c r="H258" s="235">
        <f>F258*G258</f>
        <v>9058.7999999999993</v>
      </c>
      <c r="I258" s="33"/>
      <c r="J258" s="66"/>
      <c r="K258" s="260">
        <f t="shared" si="19"/>
        <v>9058.7999999999993</v>
      </c>
      <c r="L258" s="1"/>
    </row>
    <row r="259" spans="1:12" s="44" customFormat="1" ht="15" hidden="1" customHeight="1">
      <c r="A259" s="284"/>
      <c r="B259" s="105" t="s">
        <v>99</v>
      </c>
      <c r="C259" s="38" t="s">
        <v>29</v>
      </c>
      <c r="D259" s="70" t="s">
        <v>41</v>
      </c>
      <c r="E259" s="109">
        <v>1.1499999999999999</v>
      </c>
      <c r="F259" s="37">
        <f>F258*E259</f>
        <v>86.813499999999991</v>
      </c>
      <c r="G259" s="32"/>
      <c r="H259" s="244"/>
      <c r="I259" s="33">
        <v>161.51</v>
      </c>
      <c r="J259" s="73">
        <f>F259*I259</f>
        <v>14021.248384999997</v>
      </c>
      <c r="K259" s="263">
        <f t="shared" si="19"/>
        <v>14021.248384999997</v>
      </c>
      <c r="L259" s="1"/>
    </row>
    <row r="260" spans="1:12" s="45" customFormat="1" ht="15" hidden="1" customHeight="1">
      <c r="A260" s="284"/>
      <c r="B260" s="105" t="s">
        <v>100</v>
      </c>
      <c r="C260" s="38" t="s">
        <v>29</v>
      </c>
      <c r="D260" s="70" t="s">
        <v>58</v>
      </c>
      <c r="E260" s="109"/>
      <c r="F260" s="37">
        <f>F258</f>
        <v>75.489999999999995</v>
      </c>
      <c r="G260" s="32"/>
      <c r="H260" s="110"/>
      <c r="I260" s="33">
        <v>0.90213999999999994</v>
      </c>
      <c r="J260" s="73">
        <f>F260*I260</f>
        <v>68.102548599999992</v>
      </c>
      <c r="K260" s="263">
        <f t="shared" si="19"/>
        <v>68.102548599999992</v>
      </c>
      <c r="L260" s="1"/>
    </row>
    <row r="261" spans="1:12" s="45" customFormat="1" ht="15" hidden="1" customHeight="1">
      <c r="A261" s="284"/>
      <c r="B261" s="105"/>
      <c r="C261" s="75"/>
      <c r="D261" s="70"/>
      <c r="E261" s="64"/>
      <c r="F261" s="37"/>
      <c r="G261" s="32"/>
      <c r="H261" s="110"/>
      <c r="I261" s="33"/>
      <c r="J261" s="73"/>
      <c r="K261" s="263"/>
      <c r="L261" s="1"/>
    </row>
    <row r="262" spans="1:12" s="45" customFormat="1" ht="15" hidden="1" customHeight="1">
      <c r="A262" s="282"/>
      <c r="B262" s="120" t="s">
        <v>116</v>
      </c>
      <c r="C262" s="291"/>
      <c r="D262" s="292"/>
      <c r="E262" s="293"/>
      <c r="F262" s="292"/>
      <c r="G262" s="57"/>
      <c r="H262" s="292"/>
      <c r="I262" s="59"/>
      <c r="J262" s="294"/>
      <c r="K262" s="295"/>
      <c r="L262" s="1"/>
    </row>
    <row r="263" spans="1:12" s="45" customFormat="1" ht="15" customHeight="1">
      <c r="A263" s="288">
        <f>A258+1</f>
        <v>19</v>
      </c>
      <c r="B263" s="61" t="s">
        <v>77</v>
      </c>
      <c r="C263" s="38" t="s">
        <v>23</v>
      </c>
      <c r="D263" s="38" t="s">
        <v>30</v>
      </c>
      <c r="E263" s="109"/>
      <c r="F263" s="97">
        <v>50.1</v>
      </c>
      <c r="G263" s="32">
        <v>670</v>
      </c>
      <c r="H263" s="235">
        <f>F263*G263</f>
        <v>33567</v>
      </c>
      <c r="I263" s="33"/>
      <c r="J263" s="66"/>
      <c r="K263" s="260">
        <f t="shared" ref="K263:K283" si="21">H263+J263</f>
        <v>33567</v>
      </c>
      <c r="L263" s="1"/>
    </row>
    <row r="264" spans="1:12" s="45" customFormat="1" ht="15" customHeight="1">
      <c r="A264" s="284"/>
      <c r="B264" s="105" t="s">
        <v>24</v>
      </c>
      <c r="C264" s="38" t="s">
        <v>23</v>
      </c>
      <c r="D264" s="70" t="s">
        <v>41</v>
      </c>
      <c r="E264" s="109">
        <v>1.1000000000000001</v>
      </c>
      <c r="F264" s="37">
        <f>F263*E264</f>
        <v>55.110000000000007</v>
      </c>
      <c r="G264" s="32"/>
      <c r="H264" s="110"/>
      <c r="I264" s="33"/>
      <c r="J264" s="73">
        <f>F264*I264</f>
        <v>0</v>
      </c>
      <c r="K264" s="263">
        <f t="shared" si="21"/>
        <v>0</v>
      </c>
      <c r="L264" s="1"/>
    </row>
    <row r="265" spans="1:12" s="44" customFormat="1" ht="15" customHeight="1">
      <c r="A265" s="284"/>
      <c r="B265" s="105" t="s">
        <v>34</v>
      </c>
      <c r="C265" s="38" t="s">
        <v>23</v>
      </c>
      <c r="D265" s="70" t="s">
        <v>21</v>
      </c>
      <c r="E265" s="109">
        <v>0.2</v>
      </c>
      <c r="F265" s="37">
        <f>F263*E265</f>
        <v>10.020000000000001</v>
      </c>
      <c r="G265" s="32"/>
      <c r="H265" s="244"/>
      <c r="I265" s="33"/>
      <c r="J265" s="73">
        <f>F265*I265</f>
        <v>0</v>
      </c>
      <c r="K265" s="263">
        <f t="shared" si="21"/>
        <v>0</v>
      </c>
      <c r="L265" s="1"/>
    </row>
    <row r="266" spans="1:12" s="44" customFormat="1" ht="15" customHeight="1">
      <c r="A266" s="284"/>
      <c r="B266" s="105" t="s">
        <v>71</v>
      </c>
      <c r="C266" s="38" t="s">
        <v>23</v>
      </c>
      <c r="D266" s="70" t="s">
        <v>19</v>
      </c>
      <c r="E266" s="109">
        <v>7.6</v>
      </c>
      <c r="F266" s="37">
        <f>F263*E266</f>
        <v>380.76</v>
      </c>
      <c r="G266" s="32"/>
      <c r="H266" s="244"/>
      <c r="I266" s="33"/>
      <c r="J266" s="73">
        <f>F266*I266</f>
        <v>0</v>
      </c>
      <c r="K266" s="263">
        <f t="shared" si="21"/>
        <v>0</v>
      </c>
      <c r="L266" s="1"/>
    </row>
    <row r="267" spans="1:12" s="45" customFormat="1" ht="15" customHeight="1">
      <c r="A267" s="284"/>
      <c r="B267" s="105" t="s">
        <v>72</v>
      </c>
      <c r="C267" s="38" t="s">
        <v>23</v>
      </c>
      <c r="D267" s="70" t="s">
        <v>56</v>
      </c>
      <c r="E267" s="109">
        <v>11</v>
      </c>
      <c r="F267" s="37">
        <f>F263*E267</f>
        <v>551.1</v>
      </c>
      <c r="G267" s="32"/>
      <c r="H267" s="110"/>
      <c r="I267" s="33"/>
      <c r="J267" s="73">
        <f>F267*I267</f>
        <v>0</v>
      </c>
      <c r="K267" s="263">
        <f t="shared" si="21"/>
        <v>0</v>
      </c>
      <c r="L267" s="1"/>
    </row>
    <row r="268" spans="1:12" s="44" customFormat="1" ht="15" customHeight="1">
      <c r="A268" s="284"/>
      <c r="B268" s="105" t="s">
        <v>73</v>
      </c>
      <c r="C268" s="38" t="s">
        <v>23</v>
      </c>
      <c r="D268" s="70" t="s">
        <v>19</v>
      </c>
      <c r="E268" s="109">
        <v>0.4</v>
      </c>
      <c r="F268" s="37">
        <f>F263*E268</f>
        <v>20.040000000000003</v>
      </c>
      <c r="G268" s="32"/>
      <c r="H268" s="244"/>
      <c r="I268" s="33"/>
      <c r="J268" s="73">
        <f>F268*I268</f>
        <v>0</v>
      </c>
      <c r="K268" s="263">
        <f t="shared" si="21"/>
        <v>0</v>
      </c>
      <c r="L268" s="1"/>
    </row>
    <row r="269" spans="1:12" s="45" customFormat="1" ht="15" hidden="1" customHeight="1">
      <c r="A269" s="288">
        <f>A263+1</f>
        <v>20</v>
      </c>
      <c r="B269" s="61" t="s">
        <v>89</v>
      </c>
      <c r="C269" s="38" t="s">
        <v>29</v>
      </c>
      <c r="D269" s="38" t="s">
        <v>30</v>
      </c>
      <c r="E269" s="109"/>
      <c r="F269" s="97">
        <f>F263</f>
        <v>50.1</v>
      </c>
      <c r="G269" s="32">
        <v>100</v>
      </c>
      <c r="H269" s="235">
        <f>F269*G269</f>
        <v>5010</v>
      </c>
      <c r="I269" s="33"/>
      <c r="J269" s="66"/>
      <c r="K269" s="260">
        <f t="shared" si="21"/>
        <v>5010</v>
      </c>
      <c r="L269" s="1"/>
    </row>
    <row r="270" spans="1:12" s="44" customFormat="1" ht="15" hidden="1" customHeight="1">
      <c r="A270" s="284"/>
      <c r="B270" s="105" t="s">
        <v>34</v>
      </c>
      <c r="C270" s="38" t="s">
        <v>29</v>
      </c>
      <c r="D270" s="70" t="s">
        <v>21</v>
      </c>
      <c r="E270" s="109">
        <v>0.2</v>
      </c>
      <c r="F270" s="37">
        <f>F269*E270</f>
        <v>10.020000000000001</v>
      </c>
      <c r="G270" s="32"/>
      <c r="H270" s="244"/>
      <c r="I270" s="33">
        <v>37.450000000000003</v>
      </c>
      <c r="J270" s="73">
        <f>F270*I270</f>
        <v>375.24900000000008</v>
      </c>
      <c r="K270" s="263">
        <f t="shared" si="21"/>
        <v>375.24900000000008</v>
      </c>
      <c r="L270" s="1"/>
    </row>
    <row r="271" spans="1:12" s="44" customFormat="1" ht="15" hidden="1" customHeight="1">
      <c r="A271" s="284"/>
      <c r="B271" s="105" t="s">
        <v>90</v>
      </c>
      <c r="C271" s="38" t="s">
        <v>29</v>
      </c>
      <c r="D271" s="70" t="s">
        <v>19</v>
      </c>
      <c r="E271" s="109">
        <v>4.8</v>
      </c>
      <c r="F271" s="37">
        <f>F269*E271</f>
        <v>240.48</v>
      </c>
      <c r="G271" s="32"/>
      <c r="H271" s="244"/>
      <c r="I271" s="33">
        <v>20.329999999999998</v>
      </c>
      <c r="J271" s="73">
        <f>F271*I271</f>
        <v>4888.9583999999995</v>
      </c>
      <c r="K271" s="263">
        <f t="shared" si="21"/>
        <v>4888.9583999999995</v>
      </c>
      <c r="L271" s="1"/>
    </row>
    <row r="272" spans="1:12" s="45" customFormat="1" ht="25.5" hidden="1" customHeight="1">
      <c r="A272" s="288">
        <f>A269+1</f>
        <v>21</v>
      </c>
      <c r="B272" s="61" t="s">
        <v>185</v>
      </c>
      <c r="C272" s="38" t="s">
        <v>29</v>
      </c>
      <c r="D272" s="38" t="s">
        <v>30</v>
      </c>
      <c r="E272" s="109"/>
      <c r="F272" s="97">
        <f>F263</f>
        <v>50.1</v>
      </c>
      <c r="G272" s="32">
        <v>250</v>
      </c>
      <c r="H272" s="235">
        <f>F272*G272</f>
        <v>12525</v>
      </c>
      <c r="I272" s="33"/>
      <c r="J272" s="66"/>
      <c r="K272" s="260">
        <f t="shared" si="21"/>
        <v>12525</v>
      </c>
      <c r="L272" s="1"/>
    </row>
    <row r="273" spans="1:12" s="44" customFormat="1" ht="15" hidden="1" customHeight="1">
      <c r="A273" s="284"/>
      <c r="B273" s="105" t="s">
        <v>80</v>
      </c>
      <c r="C273" s="38" t="s">
        <v>29</v>
      </c>
      <c r="D273" s="70" t="s">
        <v>81</v>
      </c>
      <c r="E273" s="109">
        <f>(499*0.08*1.02)/1000</f>
        <v>4.0718400000000002E-2</v>
      </c>
      <c r="F273" s="37">
        <f>F272*E273</f>
        <v>2.0399918400000003</v>
      </c>
      <c r="G273" s="32"/>
      <c r="H273" s="244"/>
      <c r="I273" s="33">
        <v>5473.05</v>
      </c>
      <c r="J273" s="73">
        <f t="shared" ref="J273:J279" si="22">F273*I273</f>
        <v>11164.977339912002</v>
      </c>
      <c r="K273" s="263">
        <f t="shared" si="21"/>
        <v>11164.977339912002</v>
      </c>
      <c r="L273" s="1"/>
    </row>
    <row r="274" spans="1:12" s="44" customFormat="1" ht="15" hidden="1" customHeight="1">
      <c r="A274" s="284"/>
      <c r="B274" s="105" t="s">
        <v>82</v>
      </c>
      <c r="C274" s="38" t="s">
        <v>29</v>
      </c>
      <c r="D274" s="70" t="s">
        <v>81</v>
      </c>
      <c r="E274" s="109">
        <f>(1792*0.8*0.08*1.02)/1000</f>
        <v>0.11698176000000002</v>
      </c>
      <c r="F274" s="37">
        <f>F272*E274</f>
        <v>5.8607861760000013</v>
      </c>
      <c r="G274" s="32"/>
      <c r="H274" s="244"/>
      <c r="I274" s="33">
        <v>823.63</v>
      </c>
      <c r="J274" s="73">
        <f t="shared" si="22"/>
        <v>4827.1193181388808</v>
      </c>
      <c r="K274" s="263">
        <f t="shared" si="21"/>
        <v>4827.1193181388808</v>
      </c>
      <c r="L274" s="1"/>
    </row>
    <row r="275" spans="1:12" s="45" customFormat="1" ht="15" hidden="1" customHeight="1">
      <c r="A275" s="297"/>
      <c r="B275" s="105" t="s">
        <v>83</v>
      </c>
      <c r="C275" s="38" t="s">
        <v>29</v>
      </c>
      <c r="D275" s="70" t="s">
        <v>81</v>
      </c>
      <c r="E275" s="109">
        <f>(1792*0.2*0.08*1.02)/1000</f>
        <v>2.9245440000000004E-2</v>
      </c>
      <c r="F275" s="37">
        <f>F272*E275</f>
        <v>1.4651965440000003</v>
      </c>
      <c r="G275" s="32"/>
      <c r="H275" s="110"/>
      <c r="I275" s="33">
        <v>374.49299999999999</v>
      </c>
      <c r="J275" s="73">
        <f t="shared" si="22"/>
        <v>548.7058493521921</v>
      </c>
      <c r="K275" s="263">
        <f t="shared" si="21"/>
        <v>548.7058493521921</v>
      </c>
      <c r="L275" s="1"/>
    </row>
    <row r="276" spans="1:12" s="45" customFormat="1" ht="15" hidden="1" customHeight="1">
      <c r="A276" s="284"/>
      <c r="B276" s="105" t="s">
        <v>84</v>
      </c>
      <c r="C276" s="38" t="s">
        <v>29</v>
      </c>
      <c r="D276" s="70" t="s">
        <v>41</v>
      </c>
      <c r="E276" s="109">
        <v>1.1000000000000001</v>
      </c>
      <c r="F276" s="37">
        <f>F272*E276</f>
        <v>55.110000000000007</v>
      </c>
      <c r="G276" s="32"/>
      <c r="H276" s="110"/>
      <c r="I276" s="33">
        <v>115.91449999999999</v>
      </c>
      <c r="J276" s="73">
        <f t="shared" si="22"/>
        <v>6388.0480950000001</v>
      </c>
      <c r="K276" s="263">
        <f t="shared" si="21"/>
        <v>6388.0480950000001</v>
      </c>
      <c r="L276" s="1"/>
    </row>
    <row r="277" spans="1:12" s="44" customFormat="1" ht="15" hidden="1" customHeight="1">
      <c r="A277" s="284"/>
      <c r="B277" s="105" t="s">
        <v>85</v>
      </c>
      <c r="C277" s="38" t="s">
        <v>29</v>
      </c>
      <c r="D277" s="70" t="s">
        <v>81</v>
      </c>
      <c r="E277" s="109">
        <f>0.21/1000</f>
        <v>2.0999999999999998E-4</v>
      </c>
      <c r="F277" s="37">
        <f>F272*E277</f>
        <v>1.0520999999999999E-2</v>
      </c>
      <c r="G277" s="32"/>
      <c r="H277" s="244"/>
      <c r="I277" s="33">
        <v>56431.8</v>
      </c>
      <c r="J277" s="73">
        <f t="shared" si="22"/>
        <v>593.71896779999997</v>
      </c>
      <c r="K277" s="263">
        <f t="shared" si="21"/>
        <v>593.71896779999997</v>
      </c>
      <c r="L277" s="1"/>
    </row>
    <row r="278" spans="1:12" s="45" customFormat="1" ht="15" hidden="1" customHeight="1">
      <c r="A278" s="284"/>
      <c r="B278" s="105" t="s">
        <v>86</v>
      </c>
      <c r="C278" s="38" t="s">
        <v>29</v>
      </c>
      <c r="D278" s="70" t="s">
        <v>56</v>
      </c>
      <c r="E278" s="109">
        <v>4</v>
      </c>
      <c r="F278" s="37">
        <f>F272*E278</f>
        <v>200.4</v>
      </c>
      <c r="G278" s="32"/>
      <c r="H278" s="110"/>
      <c r="I278" s="33">
        <v>0.67135999999999996</v>
      </c>
      <c r="J278" s="73">
        <f t="shared" si="22"/>
        <v>134.54054399999998</v>
      </c>
      <c r="K278" s="263">
        <f t="shared" si="21"/>
        <v>134.54054399999998</v>
      </c>
      <c r="L278" s="1"/>
    </row>
    <row r="279" spans="1:12" s="44" customFormat="1" ht="15" hidden="1" customHeight="1">
      <c r="A279" s="284"/>
      <c r="B279" s="105" t="s">
        <v>87</v>
      </c>
      <c r="C279" s="38" t="s">
        <v>29</v>
      </c>
      <c r="D279" s="70" t="s">
        <v>58</v>
      </c>
      <c r="E279" s="109"/>
      <c r="F279" s="37">
        <f>F272</f>
        <v>50.1</v>
      </c>
      <c r="G279" s="32"/>
      <c r="H279" s="244"/>
      <c r="I279" s="33">
        <v>7.0979999999999999</v>
      </c>
      <c r="J279" s="73">
        <f t="shared" si="22"/>
        <v>355.60980000000001</v>
      </c>
      <c r="K279" s="263">
        <f t="shared" si="21"/>
        <v>355.60980000000001</v>
      </c>
      <c r="L279" s="1"/>
    </row>
    <row r="280" spans="1:12" s="45" customFormat="1" ht="15" hidden="1" customHeight="1">
      <c r="A280" s="288">
        <f>A272+1</f>
        <v>22</v>
      </c>
      <c r="B280" s="61" t="s">
        <v>101</v>
      </c>
      <c r="C280" s="38" t="s">
        <v>29</v>
      </c>
      <c r="D280" s="38" t="s">
        <v>30</v>
      </c>
      <c r="E280" s="109"/>
      <c r="F280" s="97">
        <f>F263</f>
        <v>50.1</v>
      </c>
      <c r="G280" s="32">
        <v>150</v>
      </c>
      <c r="H280" s="235">
        <f>F280*G280</f>
        <v>7515</v>
      </c>
      <c r="I280" s="33"/>
      <c r="J280" s="66"/>
      <c r="K280" s="260">
        <f t="shared" si="21"/>
        <v>7515</v>
      </c>
      <c r="L280" s="1"/>
    </row>
    <row r="281" spans="1:12" s="45" customFormat="1" ht="15" hidden="1" customHeight="1">
      <c r="A281" s="284"/>
      <c r="B281" s="105" t="s">
        <v>102</v>
      </c>
      <c r="C281" s="38" t="s">
        <v>29</v>
      </c>
      <c r="D281" s="70" t="s">
        <v>41</v>
      </c>
      <c r="E281" s="109">
        <f>1.15</f>
        <v>1.1499999999999999</v>
      </c>
      <c r="F281" s="37">
        <f>F280*E281</f>
        <v>57.614999999999995</v>
      </c>
      <c r="G281" s="32"/>
      <c r="H281" s="110"/>
      <c r="I281" s="33">
        <v>38.708099999999995</v>
      </c>
      <c r="J281" s="73">
        <f>F281*I281</f>
        <v>2230.1671814999995</v>
      </c>
      <c r="K281" s="263">
        <f t="shared" si="21"/>
        <v>2230.1671814999995</v>
      </c>
      <c r="L281" s="1"/>
    </row>
    <row r="282" spans="1:12" s="44" customFormat="1" ht="15" hidden="1" customHeight="1">
      <c r="A282" s="284"/>
      <c r="B282" s="105" t="s">
        <v>103</v>
      </c>
      <c r="C282" s="38" t="s">
        <v>29</v>
      </c>
      <c r="D282" s="70" t="s">
        <v>19</v>
      </c>
      <c r="E282" s="109">
        <v>0.3</v>
      </c>
      <c r="F282" s="37">
        <f>F280*E282</f>
        <v>15.03</v>
      </c>
      <c r="G282" s="32"/>
      <c r="H282" s="244"/>
      <c r="I282" s="33">
        <v>60.6</v>
      </c>
      <c r="J282" s="73">
        <f>F282*I282</f>
        <v>910.81799999999998</v>
      </c>
      <c r="K282" s="263">
        <f t="shared" si="21"/>
        <v>910.81799999999998</v>
      </c>
      <c r="L282" s="1"/>
    </row>
    <row r="283" spans="1:12" s="45" customFormat="1" ht="15" hidden="1" customHeight="1">
      <c r="A283" s="288"/>
      <c r="B283" s="105" t="s">
        <v>104</v>
      </c>
      <c r="C283" s="38" t="s">
        <v>29</v>
      </c>
      <c r="D283" s="70" t="s">
        <v>21</v>
      </c>
      <c r="E283" s="64">
        <v>1</v>
      </c>
      <c r="F283" s="37">
        <f>E283*F280</f>
        <v>50.1</v>
      </c>
      <c r="G283" s="32"/>
      <c r="H283" s="110"/>
      <c r="I283" s="33">
        <v>35</v>
      </c>
      <c r="J283" s="73">
        <f>F283*I283</f>
        <v>1753.5</v>
      </c>
      <c r="K283" s="263">
        <f t="shared" si="21"/>
        <v>1753.5</v>
      </c>
      <c r="L283" s="1"/>
    </row>
    <row r="284" spans="1:12" s="45" customFormat="1" ht="15" hidden="1" customHeight="1">
      <c r="A284" s="282"/>
      <c r="B284" s="120" t="s">
        <v>117</v>
      </c>
      <c r="C284" s="291"/>
      <c r="D284" s="292"/>
      <c r="E284" s="293"/>
      <c r="F284" s="292"/>
      <c r="G284" s="57"/>
      <c r="H284" s="292"/>
      <c r="I284" s="59"/>
      <c r="J284" s="294"/>
      <c r="K284" s="295"/>
      <c r="L284" s="1"/>
    </row>
    <row r="285" spans="1:12" s="45" customFormat="1" ht="15" customHeight="1">
      <c r="A285" s="288">
        <f>A280+1</f>
        <v>23</v>
      </c>
      <c r="B285" s="61" t="s">
        <v>77</v>
      </c>
      <c r="C285" s="38" t="s">
        <v>23</v>
      </c>
      <c r="D285" s="38" t="s">
        <v>30</v>
      </c>
      <c r="E285" s="109"/>
      <c r="F285" s="97">
        <v>58.62</v>
      </c>
      <c r="G285" s="32">
        <v>670</v>
      </c>
      <c r="H285" s="235">
        <f>F285*G285</f>
        <v>39275.4</v>
      </c>
      <c r="I285" s="33"/>
      <c r="J285" s="66"/>
      <c r="K285" s="260">
        <f t="shared" ref="K285:K298" si="23">H285+J285</f>
        <v>39275.4</v>
      </c>
      <c r="L285" s="1"/>
    </row>
    <row r="286" spans="1:12" s="45" customFormat="1" ht="15" customHeight="1">
      <c r="A286" s="284"/>
      <c r="B286" s="105" t="s">
        <v>24</v>
      </c>
      <c r="C286" s="38" t="s">
        <v>23</v>
      </c>
      <c r="D286" s="70" t="s">
        <v>41</v>
      </c>
      <c r="E286" s="109">
        <v>1.1000000000000001</v>
      </c>
      <c r="F286" s="37">
        <f>F285*E286</f>
        <v>64.481999999999999</v>
      </c>
      <c r="G286" s="32"/>
      <c r="H286" s="110"/>
      <c r="I286" s="33"/>
      <c r="J286" s="73">
        <f>F286*I286</f>
        <v>0</v>
      </c>
      <c r="K286" s="263">
        <f t="shared" si="23"/>
        <v>0</v>
      </c>
      <c r="L286" s="1"/>
    </row>
    <row r="287" spans="1:12" s="44" customFormat="1" ht="15" customHeight="1">
      <c r="A287" s="284"/>
      <c r="B287" s="105" t="s">
        <v>34</v>
      </c>
      <c r="C287" s="38" t="s">
        <v>23</v>
      </c>
      <c r="D287" s="70" t="s">
        <v>21</v>
      </c>
      <c r="E287" s="109">
        <v>0.2</v>
      </c>
      <c r="F287" s="37">
        <f>F285*E287</f>
        <v>11.724</v>
      </c>
      <c r="G287" s="32"/>
      <c r="H287" s="244"/>
      <c r="I287" s="33"/>
      <c r="J287" s="73">
        <f>F287*I287</f>
        <v>0</v>
      </c>
      <c r="K287" s="263">
        <f t="shared" si="23"/>
        <v>0</v>
      </c>
      <c r="L287" s="1"/>
    </row>
    <row r="288" spans="1:12" s="44" customFormat="1" ht="15" customHeight="1">
      <c r="A288" s="284"/>
      <c r="B288" s="105" t="s">
        <v>71</v>
      </c>
      <c r="C288" s="38" t="s">
        <v>23</v>
      </c>
      <c r="D288" s="70" t="s">
        <v>19</v>
      </c>
      <c r="E288" s="109">
        <v>7.6</v>
      </c>
      <c r="F288" s="37">
        <f>F285*E288</f>
        <v>445.51199999999994</v>
      </c>
      <c r="G288" s="32"/>
      <c r="H288" s="244"/>
      <c r="I288" s="33"/>
      <c r="J288" s="73">
        <f>F288*I288</f>
        <v>0</v>
      </c>
      <c r="K288" s="263">
        <f t="shared" si="23"/>
        <v>0</v>
      </c>
      <c r="L288" s="1"/>
    </row>
    <row r="289" spans="1:12" s="45" customFormat="1" ht="15" customHeight="1">
      <c r="A289" s="284"/>
      <c r="B289" s="105" t="s">
        <v>72</v>
      </c>
      <c r="C289" s="38" t="s">
        <v>23</v>
      </c>
      <c r="D289" s="70" t="s">
        <v>56</v>
      </c>
      <c r="E289" s="109">
        <v>11</v>
      </c>
      <c r="F289" s="37">
        <f>F285*E289</f>
        <v>644.81999999999994</v>
      </c>
      <c r="G289" s="32"/>
      <c r="H289" s="110"/>
      <c r="I289" s="33"/>
      <c r="J289" s="73">
        <f>F289*I289</f>
        <v>0</v>
      </c>
      <c r="K289" s="263">
        <f t="shared" si="23"/>
        <v>0</v>
      </c>
      <c r="L289" s="1"/>
    </row>
    <row r="290" spans="1:12" s="44" customFormat="1" ht="15" customHeight="1">
      <c r="A290" s="284"/>
      <c r="B290" s="105" t="s">
        <v>73</v>
      </c>
      <c r="C290" s="38" t="s">
        <v>23</v>
      </c>
      <c r="D290" s="70" t="s">
        <v>19</v>
      </c>
      <c r="E290" s="109">
        <v>0.4</v>
      </c>
      <c r="F290" s="37">
        <f>F285*E290</f>
        <v>23.448</v>
      </c>
      <c r="G290" s="32"/>
      <c r="H290" s="244"/>
      <c r="I290" s="33"/>
      <c r="J290" s="73">
        <f>F290*I290</f>
        <v>0</v>
      </c>
      <c r="K290" s="263">
        <f t="shared" si="23"/>
        <v>0</v>
      </c>
      <c r="L290" s="1"/>
    </row>
    <row r="291" spans="1:12" s="45" customFormat="1" ht="25.5" hidden="1" customHeight="1">
      <c r="A291" s="288">
        <f>A285+1</f>
        <v>24</v>
      </c>
      <c r="B291" s="61" t="s">
        <v>186</v>
      </c>
      <c r="C291" s="38" t="s">
        <v>29</v>
      </c>
      <c r="D291" s="38" t="s">
        <v>30</v>
      </c>
      <c r="E291" s="109"/>
      <c r="F291" s="97">
        <f>F285</f>
        <v>58.62</v>
      </c>
      <c r="G291" s="32">
        <v>250</v>
      </c>
      <c r="H291" s="235">
        <f>F291*G291</f>
        <v>14655</v>
      </c>
      <c r="I291" s="33"/>
      <c r="J291" s="66"/>
      <c r="K291" s="260">
        <f t="shared" si="23"/>
        <v>14655</v>
      </c>
      <c r="L291" s="1"/>
    </row>
    <row r="292" spans="1:12" s="44" customFormat="1" ht="15" hidden="1" customHeight="1">
      <c r="A292" s="284"/>
      <c r="B292" s="105" t="s">
        <v>80</v>
      </c>
      <c r="C292" s="38" t="s">
        <v>29</v>
      </c>
      <c r="D292" s="70" t="s">
        <v>81</v>
      </c>
      <c r="E292" s="109">
        <f>(499*0.1*1.02)/1000</f>
        <v>5.0898000000000006E-2</v>
      </c>
      <c r="F292" s="37">
        <f>F291*E292</f>
        <v>2.9836407600000001</v>
      </c>
      <c r="G292" s="32"/>
      <c r="H292" s="244"/>
      <c r="I292" s="33">
        <v>5473.05</v>
      </c>
      <c r="J292" s="73">
        <f t="shared" ref="J292:J298" si="24">F292*I292</f>
        <v>16329.615061518001</v>
      </c>
      <c r="K292" s="263">
        <f t="shared" si="23"/>
        <v>16329.615061518001</v>
      </c>
      <c r="L292" s="1"/>
    </row>
    <row r="293" spans="1:12" s="44" customFormat="1" ht="15" hidden="1" customHeight="1">
      <c r="A293" s="284"/>
      <c r="B293" s="105" t="s">
        <v>82</v>
      </c>
      <c r="C293" s="38" t="s">
        <v>29</v>
      </c>
      <c r="D293" s="70" t="s">
        <v>81</v>
      </c>
      <c r="E293" s="109">
        <f>(1792*0.8*0.1*1.02)/1000</f>
        <v>0.1462272</v>
      </c>
      <c r="F293" s="37">
        <f>F291*E293</f>
        <v>8.5718384639999989</v>
      </c>
      <c r="G293" s="32"/>
      <c r="H293" s="244"/>
      <c r="I293" s="33">
        <v>823.63</v>
      </c>
      <c r="J293" s="73">
        <f t="shared" si="24"/>
        <v>7060.0233141043191</v>
      </c>
      <c r="K293" s="263">
        <f t="shared" si="23"/>
        <v>7060.0233141043191</v>
      </c>
      <c r="L293" s="1"/>
    </row>
    <row r="294" spans="1:12" s="45" customFormat="1" ht="15" hidden="1" customHeight="1">
      <c r="A294" s="297"/>
      <c r="B294" s="105" t="s">
        <v>83</v>
      </c>
      <c r="C294" s="38" t="s">
        <v>29</v>
      </c>
      <c r="D294" s="70" t="s">
        <v>81</v>
      </c>
      <c r="E294" s="109">
        <f>(1792*0.2*0.1*1.02)/1000</f>
        <v>3.65568E-2</v>
      </c>
      <c r="F294" s="37">
        <f>F291*E294</f>
        <v>2.1429596159999997</v>
      </c>
      <c r="G294" s="32"/>
      <c r="H294" s="110"/>
      <c r="I294" s="33">
        <v>374.49299999999999</v>
      </c>
      <c r="J294" s="73">
        <f t="shared" si="24"/>
        <v>802.5233754746879</v>
      </c>
      <c r="K294" s="263">
        <f t="shared" si="23"/>
        <v>802.5233754746879</v>
      </c>
      <c r="L294" s="1"/>
    </row>
    <row r="295" spans="1:12" s="45" customFormat="1" ht="15" hidden="1" customHeight="1">
      <c r="A295" s="284"/>
      <c r="B295" s="105" t="s">
        <v>84</v>
      </c>
      <c r="C295" s="38" t="s">
        <v>29</v>
      </c>
      <c r="D295" s="70" t="s">
        <v>41</v>
      </c>
      <c r="E295" s="109">
        <v>1.1000000000000001</v>
      </c>
      <c r="F295" s="37">
        <f>F291*E295</f>
        <v>64.481999999999999</v>
      </c>
      <c r="G295" s="32"/>
      <c r="H295" s="110"/>
      <c r="I295" s="33">
        <v>115.91449999999999</v>
      </c>
      <c r="J295" s="73">
        <f t="shared" si="24"/>
        <v>7474.3987889999989</v>
      </c>
      <c r="K295" s="263">
        <f t="shared" si="23"/>
        <v>7474.3987889999989</v>
      </c>
      <c r="L295" s="1"/>
    </row>
    <row r="296" spans="1:12" s="44" customFormat="1" ht="15" hidden="1" customHeight="1">
      <c r="A296" s="284"/>
      <c r="B296" s="105" t="s">
        <v>85</v>
      </c>
      <c r="C296" s="38" t="s">
        <v>29</v>
      </c>
      <c r="D296" s="70" t="s">
        <v>81</v>
      </c>
      <c r="E296" s="109">
        <f>0.21/1000</f>
        <v>2.0999999999999998E-4</v>
      </c>
      <c r="F296" s="37">
        <f>F291*E296</f>
        <v>1.2310199999999999E-2</v>
      </c>
      <c r="G296" s="32"/>
      <c r="H296" s="244"/>
      <c r="I296" s="33">
        <v>56431.8</v>
      </c>
      <c r="J296" s="73">
        <f t="shared" si="24"/>
        <v>694.68674435999992</v>
      </c>
      <c r="K296" s="263">
        <f t="shared" si="23"/>
        <v>694.68674435999992</v>
      </c>
      <c r="L296" s="1"/>
    </row>
    <row r="297" spans="1:12" s="45" customFormat="1" ht="15" hidden="1" customHeight="1">
      <c r="A297" s="284"/>
      <c r="B297" s="105" t="s">
        <v>86</v>
      </c>
      <c r="C297" s="38" t="s">
        <v>29</v>
      </c>
      <c r="D297" s="70" t="s">
        <v>56</v>
      </c>
      <c r="E297" s="109">
        <v>4</v>
      </c>
      <c r="F297" s="37">
        <f>F291*E297</f>
        <v>234.48</v>
      </c>
      <c r="G297" s="32"/>
      <c r="H297" s="110"/>
      <c r="I297" s="33">
        <v>0.67135999999999996</v>
      </c>
      <c r="J297" s="73">
        <f t="shared" si="24"/>
        <v>157.42049279999998</v>
      </c>
      <c r="K297" s="263">
        <f t="shared" si="23"/>
        <v>157.42049279999998</v>
      </c>
      <c r="L297" s="1"/>
    </row>
    <row r="298" spans="1:12" s="44" customFormat="1" ht="15" hidden="1" customHeight="1">
      <c r="A298" s="284"/>
      <c r="B298" s="105" t="s">
        <v>87</v>
      </c>
      <c r="C298" s="38" t="s">
        <v>29</v>
      </c>
      <c r="D298" s="70" t="s">
        <v>58</v>
      </c>
      <c r="E298" s="109"/>
      <c r="F298" s="37">
        <f>F291</f>
        <v>58.62</v>
      </c>
      <c r="G298" s="32"/>
      <c r="H298" s="244"/>
      <c r="I298" s="33">
        <v>7.0979999999999999</v>
      </c>
      <c r="J298" s="73">
        <f t="shared" si="24"/>
        <v>416.08475999999996</v>
      </c>
      <c r="K298" s="263">
        <f t="shared" si="23"/>
        <v>416.08475999999996</v>
      </c>
      <c r="L298" s="1"/>
    </row>
    <row r="299" spans="1:12" s="45" customFormat="1" ht="15" hidden="1" customHeight="1">
      <c r="A299" s="284"/>
      <c r="B299" s="105"/>
      <c r="C299" s="75"/>
      <c r="D299" s="70"/>
      <c r="E299" s="109"/>
      <c r="F299" s="37"/>
      <c r="G299" s="32"/>
      <c r="H299" s="110"/>
      <c r="I299" s="33"/>
      <c r="J299" s="73"/>
      <c r="K299" s="263"/>
      <c r="L299" s="1"/>
    </row>
    <row r="300" spans="1:12" s="45" customFormat="1" ht="15" hidden="1" customHeight="1">
      <c r="A300" s="282"/>
      <c r="B300" s="120" t="s">
        <v>118</v>
      </c>
      <c r="C300" s="291"/>
      <c r="D300" s="292"/>
      <c r="E300" s="293"/>
      <c r="F300" s="292"/>
      <c r="G300" s="57"/>
      <c r="H300" s="292"/>
      <c r="I300" s="59"/>
      <c r="J300" s="294"/>
      <c r="K300" s="295"/>
      <c r="L300" s="1"/>
    </row>
    <row r="301" spans="1:12" s="45" customFormat="1" ht="15" customHeight="1">
      <c r="A301" s="288">
        <f>A291+1</f>
        <v>25</v>
      </c>
      <c r="B301" s="61" t="s">
        <v>77</v>
      </c>
      <c r="C301" s="38" t="s">
        <v>23</v>
      </c>
      <c r="D301" s="38" t="s">
        <v>30</v>
      </c>
      <c r="E301" s="109"/>
      <c r="F301" s="97">
        <v>77.849999999999994</v>
      </c>
      <c r="G301" s="32">
        <v>670</v>
      </c>
      <c r="H301" s="235">
        <f>F301*G301</f>
        <v>52159.499999999993</v>
      </c>
      <c r="I301" s="33"/>
      <c r="J301" s="66"/>
      <c r="K301" s="260">
        <f t="shared" ref="K301:K322" si="25">H301+J301</f>
        <v>52159.499999999993</v>
      </c>
      <c r="L301" s="1"/>
    </row>
    <row r="302" spans="1:12" s="45" customFormat="1" ht="15" customHeight="1">
      <c r="A302" s="284"/>
      <c r="B302" s="105" t="s">
        <v>24</v>
      </c>
      <c r="C302" s="38" t="s">
        <v>23</v>
      </c>
      <c r="D302" s="70" t="s">
        <v>41</v>
      </c>
      <c r="E302" s="109">
        <v>1.1000000000000001</v>
      </c>
      <c r="F302" s="37">
        <f>F301*E302</f>
        <v>85.635000000000005</v>
      </c>
      <c r="G302" s="32"/>
      <c r="H302" s="110"/>
      <c r="I302" s="33"/>
      <c r="J302" s="73">
        <f>F302*I302</f>
        <v>0</v>
      </c>
      <c r="K302" s="263">
        <f t="shared" si="25"/>
        <v>0</v>
      </c>
      <c r="L302" s="1"/>
    </row>
    <row r="303" spans="1:12" s="44" customFormat="1" ht="15" customHeight="1">
      <c r="A303" s="284"/>
      <c r="B303" s="105" t="s">
        <v>34</v>
      </c>
      <c r="C303" s="38" t="s">
        <v>23</v>
      </c>
      <c r="D303" s="70" t="s">
        <v>21</v>
      </c>
      <c r="E303" s="109">
        <v>0.2</v>
      </c>
      <c r="F303" s="37">
        <f>F301*E303</f>
        <v>15.57</v>
      </c>
      <c r="G303" s="32"/>
      <c r="H303" s="244"/>
      <c r="I303" s="33"/>
      <c r="J303" s="73">
        <f>F303*I303</f>
        <v>0</v>
      </c>
      <c r="K303" s="263">
        <f t="shared" si="25"/>
        <v>0</v>
      </c>
      <c r="L303" s="1"/>
    </row>
    <row r="304" spans="1:12" s="44" customFormat="1" ht="15" customHeight="1">
      <c r="A304" s="284"/>
      <c r="B304" s="105" t="s">
        <v>71</v>
      </c>
      <c r="C304" s="38" t="s">
        <v>23</v>
      </c>
      <c r="D304" s="70" t="s">
        <v>19</v>
      </c>
      <c r="E304" s="109">
        <v>7.6</v>
      </c>
      <c r="F304" s="37">
        <f>F301*E304</f>
        <v>591.66</v>
      </c>
      <c r="G304" s="32"/>
      <c r="H304" s="244"/>
      <c r="I304" s="33"/>
      <c r="J304" s="73">
        <f>F304*I304</f>
        <v>0</v>
      </c>
      <c r="K304" s="263">
        <f t="shared" si="25"/>
        <v>0</v>
      </c>
      <c r="L304" s="1"/>
    </row>
    <row r="305" spans="1:12" s="45" customFormat="1" ht="15" customHeight="1">
      <c r="A305" s="284"/>
      <c r="B305" s="105" t="s">
        <v>72</v>
      </c>
      <c r="C305" s="38" t="s">
        <v>23</v>
      </c>
      <c r="D305" s="70" t="s">
        <v>56</v>
      </c>
      <c r="E305" s="109">
        <v>11</v>
      </c>
      <c r="F305" s="37">
        <f>F301*E305</f>
        <v>856.34999999999991</v>
      </c>
      <c r="G305" s="32"/>
      <c r="H305" s="110"/>
      <c r="I305" s="33"/>
      <c r="J305" s="73">
        <f>F305*I305</f>
        <v>0</v>
      </c>
      <c r="K305" s="263">
        <f t="shared" si="25"/>
        <v>0</v>
      </c>
      <c r="L305" s="1"/>
    </row>
    <row r="306" spans="1:12" s="44" customFormat="1" ht="15" customHeight="1">
      <c r="A306" s="284"/>
      <c r="B306" s="105" t="s">
        <v>73</v>
      </c>
      <c r="C306" s="38" t="s">
        <v>23</v>
      </c>
      <c r="D306" s="70" t="s">
        <v>19</v>
      </c>
      <c r="E306" s="109">
        <v>0.4</v>
      </c>
      <c r="F306" s="37">
        <f>F301*E306</f>
        <v>31.14</v>
      </c>
      <c r="G306" s="32"/>
      <c r="H306" s="244"/>
      <c r="I306" s="33"/>
      <c r="J306" s="73">
        <f>F306*I306</f>
        <v>0</v>
      </c>
      <c r="K306" s="263">
        <f t="shared" si="25"/>
        <v>0</v>
      </c>
      <c r="L306" s="1"/>
    </row>
    <row r="307" spans="1:12" s="45" customFormat="1" ht="25.5" hidden="1" customHeight="1">
      <c r="A307" s="288">
        <f>A301+1</f>
        <v>26</v>
      </c>
      <c r="B307" s="61" t="s">
        <v>119</v>
      </c>
      <c r="C307" s="38" t="s">
        <v>29</v>
      </c>
      <c r="D307" s="38" t="s">
        <v>30</v>
      </c>
      <c r="E307" s="109"/>
      <c r="F307" s="97">
        <f>F301</f>
        <v>77.849999999999994</v>
      </c>
      <c r="G307" s="32">
        <v>250</v>
      </c>
      <c r="H307" s="235">
        <f>F307*G307</f>
        <v>19462.5</v>
      </c>
      <c r="I307" s="33"/>
      <c r="J307" s="66"/>
      <c r="K307" s="260">
        <f t="shared" si="25"/>
        <v>19462.5</v>
      </c>
      <c r="L307" s="1"/>
    </row>
    <row r="308" spans="1:12" s="44" customFormat="1" ht="15" hidden="1" customHeight="1">
      <c r="A308" s="284"/>
      <c r="B308" s="105" t="s">
        <v>80</v>
      </c>
      <c r="C308" s="38" t="s">
        <v>29</v>
      </c>
      <c r="D308" s="70" t="s">
        <v>81</v>
      </c>
      <c r="E308" s="109">
        <f>(499*0.075*1.02)/1000</f>
        <v>3.8173499999999999E-2</v>
      </c>
      <c r="F308" s="37">
        <f>F307*E308</f>
        <v>2.9718069749999998</v>
      </c>
      <c r="G308" s="32"/>
      <c r="H308" s="244"/>
      <c r="I308" s="33">
        <v>5473.05</v>
      </c>
      <c r="J308" s="73">
        <f t="shared" ref="J308:J314" si="26">F308*I308</f>
        <v>16264.84816452375</v>
      </c>
      <c r="K308" s="263">
        <f t="shared" si="25"/>
        <v>16264.84816452375</v>
      </c>
      <c r="L308" s="1"/>
    </row>
    <row r="309" spans="1:12" s="44" customFormat="1" ht="15" hidden="1" customHeight="1">
      <c r="A309" s="284"/>
      <c r="B309" s="105" t="s">
        <v>82</v>
      </c>
      <c r="C309" s="38" t="s">
        <v>29</v>
      </c>
      <c r="D309" s="70" t="s">
        <v>81</v>
      </c>
      <c r="E309" s="109">
        <f>(1792*0.8*0.075*1.02)/1000</f>
        <v>0.10967040000000002</v>
      </c>
      <c r="F309" s="37">
        <f>F307*E309</f>
        <v>8.5378406400000006</v>
      </c>
      <c r="G309" s="32"/>
      <c r="H309" s="244"/>
      <c r="I309" s="33">
        <v>823.63</v>
      </c>
      <c r="J309" s="73">
        <f t="shared" si="26"/>
        <v>7032.0216863232008</v>
      </c>
      <c r="K309" s="263">
        <f t="shared" si="25"/>
        <v>7032.0216863232008</v>
      </c>
      <c r="L309" s="1"/>
    </row>
    <row r="310" spans="1:12" s="45" customFormat="1" ht="15" hidden="1" customHeight="1">
      <c r="A310" s="284"/>
      <c r="B310" s="105" t="s">
        <v>83</v>
      </c>
      <c r="C310" s="38" t="s">
        <v>29</v>
      </c>
      <c r="D310" s="70" t="s">
        <v>81</v>
      </c>
      <c r="E310" s="109">
        <f>(1792*0.2*0.075*1.02)/1000</f>
        <v>2.7417600000000004E-2</v>
      </c>
      <c r="F310" s="37">
        <f>F307*E310</f>
        <v>2.1344601600000002</v>
      </c>
      <c r="G310" s="32"/>
      <c r="H310" s="110"/>
      <c r="I310" s="33">
        <v>374.49299999999999</v>
      </c>
      <c r="J310" s="73">
        <f t="shared" si="26"/>
        <v>799.34038869888002</v>
      </c>
      <c r="K310" s="263">
        <f t="shared" si="25"/>
        <v>799.34038869888002</v>
      </c>
      <c r="L310" s="1"/>
    </row>
    <row r="311" spans="1:12" s="45" customFormat="1" ht="15" hidden="1" customHeight="1">
      <c r="A311" s="284"/>
      <c r="B311" s="105" t="s">
        <v>84</v>
      </c>
      <c r="C311" s="38" t="s">
        <v>29</v>
      </c>
      <c r="D311" s="70" t="s">
        <v>41</v>
      </c>
      <c r="E311" s="109">
        <v>1.1000000000000001</v>
      </c>
      <c r="F311" s="37">
        <f>F307*E311</f>
        <v>85.635000000000005</v>
      </c>
      <c r="G311" s="32"/>
      <c r="H311" s="110"/>
      <c r="I311" s="33">
        <v>115.91449999999999</v>
      </c>
      <c r="J311" s="73">
        <f t="shared" si="26"/>
        <v>9926.338207499999</v>
      </c>
      <c r="K311" s="263">
        <f t="shared" si="25"/>
        <v>9926.338207499999</v>
      </c>
      <c r="L311" s="1"/>
    </row>
    <row r="312" spans="1:12" s="44" customFormat="1" ht="15" hidden="1" customHeight="1">
      <c r="A312" s="284"/>
      <c r="B312" s="105" t="s">
        <v>85</v>
      </c>
      <c r="C312" s="38" t="s">
        <v>29</v>
      </c>
      <c r="D312" s="70" t="s">
        <v>81</v>
      </c>
      <c r="E312" s="109">
        <f>0.21/1000</f>
        <v>2.0999999999999998E-4</v>
      </c>
      <c r="F312" s="37">
        <f>F307*E312</f>
        <v>1.6348499999999998E-2</v>
      </c>
      <c r="G312" s="32"/>
      <c r="H312" s="244"/>
      <c r="I312" s="33">
        <v>56431.8</v>
      </c>
      <c r="J312" s="73">
        <f t="shared" si="26"/>
        <v>922.57528229999991</v>
      </c>
      <c r="K312" s="263">
        <f t="shared" si="25"/>
        <v>922.57528229999991</v>
      </c>
      <c r="L312" s="1"/>
    </row>
    <row r="313" spans="1:12" s="45" customFormat="1" ht="15" hidden="1" customHeight="1">
      <c r="A313" s="284"/>
      <c r="B313" s="105" t="s">
        <v>86</v>
      </c>
      <c r="C313" s="38" t="s">
        <v>29</v>
      </c>
      <c r="D313" s="70" t="s">
        <v>56</v>
      </c>
      <c r="E313" s="109">
        <v>4</v>
      </c>
      <c r="F313" s="37">
        <f>F307*E313</f>
        <v>311.39999999999998</v>
      </c>
      <c r="G313" s="32"/>
      <c r="H313" s="110"/>
      <c r="I313" s="33">
        <v>0.67135999999999996</v>
      </c>
      <c r="J313" s="73">
        <f t="shared" si="26"/>
        <v>209.06150399999999</v>
      </c>
      <c r="K313" s="263">
        <f t="shared" si="25"/>
        <v>209.06150399999999</v>
      </c>
      <c r="L313" s="1"/>
    </row>
    <row r="314" spans="1:12" s="44" customFormat="1" ht="15" hidden="1" customHeight="1">
      <c r="A314" s="284"/>
      <c r="B314" s="105" t="s">
        <v>87</v>
      </c>
      <c r="C314" s="38" t="s">
        <v>29</v>
      </c>
      <c r="D314" s="70" t="s">
        <v>58</v>
      </c>
      <c r="E314" s="109"/>
      <c r="F314" s="37">
        <f>F307</f>
        <v>77.849999999999994</v>
      </c>
      <c r="G314" s="32"/>
      <c r="H314" s="244"/>
      <c r="I314" s="33">
        <v>7.0979999999999999</v>
      </c>
      <c r="J314" s="73">
        <f t="shared" si="26"/>
        <v>552.57929999999999</v>
      </c>
      <c r="K314" s="263">
        <f t="shared" si="25"/>
        <v>552.57929999999999</v>
      </c>
      <c r="L314" s="1"/>
    </row>
    <row r="315" spans="1:12" s="45" customFormat="1" ht="25.5" hidden="1" customHeight="1">
      <c r="A315" s="288">
        <f>A307+1</f>
        <v>27</v>
      </c>
      <c r="B315" s="61" t="s">
        <v>98</v>
      </c>
      <c r="C315" s="38" t="s">
        <v>29</v>
      </c>
      <c r="D315" s="38" t="s">
        <v>30</v>
      </c>
      <c r="E315" s="109"/>
      <c r="F315" s="97">
        <f>F301</f>
        <v>77.849999999999994</v>
      </c>
      <c r="G315" s="32">
        <v>120</v>
      </c>
      <c r="H315" s="235">
        <f>F315*G315</f>
        <v>9342</v>
      </c>
      <c r="I315" s="33"/>
      <c r="J315" s="66"/>
      <c r="K315" s="260">
        <f t="shared" si="25"/>
        <v>9342</v>
      </c>
      <c r="L315" s="1"/>
    </row>
    <row r="316" spans="1:12" s="44" customFormat="1" ht="15" hidden="1" customHeight="1">
      <c r="A316" s="284"/>
      <c r="B316" s="105" t="s">
        <v>99</v>
      </c>
      <c r="C316" s="38" t="s">
        <v>29</v>
      </c>
      <c r="D316" s="70" t="s">
        <v>41</v>
      </c>
      <c r="E316" s="109">
        <v>1.1499999999999999</v>
      </c>
      <c r="F316" s="37">
        <f>F315*E316</f>
        <v>89.527499999999989</v>
      </c>
      <c r="G316" s="32"/>
      <c r="H316" s="244"/>
      <c r="I316" s="33">
        <v>161.51</v>
      </c>
      <c r="J316" s="73">
        <f>F316*I316</f>
        <v>14459.586524999997</v>
      </c>
      <c r="K316" s="263">
        <f t="shared" si="25"/>
        <v>14459.586524999997</v>
      </c>
      <c r="L316" s="1"/>
    </row>
    <row r="317" spans="1:12" s="45" customFormat="1" ht="15" hidden="1" customHeight="1">
      <c r="A317" s="284"/>
      <c r="B317" s="105" t="s">
        <v>100</v>
      </c>
      <c r="C317" s="38" t="s">
        <v>29</v>
      </c>
      <c r="D317" s="70" t="s">
        <v>58</v>
      </c>
      <c r="E317" s="109"/>
      <c r="F317" s="37">
        <f>F315</f>
        <v>77.849999999999994</v>
      </c>
      <c r="G317" s="32"/>
      <c r="H317" s="110"/>
      <c r="I317" s="33">
        <v>0.90213999999999994</v>
      </c>
      <c r="J317" s="73">
        <f>F317*I317</f>
        <v>70.231598999999989</v>
      </c>
      <c r="K317" s="263">
        <f t="shared" si="25"/>
        <v>70.231598999999989</v>
      </c>
      <c r="L317" s="1"/>
    </row>
    <row r="318" spans="1:12" s="45" customFormat="1" ht="15" hidden="1" customHeight="1">
      <c r="A318" s="288">
        <f>A315+1</f>
        <v>28</v>
      </c>
      <c r="B318" s="61" t="s">
        <v>91</v>
      </c>
      <c r="C318" s="38" t="s">
        <v>29</v>
      </c>
      <c r="D318" s="38" t="s">
        <v>30</v>
      </c>
      <c r="E318" s="109"/>
      <c r="F318" s="97">
        <f>F301</f>
        <v>77.849999999999994</v>
      </c>
      <c r="G318" s="32">
        <v>50</v>
      </c>
      <c r="H318" s="235">
        <f>F318*G318</f>
        <v>3892.4999999999995</v>
      </c>
      <c r="I318" s="33"/>
      <c r="J318" s="66"/>
      <c r="K318" s="260">
        <f t="shared" si="25"/>
        <v>3892.4999999999995</v>
      </c>
      <c r="L318" s="1"/>
    </row>
    <row r="319" spans="1:12" s="45" customFormat="1" ht="15" hidden="1" customHeight="1">
      <c r="A319" s="284"/>
      <c r="B319" s="105" t="s">
        <v>92</v>
      </c>
      <c r="C319" s="38" t="s">
        <v>29</v>
      </c>
      <c r="D319" s="70" t="s">
        <v>41</v>
      </c>
      <c r="E319" s="109">
        <v>1.1000000000000001</v>
      </c>
      <c r="F319" s="37">
        <f>F318*E319</f>
        <v>85.635000000000005</v>
      </c>
      <c r="G319" s="32"/>
      <c r="H319" s="110"/>
      <c r="I319" s="33">
        <v>14.05</v>
      </c>
      <c r="J319" s="73">
        <f>F319*I319</f>
        <v>1203.1717500000002</v>
      </c>
      <c r="K319" s="263">
        <f t="shared" si="25"/>
        <v>1203.1717500000002</v>
      </c>
      <c r="L319" s="1"/>
    </row>
    <row r="320" spans="1:12" s="44" customFormat="1" ht="15" hidden="1" customHeight="1">
      <c r="A320" s="284"/>
      <c r="B320" s="105" t="s">
        <v>93</v>
      </c>
      <c r="C320" s="38" t="s">
        <v>29</v>
      </c>
      <c r="D320" s="70" t="s">
        <v>58</v>
      </c>
      <c r="E320" s="109"/>
      <c r="F320" s="37">
        <f>F318*E320</f>
        <v>0</v>
      </c>
      <c r="G320" s="32"/>
      <c r="H320" s="244"/>
      <c r="I320" s="33">
        <v>4.96</v>
      </c>
      <c r="J320" s="73">
        <f>F320*I320</f>
        <v>0</v>
      </c>
      <c r="K320" s="263">
        <f t="shared" si="25"/>
        <v>0</v>
      </c>
      <c r="L320" s="1"/>
    </row>
    <row r="321" spans="1:12" s="45" customFormat="1" ht="15" hidden="1" customHeight="1">
      <c r="A321" s="288">
        <f>A318+1</f>
        <v>29</v>
      </c>
      <c r="B321" s="61" t="s">
        <v>120</v>
      </c>
      <c r="C321" s="38" t="s">
        <v>29</v>
      </c>
      <c r="D321" s="38" t="s">
        <v>30</v>
      </c>
      <c r="E321" s="109"/>
      <c r="F321" s="97">
        <f>F301</f>
        <v>77.849999999999994</v>
      </c>
      <c r="G321" s="32">
        <v>350</v>
      </c>
      <c r="H321" s="235">
        <f>F321*G321</f>
        <v>27247.499999999996</v>
      </c>
      <c r="I321" s="33"/>
      <c r="J321" s="66"/>
      <c r="K321" s="260">
        <f t="shared" si="25"/>
        <v>27247.499999999996</v>
      </c>
      <c r="L321" s="1"/>
    </row>
    <row r="322" spans="1:12" s="45" customFormat="1" ht="15" hidden="1" customHeight="1">
      <c r="A322" s="284"/>
      <c r="B322" s="105" t="s">
        <v>95</v>
      </c>
      <c r="C322" s="38" t="s">
        <v>29</v>
      </c>
      <c r="D322" s="70" t="s">
        <v>96</v>
      </c>
      <c r="E322" s="109">
        <f>0.3*1.02</f>
        <v>0.30599999999999999</v>
      </c>
      <c r="F322" s="37">
        <f>F321*E322</f>
        <v>23.822099999999999</v>
      </c>
      <c r="G322" s="32"/>
      <c r="H322" s="110"/>
      <c r="I322" s="33">
        <v>2448.1561999999999</v>
      </c>
      <c r="J322" s="73">
        <f>F322*I322</f>
        <v>58320.221812019998</v>
      </c>
      <c r="K322" s="263">
        <f t="shared" si="25"/>
        <v>58320.221812019998</v>
      </c>
      <c r="L322" s="1"/>
    </row>
    <row r="323" spans="1:12" s="45" customFormat="1" ht="15" hidden="1" customHeight="1">
      <c r="A323" s="284"/>
      <c r="B323" s="105"/>
      <c r="C323" s="75"/>
      <c r="D323" s="70"/>
      <c r="E323" s="64"/>
      <c r="F323" s="37"/>
      <c r="G323" s="32"/>
      <c r="H323" s="110"/>
      <c r="I323" s="33"/>
      <c r="J323" s="73"/>
      <c r="K323" s="263"/>
      <c r="L323" s="1"/>
    </row>
    <row r="324" spans="1:12" s="45" customFormat="1" ht="15" hidden="1" customHeight="1">
      <c r="A324" s="282"/>
      <c r="B324" s="120" t="s">
        <v>121</v>
      </c>
      <c r="C324" s="291"/>
      <c r="D324" s="292"/>
      <c r="E324" s="293"/>
      <c r="F324" s="292"/>
      <c r="G324" s="57"/>
      <c r="H324" s="292"/>
      <c r="I324" s="59"/>
      <c r="J324" s="294"/>
      <c r="K324" s="295"/>
      <c r="L324" s="1"/>
    </row>
    <row r="325" spans="1:12" s="45" customFormat="1" ht="15" customHeight="1">
      <c r="A325" s="288">
        <f>A321+1</f>
        <v>30</v>
      </c>
      <c r="B325" s="61" t="s">
        <v>77</v>
      </c>
      <c r="C325" s="38" t="s">
        <v>23</v>
      </c>
      <c r="D325" s="38" t="s">
        <v>30</v>
      </c>
      <c r="E325" s="109"/>
      <c r="F325" s="97">
        <v>120.5</v>
      </c>
      <c r="G325" s="32">
        <v>670</v>
      </c>
      <c r="H325" s="235">
        <f>F325*G325</f>
        <v>80735</v>
      </c>
      <c r="I325" s="33"/>
      <c r="J325" s="66"/>
      <c r="K325" s="260">
        <f t="shared" ref="K325:K356" si="27">H325+J325</f>
        <v>80735</v>
      </c>
      <c r="L325" s="1"/>
    </row>
    <row r="326" spans="1:12" s="45" customFormat="1" ht="15" customHeight="1">
      <c r="A326" s="284"/>
      <c r="B326" s="105" t="s">
        <v>24</v>
      </c>
      <c r="C326" s="38" t="s">
        <v>23</v>
      </c>
      <c r="D326" s="70" t="s">
        <v>41</v>
      </c>
      <c r="E326" s="109">
        <v>1.1000000000000001</v>
      </c>
      <c r="F326" s="37">
        <f>F325*E326</f>
        <v>132.55000000000001</v>
      </c>
      <c r="G326" s="32"/>
      <c r="H326" s="110"/>
      <c r="I326" s="33"/>
      <c r="J326" s="73">
        <f>F326*I326</f>
        <v>0</v>
      </c>
      <c r="K326" s="263">
        <f t="shared" si="27"/>
        <v>0</v>
      </c>
      <c r="L326" s="1"/>
    </row>
    <row r="327" spans="1:12" s="44" customFormat="1" ht="15" customHeight="1">
      <c r="A327" s="284"/>
      <c r="B327" s="105" t="s">
        <v>34</v>
      </c>
      <c r="C327" s="38" t="s">
        <v>23</v>
      </c>
      <c r="D327" s="70" t="s">
        <v>21</v>
      </c>
      <c r="E327" s="109">
        <v>0.2</v>
      </c>
      <c r="F327" s="37">
        <f>F325*E327</f>
        <v>24.1</v>
      </c>
      <c r="G327" s="32"/>
      <c r="H327" s="244"/>
      <c r="I327" s="33"/>
      <c r="J327" s="73">
        <f>F327*I327</f>
        <v>0</v>
      </c>
      <c r="K327" s="263">
        <f t="shared" si="27"/>
        <v>0</v>
      </c>
      <c r="L327" s="1"/>
    </row>
    <row r="328" spans="1:12" s="44" customFormat="1" ht="15" customHeight="1">
      <c r="A328" s="284"/>
      <c r="B328" s="105" t="s">
        <v>71</v>
      </c>
      <c r="C328" s="38" t="s">
        <v>23</v>
      </c>
      <c r="D328" s="70" t="s">
        <v>19</v>
      </c>
      <c r="E328" s="109">
        <v>7.6</v>
      </c>
      <c r="F328" s="37">
        <f>F325*E328</f>
        <v>915.8</v>
      </c>
      <c r="G328" s="32"/>
      <c r="H328" s="244"/>
      <c r="I328" s="33"/>
      <c r="J328" s="73">
        <f>F328*I328</f>
        <v>0</v>
      </c>
      <c r="K328" s="263">
        <f t="shared" si="27"/>
        <v>0</v>
      </c>
      <c r="L328" s="1"/>
    </row>
    <row r="329" spans="1:12" s="45" customFormat="1" ht="15" customHeight="1">
      <c r="A329" s="284"/>
      <c r="B329" s="105" t="s">
        <v>72</v>
      </c>
      <c r="C329" s="38" t="s">
        <v>23</v>
      </c>
      <c r="D329" s="70" t="s">
        <v>56</v>
      </c>
      <c r="E329" s="109">
        <v>11</v>
      </c>
      <c r="F329" s="37">
        <f>F325*E329</f>
        <v>1325.5</v>
      </c>
      <c r="G329" s="32"/>
      <c r="H329" s="110"/>
      <c r="I329" s="33"/>
      <c r="J329" s="73">
        <f>F329*I329</f>
        <v>0</v>
      </c>
      <c r="K329" s="263">
        <f t="shared" si="27"/>
        <v>0</v>
      </c>
      <c r="L329" s="1"/>
    </row>
    <row r="330" spans="1:12" s="44" customFormat="1" ht="15" customHeight="1">
      <c r="A330" s="284"/>
      <c r="B330" s="105" t="s">
        <v>73</v>
      </c>
      <c r="C330" s="38" t="s">
        <v>23</v>
      </c>
      <c r="D330" s="70" t="s">
        <v>19</v>
      </c>
      <c r="E330" s="109">
        <v>0.4</v>
      </c>
      <c r="F330" s="37">
        <f>F325*E330</f>
        <v>48.2</v>
      </c>
      <c r="G330" s="32"/>
      <c r="H330" s="244"/>
      <c r="I330" s="33"/>
      <c r="J330" s="73">
        <f>F330*I330</f>
        <v>0</v>
      </c>
      <c r="K330" s="263">
        <f t="shared" si="27"/>
        <v>0</v>
      </c>
      <c r="L330" s="1"/>
    </row>
    <row r="331" spans="1:12" s="45" customFormat="1" ht="15" hidden="1" customHeight="1">
      <c r="A331" s="288">
        <f>A325+1</f>
        <v>31</v>
      </c>
      <c r="B331" s="61" t="s">
        <v>89</v>
      </c>
      <c r="C331" s="38" t="s">
        <v>29</v>
      </c>
      <c r="D331" s="38" t="s">
        <v>30</v>
      </c>
      <c r="E331" s="109"/>
      <c r="F331" s="97">
        <f>F325</f>
        <v>120.5</v>
      </c>
      <c r="G331" s="32">
        <v>100</v>
      </c>
      <c r="H331" s="235">
        <f>F331*G331</f>
        <v>12050</v>
      </c>
      <c r="I331" s="33"/>
      <c r="J331" s="66"/>
      <c r="K331" s="260">
        <f t="shared" si="27"/>
        <v>12050</v>
      </c>
      <c r="L331" s="1"/>
    </row>
    <row r="332" spans="1:12" s="44" customFormat="1" ht="15" hidden="1" customHeight="1">
      <c r="A332" s="284"/>
      <c r="B332" s="105" t="s">
        <v>34</v>
      </c>
      <c r="C332" s="38" t="s">
        <v>29</v>
      </c>
      <c r="D332" s="70" t="s">
        <v>21</v>
      </c>
      <c r="E332" s="109">
        <v>0.2</v>
      </c>
      <c r="F332" s="37">
        <f>F331*E332</f>
        <v>24.1</v>
      </c>
      <c r="G332" s="32"/>
      <c r="H332" s="244"/>
      <c r="I332" s="33">
        <v>37.450000000000003</v>
      </c>
      <c r="J332" s="73">
        <f>F332*I332</f>
        <v>902.54500000000007</v>
      </c>
      <c r="K332" s="263">
        <f t="shared" si="27"/>
        <v>902.54500000000007</v>
      </c>
      <c r="L332" s="1"/>
    </row>
    <row r="333" spans="1:12" s="44" customFormat="1" ht="15" hidden="1" customHeight="1">
      <c r="A333" s="284"/>
      <c r="B333" s="105" t="s">
        <v>90</v>
      </c>
      <c r="C333" s="38" t="s">
        <v>29</v>
      </c>
      <c r="D333" s="70" t="s">
        <v>19</v>
      </c>
      <c r="E333" s="109">
        <v>4.8</v>
      </c>
      <c r="F333" s="37">
        <f>F331*E333</f>
        <v>578.4</v>
      </c>
      <c r="G333" s="32"/>
      <c r="H333" s="244"/>
      <c r="I333" s="33">
        <v>20.329999999999998</v>
      </c>
      <c r="J333" s="73">
        <f>F333*I333</f>
        <v>11758.871999999999</v>
      </c>
      <c r="K333" s="263">
        <f t="shared" si="27"/>
        <v>11758.871999999999</v>
      </c>
      <c r="L333" s="1"/>
    </row>
    <row r="334" spans="1:12" s="45" customFormat="1" ht="25.5" hidden="1" customHeight="1">
      <c r="A334" s="288">
        <f>A331+1</f>
        <v>32</v>
      </c>
      <c r="B334" s="61" t="s">
        <v>122</v>
      </c>
      <c r="C334" s="38" t="s">
        <v>29</v>
      </c>
      <c r="D334" s="38" t="s">
        <v>30</v>
      </c>
      <c r="E334" s="109"/>
      <c r="F334" s="97">
        <f>F325</f>
        <v>120.5</v>
      </c>
      <c r="G334" s="32">
        <v>250</v>
      </c>
      <c r="H334" s="235">
        <f>F334*G334</f>
        <v>30125</v>
      </c>
      <c r="I334" s="33"/>
      <c r="J334" s="66"/>
      <c r="K334" s="260">
        <f t="shared" si="27"/>
        <v>30125</v>
      </c>
      <c r="L334" s="1"/>
    </row>
    <row r="335" spans="1:12" s="44" customFormat="1" ht="15" hidden="1" customHeight="1">
      <c r="A335" s="284"/>
      <c r="B335" s="105" t="s">
        <v>80</v>
      </c>
      <c r="C335" s="38" t="s">
        <v>29</v>
      </c>
      <c r="D335" s="70" t="s">
        <v>81</v>
      </c>
      <c r="E335" s="109">
        <f>(499*0.07*1.02)/1000</f>
        <v>3.5628600000000003E-2</v>
      </c>
      <c r="F335" s="37">
        <f>F334*E335</f>
        <v>4.2932463000000007</v>
      </c>
      <c r="G335" s="32"/>
      <c r="H335" s="244"/>
      <c r="I335" s="33">
        <v>5473.05</v>
      </c>
      <c r="J335" s="73">
        <f t="shared" ref="J335:J341" si="28">F335*I335</f>
        <v>23497.151662215005</v>
      </c>
      <c r="K335" s="263">
        <f t="shared" si="27"/>
        <v>23497.151662215005</v>
      </c>
      <c r="L335" s="1"/>
    </row>
    <row r="336" spans="1:12" s="44" customFormat="1" ht="15" hidden="1" customHeight="1">
      <c r="A336" s="284"/>
      <c r="B336" s="105" t="s">
        <v>82</v>
      </c>
      <c r="C336" s="38" t="s">
        <v>29</v>
      </c>
      <c r="D336" s="70" t="s">
        <v>81</v>
      </c>
      <c r="E336" s="109">
        <f>(1792*0.8*0.07*1.02)/1000</f>
        <v>0.10235904000000003</v>
      </c>
      <c r="F336" s="37">
        <f>F334*E336</f>
        <v>12.334264320000003</v>
      </c>
      <c r="G336" s="32"/>
      <c r="H336" s="244"/>
      <c r="I336" s="33">
        <v>823.63</v>
      </c>
      <c r="J336" s="73">
        <f t="shared" si="28"/>
        <v>10158.870121881602</v>
      </c>
      <c r="K336" s="263">
        <f t="shared" si="27"/>
        <v>10158.870121881602</v>
      </c>
      <c r="L336" s="1"/>
    </row>
    <row r="337" spans="1:12" s="45" customFormat="1" ht="15" hidden="1" customHeight="1">
      <c r="A337" s="284"/>
      <c r="B337" s="105" t="s">
        <v>83</v>
      </c>
      <c r="C337" s="38" t="s">
        <v>29</v>
      </c>
      <c r="D337" s="70" t="s">
        <v>81</v>
      </c>
      <c r="E337" s="109">
        <f>(1792*0.2*0.07*1.02)/1000</f>
        <v>2.5589760000000007E-2</v>
      </c>
      <c r="F337" s="37">
        <f>F334*E337</f>
        <v>3.0835660800000007</v>
      </c>
      <c r="G337" s="32"/>
      <c r="H337" s="110"/>
      <c r="I337" s="33">
        <v>374.49299999999999</v>
      </c>
      <c r="J337" s="73">
        <f t="shared" si="28"/>
        <v>1154.7739119974403</v>
      </c>
      <c r="K337" s="263">
        <f t="shared" si="27"/>
        <v>1154.7739119974403</v>
      </c>
      <c r="L337" s="1"/>
    </row>
    <row r="338" spans="1:12" s="45" customFormat="1" ht="15" hidden="1" customHeight="1">
      <c r="A338" s="284"/>
      <c r="B338" s="105" t="s">
        <v>84</v>
      </c>
      <c r="C338" s="38" t="s">
        <v>29</v>
      </c>
      <c r="D338" s="70" t="s">
        <v>41</v>
      </c>
      <c r="E338" s="109">
        <v>1.1000000000000001</v>
      </c>
      <c r="F338" s="37">
        <f>F334*E338</f>
        <v>132.55000000000001</v>
      </c>
      <c r="G338" s="32"/>
      <c r="H338" s="110"/>
      <c r="I338" s="33">
        <v>115.91449999999999</v>
      </c>
      <c r="J338" s="73">
        <f t="shared" si="28"/>
        <v>15364.466974999999</v>
      </c>
      <c r="K338" s="263">
        <f t="shared" si="27"/>
        <v>15364.466974999999</v>
      </c>
      <c r="L338" s="1"/>
    </row>
    <row r="339" spans="1:12" s="44" customFormat="1" ht="15" hidden="1" customHeight="1">
      <c r="A339" s="284"/>
      <c r="B339" s="105" t="s">
        <v>85</v>
      </c>
      <c r="C339" s="38" t="s">
        <v>29</v>
      </c>
      <c r="D339" s="70" t="s">
        <v>81</v>
      </c>
      <c r="E339" s="109">
        <f>0.21/1000</f>
        <v>2.0999999999999998E-4</v>
      </c>
      <c r="F339" s="37">
        <f>F334*E339</f>
        <v>2.5304999999999998E-2</v>
      </c>
      <c r="G339" s="32"/>
      <c r="H339" s="244"/>
      <c r="I339" s="33">
        <v>56431.8</v>
      </c>
      <c r="J339" s="73">
        <f t="shared" si="28"/>
        <v>1428.006699</v>
      </c>
      <c r="K339" s="263">
        <f t="shared" si="27"/>
        <v>1428.006699</v>
      </c>
      <c r="L339" s="1"/>
    </row>
    <row r="340" spans="1:12" s="45" customFormat="1" ht="15" hidden="1" customHeight="1">
      <c r="A340" s="284"/>
      <c r="B340" s="105" t="s">
        <v>86</v>
      </c>
      <c r="C340" s="38" t="s">
        <v>29</v>
      </c>
      <c r="D340" s="70" t="s">
        <v>56</v>
      </c>
      <c r="E340" s="109">
        <v>4</v>
      </c>
      <c r="F340" s="37">
        <f>F334*E340</f>
        <v>482</v>
      </c>
      <c r="G340" s="32"/>
      <c r="H340" s="110"/>
      <c r="I340" s="33">
        <v>0.67135999999999996</v>
      </c>
      <c r="J340" s="73">
        <f t="shared" si="28"/>
        <v>323.59551999999996</v>
      </c>
      <c r="K340" s="263">
        <f t="shared" si="27"/>
        <v>323.59551999999996</v>
      </c>
      <c r="L340" s="1"/>
    </row>
    <row r="341" spans="1:12" s="44" customFormat="1" ht="15" hidden="1" customHeight="1">
      <c r="A341" s="284"/>
      <c r="B341" s="105" t="s">
        <v>87</v>
      </c>
      <c r="C341" s="38" t="s">
        <v>29</v>
      </c>
      <c r="D341" s="70" t="s">
        <v>58</v>
      </c>
      <c r="E341" s="109"/>
      <c r="F341" s="37">
        <f>F334</f>
        <v>120.5</v>
      </c>
      <c r="G341" s="32"/>
      <c r="H341" s="244"/>
      <c r="I341" s="33">
        <v>7.0979999999999999</v>
      </c>
      <c r="J341" s="73">
        <f t="shared" si="28"/>
        <v>855.30899999999997</v>
      </c>
      <c r="K341" s="263">
        <f t="shared" si="27"/>
        <v>855.30899999999997</v>
      </c>
      <c r="L341" s="1"/>
    </row>
    <row r="342" spans="1:12" s="45" customFormat="1" ht="25.5" hidden="1" customHeight="1">
      <c r="A342" s="288">
        <f>A334+1</f>
        <v>33</v>
      </c>
      <c r="B342" s="61" t="s">
        <v>123</v>
      </c>
      <c r="C342" s="38" t="s">
        <v>29</v>
      </c>
      <c r="D342" s="38" t="s">
        <v>30</v>
      </c>
      <c r="E342" s="109"/>
      <c r="F342" s="97">
        <f>F325</f>
        <v>120.5</v>
      </c>
      <c r="G342" s="32">
        <v>120</v>
      </c>
      <c r="H342" s="235">
        <f>F342*G342</f>
        <v>14460</v>
      </c>
      <c r="I342" s="33"/>
      <c r="J342" s="66"/>
      <c r="K342" s="260">
        <f t="shared" si="27"/>
        <v>14460</v>
      </c>
      <c r="L342" s="1"/>
    </row>
    <row r="343" spans="1:12" s="44" customFormat="1" ht="15" hidden="1" customHeight="1">
      <c r="A343" s="284"/>
      <c r="B343" s="105" t="s">
        <v>99</v>
      </c>
      <c r="C343" s="38" t="s">
        <v>29</v>
      </c>
      <c r="D343" s="70" t="s">
        <v>41</v>
      </c>
      <c r="E343" s="109">
        <v>1.3</v>
      </c>
      <c r="F343" s="37">
        <f>F342*E343</f>
        <v>156.65</v>
      </c>
      <c r="G343" s="32"/>
      <c r="H343" s="244"/>
      <c r="I343" s="33">
        <v>161.51</v>
      </c>
      <c r="J343" s="73">
        <f>F343*I343</f>
        <v>25300.541499999999</v>
      </c>
      <c r="K343" s="263">
        <f t="shared" si="27"/>
        <v>25300.541499999999</v>
      </c>
      <c r="L343" s="1"/>
    </row>
    <row r="344" spans="1:12" s="45" customFormat="1" ht="15" hidden="1" customHeight="1">
      <c r="A344" s="284"/>
      <c r="B344" s="105" t="s">
        <v>100</v>
      </c>
      <c r="C344" s="38" t="s">
        <v>29</v>
      </c>
      <c r="D344" s="70" t="s">
        <v>58</v>
      </c>
      <c r="E344" s="109"/>
      <c r="F344" s="37">
        <f>F342</f>
        <v>120.5</v>
      </c>
      <c r="G344" s="32"/>
      <c r="H344" s="110"/>
      <c r="I344" s="33">
        <v>0.90213999999999994</v>
      </c>
      <c r="J344" s="73">
        <f>F344*I344</f>
        <v>108.70787</v>
      </c>
      <c r="K344" s="263">
        <f t="shared" si="27"/>
        <v>108.70787</v>
      </c>
      <c r="L344" s="1"/>
    </row>
    <row r="345" spans="1:12" s="45" customFormat="1" ht="15" hidden="1" customHeight="1">
      <c r="A345" s="288">
        <f>A342+1</f>
        <v>34</v>
      </c>
      <c r="B345" s="61" t="s">
        <v>101</v>
      </c>
      <c r="C345" s="38" t="s">
        <v>29</v>
      </c>
      <c r="D345" s="38" t="s">
        <v>30</v>
      </c>
      <c r="E345" s="109"/>
      <c r="F345" s="97">
        <f>F325</f>
        <v>120.5</v>
      </c>
      <c r="G345" s="32">
        <v>150</v>
      </c>
      <c r="H345" s="235">
        <f>F345*G345</f>
        <v>18075</v>
      </c>
      <c r="I345" s="33"/>
      <c r="J345" s="66"/>
      <c r="K345" s="260">
        <f t="shared" si="27"/>
        <v>18075</v>
      </c>
      <c r="L345" s="1"/>
    </row>
    <row r="346" spans="1:12" s="45" customFormat="1" ht="15" hidden="1" customHeight="1">
      <c r="A346" s="284"/>
      <c r="B346" s="105" t="s">
        <v>102</v>
      </c>
      <c r="C346" s="38" t="s">
        <v>29</v>
      </c>
      <c r="D346" s="70" t="s">
        <v>41</v>
      </c>
      <c r="E346" s="109">
        <f>1.15</f>
        <v>1.1499999999999999</v>
      </c>
      <c r="F346" s="37">
        <f>F345*E346</f>
        <v>138.57499999999999</v>
      </c>
      <c r="G346" s="32"/>
      <c r="H346" s="110"/>
      <c r="I346" s="33">
        <v>38.708099999999995</v>
      </c>
      <c r="J346" s="73">
        <f>F346*I346</f>
        <v>5363.9749574999987</v>
      </c>
      <c r="K346" s="263">
        <f t="shared" si="27"/>
        <v>5363.9749574999987</v>
      </c>
      <c r="L346" s="1"/>
    </row>
    <row r="347" spans="1:12" s="44" customFormat="1" ht="15" hidden="1" customHeight="1">
      <c r="A347" s="284"/>
      <c r="B347" s="105" t="s">
        <v>103</v>
      </c>
      <c r="C347" s="38" t="s">
        <v>29</v>
      </c>
      <c r="D347" s="70" t="s">
        <v>19</v>
      </c>
      <c r="E347" s="109">
        <v>0.3</v>
      </c>
      <c r="F347" s="37">
        <f>F345*E347</f>
        <v>36.15</v>
      </c>
      <c r="G347" s="32"/>
      <c r="H347" s="244"/>
      <c r="I347" s="33">
        <v>60.6</v>
      </c>
      <c r="J347" s="73">
        <f>F347*I347</f>
        <v>2190.69</v>
      </c>
      <c r="K347" s="263">
        <f t="shared" si="27"/>
        <v>2190.69</v>
      </c>
      <c r="L347" s="1"/>
    </row>
    <row r="348" spans="1:12" s="45" customFormat="1" ht="15" hidden="1" customHeight="1">
      <c r="A348" s="288"/>
      <c r="B348" s="105" t="s">
        <v>104</v>
      </c>
      <c r="C348" s="38" t="s">
        <v>29</v>
      </c>
      <c r="D348" s="70" t="s">
        <v>21</v>
      </c>
      <c r="E348" s="64">
        <v>1</v>
      </c>
      <c r="F348" s="37">
        <f>E348*F345</f>
        <v>120.5</v>
      </c>
      <c r="G348" s="32"/>
      <c r="H348" s="110"/>
      <c r="I348" s="33">
        <v>35</v>
      </c>
      <c r="J348" s="73">
        <f>F348*I348</f>
        <v>4217.5</v>
      </c>
      <c r="K348" s="263">
        <f t="shared" si="27"/>
        <v>4217.5</v>
      </c>
      <c r="L348" s="1"/>
    </row>
    <row r="349" spans="1:12" s="45" customFormat="1" ht="25.5" hidden="1" customHeight="1">
      <c r="A349" s="288">
        <f>A345+1</f>
        <v>35</v>
      </c>
      <c r="B349" s="121" t="s">
        <v>124</v>
      </c>
      <c r="C349" s="38" t="s">
        <v>29</v>
      </c>
      <c r="D349" s="38" t="s">
        <v>125</v>
      </c>
      <c r="E349" s="64"/>
      <c r="F349" s="91">
        <f>1.3*0.9*0.2</f>
        <v>0.23400000000000004</v>
      </c>
      <c r="G349" s="241">
        <v>12000</v>
      </c>
      <c r="H349" s="235">
        <f>F349*G349</f>
        <v>2808.0000000000005</v>
      </c>
      <c r="I349" s="33"/>
      <c r="J349" s="66"/>
      <c r="K349" s="260">
        <f t="shared" si="27"/>
        <v>2808.0000000000005</v>
      </c>
      <c r="L349" s="122"/>
    </row>
    <row r="350" spans="1:12" s="45" customFormat="1" ht="15" hidden="1" customHeight="1">
      <c r="A350" s="284"/>
      <c r="B350" s="123" t="s">
        <v>126</v>
      </c>
      <c r="C350" s="38" t="s">
        <v>29</v>
      </c>
      <c r="D350" s="70" t="s">
        <v>25</v>
      </c>
      <c r="E350" s="64"/>
      <c r="F350" s="37">
        <v>12</v>
      </c>
      <c r="G350" s="32"/>
      <c r="H350" s="110"/>
      <c r="I350" s="33">
        <v>251.07499999999999</v>
      </c>
      <c r="J350" s="73">
        <f t="shared" ref="J350:J356" si="29">F350*I350</f>
        <v>3012.8999999999996</v>
      </c>
      <c r="K350" s="263">
        <f t="shared" si="27"/>
        <v>3012.8999999999996</v>
      </c>
      <c r="L350" s="1"/>
    </row>
    <row r="351" spans="1:12" s="45" customFormat="1" ht="25.5" hidden="1" customHeight="1">
      <c r="A351" s="284"/>
      <c r="B351" s="123" t="s">
        <v>127</v>
      </c>
      <c r="C351" s="38" t="s">
        <v>29</v>
      </c>
      <c r="D351" s="70" t="s">
        <v>19</v>
      </c>
      <c r="E351" s="64"/>
      <c r="F351" s="37">
        <f>0.11*0.14*12</f>
        <v>0.18480000000000002</v>
      </c>
      <c r="G351" s="32"/>
      <c r="H351" s="110"/>
      <c r="I351" s="33">
        <v>472.04999999999995</v>
      </c>
      <c r="J351" s="73">
        <f t="shared" si="29"/>
        <v>87.234840000000005</v>
      </c>
      <c r="K351" s="263">
        <f t="shared" si="27"/>
        <v>87.234840000000005</v>
      </c>
      <c r="L351" s="1"/>
    </row>
    <row r="352" spans="1:12" s="45" customFormat="1" ht="15" hidden="1" customHeight="1">
      <c r="A352" s="284"/>
      <c r="B352" s="123" t="s">
        <v>128</v>
      </c>
      <c r="C352" s="38" t="s">
        <v>29</v>
      </c>
      <c r="D352" s="123" t="s">
        <v>125</v>
      </c>
      <c r="E352" s="124">
        <v>1.0149999999999999</v>
      </c>
      <c r="F352" s="125">
        <f>F349*E352</f>
        <v>0.23751000000000003</v>
      </c>
      <c r="G352" s="32"/>
      <c r="H352" s="110"/>
      <c r="I352" s="33"/>
      <c r="J352" s="73">
        <f t="shared" si="29"/>
        <v>0</v>
      </c>
      <c r="K352" s="263">
        <f t="shared" si="27"/>
        <v>0</v>
      </c>
      <c r="L352" s="1"/>
    </row>
    <row r="353" spans="1:12" s="44" customFormat="1" ht="15" hidden="1" customHeight="1">
      <c r="A353" s="284"/>
      <c r="B353" s="123" t="s">
        <v>129</v>
      </c>
      <c r="C353" s="38" t="s">
        <v>29</v>
      </c>
      <c r="D353" s="123" t="s">
        <v>18</v>
      </c>
      <c r="E353" s="124">
        <v>1.05</v>
      </c>
      <c r="F353" s="125">
        <f>1.3*0.9*E353</f>
        <v>1.2285000000000001</v>
      </c>
      <c r="G353" s="32"/>
      <c r="H353" s="244"/>
      <c r="I353" s="33">
        <v>330.99</v>
      </c>
      <c r="J353" s="73">
        <f t="shared" si="29"/>
        <v>406.62121500000006</v>
      </c>
      <c r="K353" s="263">
        <f t="shared" si="27"/>
        <v>406.62121500000006</v>
      </c>
      <c r="L353" s="1"/>
    </row>
    <row r="354" spans="1:12" s="44" customFormat="1" ht="15" hidden="1" customHeight="1">
      <c r="A354" s="284"/>
      <c r="B354" s="123" t="s">
        <v>130</v>
      </c>
      <c r="C354" s="38" t="s">
        <v>29</v>
      </c>
      <c r="D354" s="123" t="s">
        <v>18</v>
      </c>
      <c r="E354" s="124">
        <v>1.1000000000000001</v>
      </c>
      <c r="F354" s="125">
        <f>1.3*0.9*E354</f>
        <v>1.2870000000000004</v>
      </c>
      <c r="G354" s="32"/>
      <c r="H354" s="244"/>
      <c r="I354" s="33">
        <v>4.3099999999999996</v>
      </c>
      <c r="J354" s="73">
        <f t="shared" si="29"/>
        <v>5.5469700000000008</v>
      </c>
      <c r="K354" s="263">
        <f t="shared" si="27"/>
        <v>5.5469700000000008</v>
      </c>
      <c r="L354" s="1"/>
    </row>
    <row r="355" spans="1:12" s="44" customFormat="1" ht="15" hidden="1" customHeight="1">
      <c r="A355" s="284"/>
      <c r="B355" s="98" t="s">
        <v>131</v>
      </c>
      <c r="C355" s="38" t="s">
        <v>29</v>
      </c>
      <c r="D355" s="41" t="s">
        <v>19</v>
      </c>
      <c r="E355" s="21">
        <v>0.15</v>
      </c>
      <c r="F355" s="68">
        <f>E355*((1.3*2+0.9*2)*0.15+1.3*0.9)</f>
        <v>0.27450000000000002</v>
      </c>
      <c r="G355" s="32"/>
      <c r="H355" s="244"/>
      <c r="I355" s="33">
        <v>37.81</v>
      </c>
      <c r="J355" s="73">
        <f t="shared" si="29"/>
        <v>10.378845000000002</v>
      </c>
      <c r="K355" s="263">
        <f t="shared" si="27"/>
        <v>10.378845000000002</v>
      </c>
      <c r="L355" s="1"/>
    </row>
    <row r="356" spans="1:12" s="44" customFormat="1" ht="15" hidden="1" customHeight="1">
      <c r="A356" s="284"/>
      <c r="B356" s="105" t="s">
        <v>132</v>
      </c>
      <c r="C356" s="38" t="s">
        <v>29</v>
      </c>
      <c r="D356" s="70" t="s">
        <v>19</v>
      </c>
      <c r="E356" s="64">
        <v>0.3</v>
      </c>
      <c r="F356" s="68">
        <f>E356*((1.3*2+0.9*2)*0.15+1.3*0.9)</f>
        <v>0.54900000000000004</v>
      </c>
      <c r="G356" s="32"/>
      <c r="H356" s="244"/>
      <c r="I356" s="33">
        <v>199.53</v>
      </c>
      <c r="J356" s="73">
        <f t="shared" si="29"/>
        <v>109.54197000000001</v>
      </c>
      <c r="K356" s="263">
        <f t="shared" si="27"/>
        <v>109.54197000000001</v>
      </c>
      <c r="L356" s="1"/>
    </row>
    <row r="357" spans="1:12" s="45" customFormat="1" ht="15" hidden="1" customHeight="1">
      <c r="A357" s="284"/>
      <c r="B357" s="126"/>
      <c r="C357" s="38" t="s">
        <v>29</v>
      </c>
      <c r="D357" s="123"/>
      <c r="E357" s="124"/>
      <c r="F357" s="125"/>
      <c r="G357" s="32"/>
      <c r="H357" s="110"/>
      <c r="I357" s="33"/>
      <c r="J357" s="73"/>
      <c r="K357" s="263"/>
      <c r="L357" s="1"/>
    </row>
    <row r="358" spans="1:12" s="45" customFormat="1" ht="25.5" hidden="1" customHeight="1">
      <c r="A358" s="288">
        <f>A349+1</f>
        <v>36</v>
      </c>
      <c r="B358" s="121" t="s">
        <v>133</v>
      </c>
      <c r="C358" s="38" t="s">
        <v>29</v>
      </c>
      <c r="D358" s="38" t="s">
        <v>125</v>
      </c>
      <c r="E358" s="64"/>
      <c r="F358" s="91">
        <f>1.23*0.87*0.2</f>
        <v>0.21402000000000002</v>
      </c>
      <c r="G358" s="241">
        <v>12000</v>
      </c>
      <c r="H358" s="235">
        <f>F358*G358</f>
        <v>2568.2400000000002</v>
      </c>
      <c r="I358" s="33"/>
      <c r="J358" s="66"/>
      <c r="K358" s="260">
        <f t="shared" ref="K358:K365" si="30">H358+J358</f>
        <v>2568.2400000000002</v>
      </c>
      <c r="L358" s="122"/>
    </row>
    <row r="359" spans="1:12" s="45" customFormat="1" ht="15" hidden="1" customHeight="1">
      <c r="A359" s="284"/>
      <c r="B359" s="123" t="s">
        <v>126</v>
      </c>
      <c r="C359" s="38" t="s">
        <v>29</v>
      </c>
      <c r="D359" s="70" t="s">
        <v>25</v>
      </c>
      <c r="E359" s="64"/>
      <c r="F359" s="37">
        <v>12</v>
      </c>
      <c r="G359" s="32"/>
      <c r="H359" s="110"/>
      <c r="I359" s="33">
        <v>251.07499999999999</v>
      </c>
      <c r="J359" s="73">
        <f t="shared" ref="J359:J365" si="31">F359*I359</f>
        <v>3012.8999999999996</v>
      </c>
      <c r="K359" s="263">
        <f t="shared" si="30"/>
        <v>3012.8999999999996</v>
      </c>
      <c r="L359" s="1"/>
    </row>
    <row r="360" spans="1:12" s="45" customFormat="1" ht="25.5" hidden="1" customHeight="1">
      <c r="A360" s="284"/>
      <c r="B360" s="123" t="s">
        <v>127</v>
      </c>
      <c r="C360" s="38" t="s">
        <v>29</v>
      </c>
      <c r="D360" s="70" t="s">
        <v>19</v>
      </c>
      <c r="E360" s="64"/>
      <c r="F360" s="37">
        <f>0.11*0.14*12</f>
        <v>0.18480000000000002</v>
      </c>
      <c r="G360" s="32"/>
      <c r="H360" s="110"/>
      <c r="I360" s="33">
        <v>472.04999999999995</v>
      </c>
      <c r="J360" s="73">
        <f t="shared" si="31"/>
        <v>87.234840000000005</v>
      </c>
      <c r="K360" s="263">
        <f t="shared" si="30"/>
        <v>87.234840000000005</v>
      </c>
      <c r="L360" s="1"/>
    </row>
    <row r="361" spans="1:12" s="45" customFormat="1" ht="15" hidden="1" customHeight="1">
      <c r="A361" s="284"/>
      <c r="B361" s="123" t="s">
        <v>128</v>
      </c>
      <c r="C361" s="38" t="s">
        <v>29</v>
      </c>
      <c r="D361" s="123" t="s">
        <v>125</v>
      </c>
      <c r="E361" s="124">
        <v>1.0149999999999999</v>
      </c>
      <c r="F361" s="125">
        <f>F358*E361</f>
        <v>0.21723029999999999</v>
      </c>
      <c r="G361" s="32"/>
      <c r="H361" s="110"/>
      <c r="I361" s="33"/>
      <c r="J361" s="73">
        <f t="shared" si="31"/>
        <v>0</v>
      </c>
      <c r="K361" s="263">
        <f t="shared" si="30"/>
        <v>0</v>
      </c>
      <c r="L361" s="1"/>
    </row>
    <row r="362" spans="1:12" s="44" customFormat="1" ht="15" hidden="1" customHeight="1">
      <c r="A362" s="284"/>
      <c r="B362" s="123" t="s">
        <v>129</v>
      </c>
      <c r="C362" s="38" t="s">
        <v>29</v>
      </c>
      <c r="D362" s="123" t="s">
        <v>18</v>
      </c>
      <c r="E362" s="124">
        <v>1.05</v>
      </c>
      <c r="F362" s="125">
        <f>1.23*0.87*E362</f>
        <v>1.1236050000000002</v>
      </c>
      <c r="G362" s="32"/>
      <c r="H362" s="244"/>
      <c r="I362" s="33">
        <v>330.99</v>
      </c>
      <c r="J362" s="73">
        <f t="shared" si="31"/>
        <v>371.90201895000007</v>
      </c>
      <c r="K362" s="263">
        <f t="shared" si="30"/>
        <v>371.90201895000007</v>
      </c>
      <c r="L362" s="1"/>
    </row>
    <row r="363" spans="1:12" s="44" customFormat="1" ht="15" hidden="1" customHeight="1">
      <c r="A363" s="284"/>
      <c r="B363" s="123" t="s">
        <v>130</v>
      </c>
      <c r="C363" s="38" t="s">
        <v>29</v>
      </c>
      <c r="D363" s="123" t="s">
        <v>18</v>
      </c>
      <c r="E363" s="124">
        <v>1.1000000000000001</v>
      </c>
      <c r="F363" s="125">
        <f>1.23*0.87*E363</f>
        <v>1.1771100000000001</v>
      </c>
      <c r="G363" s="32"/>
      <c r="H363" s="244"/>
      <c r="I363" s="33">
        <v>4.3099999999999996</v>
      </c>
      <c r="J363" s="73">
        <f t="shared" si="31"/>
        <v>5.0733440999999999</v>
      </c>
      <c r="K363" s="263">
        <f t="shared" si="30"/>
        <v>5.0733440999999999</v>
      </c>
      <c r="L363" s="1"/>
    </row>
    <row r="364" spans="1:12" s="44" customFormat="1" ht="15" hidden="1" customHeight="1">
      <c r="A364" s="284"/>
      <c r="B364" s="98" t="s">
        <v>131</v>
      </c>
      <c r="C364" s="38" t="s">
        <v>29</v>
      </c>
      <c r="D364" s="41" t="s">
        <v>19</v>
      </c>
      <c r="E364" s="21">
        <v>0.15</v>
      </c>
      <c r="F364" s="68">
        <f>E364*((1.23*2+0.87*2)*0.15+1.23*0.87)</f>
        <v>0.25501499999999999</v>
      </c>
      <c r="G364" s="32"/>
      <c r="H364" s="244"/>
      <c r="I364" s="33">
        <v>37.81</v>
      </c>
      <c r="J364" s="73">
        <f t="shared" si="31"/>
        <v>9.6421171500000007</v>
      </c>
      <c r="K364" s="263">
        <f t="shared" si="30"/>
        <v>9.6421171500000007</v>
      </c>
      <c r="L364" s="1"/>
    </row>
    <row r="365" spans="1:12" s="44" customFormat="1" ht="15" hidden="1" customHeight="1">
      <c r="A365" s="284"/>
      <c r="B365" s="105" t="s">
        <v>132</v>
      </c>
      <c r="C365" s="38" t="s">
        <v>29</v>
      </c>
      <c r="D365" s="70" t="s">
        <v>19</v>
      </c>
      <c r="E365" s="64">
        <v>0.3</v>
      </c>
      <c r="F365" s="68">
        <f>E365*((1.23*2+0.87*2)*0.15+1.23*0.87)</f>
        <v>0.51002999999999998</v>
      </c>
      <c r="G365" s="32"/>
      <c r="H365" s="244"/>
      <c r="I365" s="33">
        <v>199.53</v>
      </c>
      <c r="J365" s="73">
        <f t="shared" si="31"/>
        <v>101.7662859</v>
      </c>
      <c r="K365" s="263">
        <f t="shared" si="30"/>
        <v>101.7662859</v>
      </c>
      <c r="L365" s="1"/>
    </row>
    <row r="366" spans="1:12" s="45" customFormat="1" ht="15" hidden="1" customHeight="1">
      <c r="A366" s="284"/>
      <c r="B366" s="127"/>
      <c r="C366" s="38" t="s">
        <v>29</v>
      </c>
      <c r="D366" s="123"/>
      <c r="E366" s="124"/>
      <c r="F366" s="125"/>
      <c r="G366" s="32"/>
      <c r="H366" s="110"/>
      <c r="I366" s="33"/>
      <c r="J366" s="73"/>
      <c r="K366" s="263"/>
      <c r="L366" s="1"/>
    </row>
    <row r="367" spans="1:12" s="45" customFormat="1" ht="25.5" hidden="1" customHeight="1">
      <c r="A367" s="288">
        <f>A358+1</f>
        <v>37</v>
      </c>
      <c r="B367" s="121" t="s">
        <v>134</v>
      </c>
      <c r="C367" s="38" t="s">
        <v>29</v>
      </c>
      <c r="D367" s="38" t="s">
        <v>125</v>
      </c>
      <c r="E367" s="64"/>
      <c r="F367" s="91">
        <f>0.8*0.5*0.2</f>
        <v>8.0000000000000016E-2</v>
      </c>
      <c r="G367" s="241">
        <v>12000</v>
      </c>
      <c r="H367" s="235">
        <f>F367*G367</f>
        <v>960.00000000000023</v>
      </c>
      <c r="I367" s="33"/>
      <c r="J367" s="66"/>
      <c r="K367" s="260">
        <f t="shared" ref="K367:K374" si="32">H367+J367</f>
        <v>960.00000000000023</v>
      </c>
      <c r="L367" s="122"/>
    </row>
    <row r="368" spans="1:12" s="45" customFormat="1" ht="15" hidden="1" customHeight="1">
      <c r="A368" s="284"/>
      <c r="B368" s="123" t="s">
        <v>126</v>
      </c>
      <c r="C368" s="38" t="s">
        <v>29</v>
      </c>
      <c r="D368" s="70" t="s">
        <v>25</v>
      </c>
      <c r="E368" s="64"/>
      <c r="F368" s="37">
        <v>6</v>
      </c>
      <c r="G368" s="32"/>
      <c r="H368" s="110"/>
      <c r="I368" s="33">
        <v>251.07499999999999</v>
      </c>
      <c r="J368" s="73">
        <f t="shared" ref="J368:J374" si="33">F368*I368</f>
        <v>1506.4499999999998</v>
      </c>
      <c r="K368" s="263">
        <f t="shared" si="32"/>
        <v>1506.4499999999998</v>
      </c>
      <c r="L368" s="1"/>
    </row>
    <row r="369" spans="1:12" s="45" customFormat="1" ht="25.5" hidden="1" customHeight="1">
      <c r="A369" s="284"/>
      <c r="B369" s="123" t="s">
        <v>127</v>
      </c>
      <c r="C369" s="38" t="s">
        <v>29</v>
      </c>
      <c r="D369" s="70" t="s">
        <v>19</v>
      </c>
      <c r="E369" s="64"/>
      <c r="F369" s="37">
        <f>0.14*0.14*6</f>
        <v>0.11760000000000001</v>
      </c>
      <c r="G369" s="32"/>
      <c r="H369" s="110"/>
      <c r="I369" s="33">
        <v>472.04999999999995</v>
      </c>
      <c r="J369" s="73">
        <f t="shared" si="33"/>
        <v>55.513080000000002</v>
      </c>
      <c r="K369" s="263">
        <f t="shared" si="32"/>
        <v>55.513080000000002</v>
      </c>
      <c r="L369" s="1"/>
    </row>
    <row r="370" spans="1:12" s="45" customFormat="1" ht="15" hidden="1" customHeight="1">
      <c r="A370" s="284"/>
      <c r="B370" s="123" t="s">
        <v>128</v>
      </c>
      <c r="C370" s="38" t="s">
        <v>29</v>
      </c>
      <c r="D370" s="123" t="s">
        <v>125</v>
      </c>
      <c r="E370" s="124">
        <v>1.0149999999999999</v>
      </c>
      <c r="F370" s="125">
        <f>F367*E370</f>
        <v>8.1200000000000008E-2</v>
      </c>
      <c r="G370" s="32"/>
      <c r="H370" s="110"/>
      <c r="I370" s="33"/>
      <c r="J370" s="73">
        <f t="shared" si="33"/>
        <v>0</v>
      </c>
      <c r="K370" s="263">
        <f t="shared" si="32"/>
        <v>0</v>
      </c>
      <c r="L370" s="1"/>
    </row>
    <row r="371" spans="1:12" s="44" customFormat="1" ht="15" hidden="1" customHeight="1">
      <c r="A371" s="284"/>
      <c r="B371" s="123" t="s">
        <v>129</v>
      </c>
      <c r="C371" s="38" t="s">
        <v>29</v>
      </c>
      <c r="D371" s="123" t="s">
        <v>18</v>
      </c>
      <c r="E371" s="124">
        <v>1.05</v>
      </c>
      <c r="F371" s="125">
        <f>0.5*0.8*E371</f>
        <v>0.42000000000000004</v>
      </c>
      <c r="G371" s="32"/>
      <c r="H371" s="244"/>
      <c r="I371" s="33">
        <v>330.99</v>
      </c>
      <c r="J371" s="73">
        <f t="shared" si="33"/>
        <v>139.01580000000001</v>
      </c>
      <c r="K371" s="263">
        <f t="shared" si="32"/>
        <v>139.01580000000001</v>
      </c>
      <c r="L371" s="1"/>
    </row>
    <row r="372" spans="1:12" s="44" customFormat="1" ht="15" hidden="1" customHeight="1">
      <c r="A372" s="284"/>
      <c r="B372" s="123" t="s">
        <v>130</v>
      </c>
      <c r="C372" s="38" t="s">
        <v>29</v>
      </c>
      <c r="D372" s="123" t="s">
        <v>18</v>
      </c>
      <c r="E372" s="124">
        <v>1.1000000000000001</v>
      </c>
      <c r="F372" s="125">
        <f>0.5*0.8*E372</f>
        <v>0.44000000000000006</v>
      </c>
      <c r="G372" s="32"/>
      <c r="H372" s="244"/>
      <c r="I372" s="33">
        <v>4.3099999999999996</v>
      </c>
      <c r="J372" s="73">
        <f t="shared" si="33"/>
        <v>1.8964000000000001</v>
      </c>
      <c r="K372" s="263">
        <f t="shared" si="32"/>
        <v>1.8964000000000001</v>
      </c>
      <c r="L372" s="1"/>
    </row>
    <row r="373" spans="1:12" s="44" customFormat="1" ht="15" hidden="1" customHeight="1">
      <c r="A373" s="284"/>
      <c r="B373" s="98" t="s">
        <v>131</v>
      </c>
      <c r="C373" s="38" t="s">
        <v>29</v>
      </c>
      <c r="D373" s="41" t="s">
        <v>19</v>
      </c>
      <c r="E373" s="21">
        <v>0.15</v>
      </c>
      <c r="F373" s="68">
        <f>E373*((0.8*2+0.5*2)*0.15+0.8*0.5)</f>
        <v>0.11849999999999999</v>
      </c>
      <c r="G373" s="32"/>
      <c r="H373" s="244"/>
      <c r="I373" s="33">
        <v>37.81</v>
      </c>
      <c r="J373" s="73">
        <f t="shared" si="33"/>
        <v>4.4804849999999998</v>
      </c>
      <c r="K373" s="263">
        <f t="shared" si="32"/>
        <v>4.4804849999999998</v>
      </c>
      <c r="L373" s="1"/>
    </row>
    <row r="374" spans="1:12" s="44" customFormat="1" ht="15" hidden="1" customHeight="1">
      <c r="A374" s="284"/>
      <c r="B374" s="105" t="s">
        <v>132</v>
      </c>
      <c r="C374" s="38" t="s">
        <v>29</v>
      </c>
      <c r="D374" s="70" t="s">
        <v>19</v>
      </c>
      <c r="E374" s="64">
        <v>0.3</v>
      </c>
      <c r="F374" s="68">
        <f>E374*((0.8*2+0.5*2)*0.15+0.8*0.5)</f>
        <v>0.23699999999999999</v>
      </c>
      <c r="G374" s="32"/>
      <c r="H374" s="244"/>
      <c r="I374" s="33">
        <v>199.53</v>
      </c>
      <c r="J374" s="73">
        <f t="shared" si="33"/>
        <v>47.288609999999998</v>
      </c>
      <c r="K374" s="263">
        <f t="shared" si="32"/>
        <v>47.288609999999998</v>
      </c>
      <c r="L374" s="1"/>
    </row>
    <row r="375" spans="1:12" s="45" customFormat="1" ht="15" hidden="1" customHeight="1">
      <c r="A375" s="284"/>
      <c r="B375" s="127"/>
      <c r="C375" s="38" t="s">
        <v>29</v>
      </c>
      <c r="D375" s="123"/>
      <c r="E375" s="124"/>
      <c r="F375" s="125"/>
      <c r="G375" s="32"/>
      <c r="H375" s="110"/>
      <c r="I375" s="33"/>
      <c r="J375" s="73"/>
      <c r="K375" s="263"/>
      <c r="L375" s="1"/>
    </row>
    <row r="376" spans="1:12" s="45" customFormat="1" ht="25.5" hidden="1" customHeight="1">
      <c r="A376" s="288">
        <f>A367+1</f>
        <v>38</v>
      </c>
      <c r="B376" s="121" t="s">
        <v>135</v>
      </c>
      <c r="C376" s="38" t="s">
        <v>29</v>
      </c>
      <c r="D376" s="38" t="s">
        <v>125</v>
      </c>
      <c r="E376" s="64"/>
      <c r="F376" s="91">
        <f>2.2*1.1*0.15</f>
        <v>0.36300000000000004</v>
      </c>
      <c r="G376" s="241">
        <v>12000</v>
      </c>
      <c r="H376" s="235">
        <f>F376*G376</f>
        <v>4356.0000000000009</v>
      </c>
      <c r="I376" s="33"/>
      <c r="J376" s="66"/>
      <c r="K376" s="260">
        <f t="shared" ref="K376:K383" si="34">H376+J376</f>
        <v>4356.0000000000009</v>
      </c>
      <c r="L376" s="22"/>
    </row>
    <row r="377" spans="1:12" s="45" customFormat="1" ht="15" hidden="1" customHeight="1">
      <c r="A377" s="284"/>
      <c r="B377" s="123" t="s">
        <v>126</v>
      </c>
      <c r="C377" s="38" t="s">
        <v>29</v>
      </c>
      <c r="D377" s="70" t="s">
        <v>25</v>
      </c>
      <c r="E377" s="64"/>
      <c r="F377" s="37">
        <v>14</v>
      </c>
      <c r="G377" s="32"/>
      <c r="H377" s="110"/>
      <c r="I377" s="33">
        <v>251.07499999999999</v>
      </c>
      <c r="J377" s="73">
        <f t="shared" ref="J377:J383" si="35">F377*I377</f>
        <v>3515.0499999999997</v>
      </c>
      <c r="K377" s="263">
        <f t="shared" si="34"/>
        <v>3515.0499999999997</v>
      </c>
      <c r="L377" s="1"/>
    </row>
    <row r="378" spans="1:12" s="45" customFormat="1" ht="25.5" hidden="1" customHeight="1">
      <c r="A378" s="284"/>
      <c r="B378" s="123" t="s">
        <v>127</v>
      </c>
      <c r="C378" s="38" t="s">
        <v>29</v>
      </c>
      <c r="D378" s="70" t="s">
        <v>19</v>
      </c>
      <c r="E378" s="64"/>
      <c r="F378" s="37">
        <f>0.14*0.14*14</f>
        <v>0.27440000000000003</v>
      </c>
      <c r="G378" s="32"/>
      <c r="H378" s="110"/>
      <c r="I378" s="33">
        <v>472.04999999999995</v>
      </c>
      <c r="J378" s="73">
        <f t="shared" si="35"/>
        <v>129.53052</v>
      </c>
      <c r="K378" s="263">
        <f t="shared" si="34"/>
        <v>129.53052</v>
      </c>
      <c r="L378" s="1"/>
    </row>
    <row r="379" spans="1:12" s="45" customFormat="1" ht="15" hidden="1" customHeight="1">
      <c r="A379" s="284"/>
      <c r="B379" s="302" t="s">
        <v>128</v>
      </c>
      <c r="C379" s="38" t="s">
        <v>29</v>
      </c>
      <c r="D379" s="304" t="s">
        <v>125</v>
      </c>
      <c r="E379" s="124">
        <v>1.0149999999999999</v>
      </c>
      <c r="F379" s="125">
        <f>F376*E379</f>
        <v>0.36844500000000002</v>
      </c>
      <c r="G379" s="32"/>
      <c r="H379" s="110"/>
      <c r="I379" s="33"/>
      <c r="J379" s="73">
        <f t="shared" si="35"/>
        <v>0</v>
      </c>
      <c r="K379" s="263">
        <f t="shared" si="34"/>
        <v>0</v>
      </c>
      <c r="L379" s="1"/>
    </row>
    <row r="380" spans="1:12" s="44" customFormat="1" ht="15" hidden="1" customHeight="1">
      <c r="A380" s="284"/>
      <c r="B380" s="302" t="s">
        <v>129</v>
      </c>
      <c r="C380" s="38" t="s">
        <v>29</v>
      </c>
      <c r="D380" s="304" t="s">
        <v>18</v>
      </c>
      <c r="E380" s="124">
        <v>1.05</v>
      </c>
      <c r="F380" s="125">
        <f>2.2*1.1*0.87*E380</f>
        <v>2.2106700000000004</v>
      </c>
      <c r="G380" s="32"/>
      <c r="H380" s="244"/>
      <c r="I380" s="33">
        <v>330.99</v>
      </c>
      <c r="J380" s="73">
        <f t="shared" si="35"/>
        <v>731.7096633000001</v>
      </c>
      <c r="K380" s="263">
        <f t="shared" si="34"/>
        <v>731.7096633000001</v>
      </c>
      <c r="L380" s="1"/>
    </row>
    <row r="381" spans="1:12" s="44" customFormat="1" ht="15" hidden="1" customHeight="1">
      <c r="A381" s="284"/>
      <c r="B381" s="302" t="s">
        <v>130</v>
      </c>
      <c r="C381" s="38" t="s">
        <v>29</v>
      </c>
      <c r="D381" s="304" t="s">
        <v>18</v>
      </c>
      <c r="E381" s="124">
        <v>1.1000000000000001</v>
      </c>
      <c r="F381" s="125">
        <f>2.2*1.1*E381</f>
        <v>2.6620000000000008</v>
      </c>
      <c r="G381" s="32"/>
      <c r="H381" s="244"/>
      <c r="I381" s="33">
        <v>4.3099999999999996</v>
      </c>
      <c r="J381" s="73">
        <f t="shared" si="35"/>
        <v>11.473220000000003</v>
      </c>
      <c r="K381" s="263">
        <f t="shared" si="34"/>
        <v>11.473220000000003</v>
      </c>
      <c r="L381" s="1"/>
    </row>
    <row r="382" spans="1:12" s="44" customFormat="1" ht="15" hidden="1" customHeight="1">
      <c r="A382" s="284"/>
      <c r="B382" s="303" t="s">
        <v>131</v>
      </c>
      <c r="C382" s="38" t="s">
        <v>29</v>
      </c>
      <c r="D382" s="305" t="s">
        <v>19</v>
      </c>
      <c r="E382" s="21">
        <v>0.15</v>
      </c>
      <c r="F382" s="68">
        <f>E382*((2.2*2+1.1*2)*0.15+2.2*1.1)</f>
        <v>0.51149999999999995</v>
      </c>
      <c r="G382" s="32"/>
      <c r="H382" s="244"/>
      <c r="I382" s="33">
        <v>37.81</v>
      </c>
      <c r="J382" s="73">
        <f t="shared" si="35"/>
        <v>19.339814999999998</v>
      </c>
      <c r="K382" s="263">
        <f t="shared" si="34"/>
        <v>19.339814999999998</v>
      </c>
      <c r="L382" s="1"/>
    </row>
    <row r="383" spans="1:12" s="44" customFormat="1" ht="15" hidden="1" customHeight="1">
      <c r="A383" s="284"/>
      <c r="B383" s="105" t="s">
        <v>132</v>
      </c>
      <c r="C383" s="38" t="s">
        <v>29</v>
      </c>
      <c r="D383" s="70" t="s">
        <v>19</v>
      </c>
      <c r="E383" s="64">
        <v>0.3</v>
      </c>
      <c r="F383" s="68">
        <f>E383*((2.2*2+1.1*2)*0.15+2.2*1.1)</f>
        <v>1.0229999999999999</v>
      </c>
      <c r="G383" s="32"/>
      <c r="H383" s="244"/>
      <c r="I383" s="33">
        <v>199.53</v>
      </c>
      <c r="J383" s="73">
        <f t="shared" si="35"/>
        <v>204.11918999999997</v>
      </c>
      <c r="K383" s="263">
        <f t="shared" si="34"/>
        <v>204.11918999999997</v>
      </c>
      <c r="L383" s="1"/>
    </row>
    <row r="384" spans="1:12" s="45" customFormat="1" ht="15" hidden="1" customHeight="1">
      <c r="A384" s="284"/>
      <c r="B384" s="105"/>
      <c r="C384" s="75"/>
      <c r="D384" s="70"/>
      <c r="E384" s="64"/>
      <c r="F384" s="37"/>
      <c r="G384" s="32"/>
      <c r="H384" s="110"/>
      <c r="I384" s="33"/>
      <c r="J384" s="73"/>
      <c r="K384" s="263"/>
      <c r="L384" s="1"/>
    </row>
    <row r="385" spans="1:12" s="45" customFormat="1" ht="15" hidden="1" customHeight="1">
      <c r="A385" s="282"/>
      <c r="B385" s="117" t="s">
        <v>105</v>
      </c>
      <c r="C385" s="291"/>
      <c r="D385" s="292"/>
      <c r="E385" s="293"/>
      <c r="F385" s="292"/>
      <c r="G385" s="57"/>
      <c r="H385" s="292"/>
      <c r="I385" s="59"/>
      <c r="J385" s="294"/>
      <c r="K385" s="295"/>
      <c r="L385" s="1"/>
    </row>
    <row r="386" spans="1:12" s="45" customFormat="1" ht="25.5" customHeight="1">
      <c r="A386" s="288">
        <f>A376+1</f>
        <v>39</v>
      </c>
      <c r="B386" s="61" t="s">
        <v>106</v>
      </c>
      <c r="C386" s="38" t="s">
        <v>23</v>
      </c>
      <c r="D386" s="38" t="s">
        <v>58</v>
      </c>
      <c r="E386" s="64"/>
      <c r="F386" s="97">
        <f>671.6+95.2+133.06</f>
        <v>899.86000000000013</v>
      </c>
      <c r="G386" s="32">
        <v>200</v>
      </c>
      <c r="H386" s="235">
        <f>F386*G386</f>
        <v>179972.00000000003</v>
      </c>
      <c r="I386" s="33"/>
      <c r="J386" s="66"/>
      <c r="K386" s="260">
        <f>H386+J386</f>
        <v>179972.00000000003</v>
      </c>
      <c r="L386" s="1"/>
    </row>
    <row r="387" spans="1:12" s="45" customFormat="1" ht="15" customHeight="1">
      <c r="A387" s="284"/>
      <c r="B387" s="105" t="s">
        <v>24</v>
      </c>
      <c r="C387" s="38" t="s">
        <v>23</v>
      </c>
      <c r="D387" s="70" t="s">
        <v>41</v>
      </c>
      <c r="E387" s="64">
        <f>1.1*0.1</f>
        <v>0.11000000000000001</v>
      </c>
      <c r="F387" s="37">
        <f>F386*E387</f>
        <v>98.984600000000029</v>
      </c>
      <c r="G387" s="32"/>
      <c r="H387" s="110"/>
      <c r="I387" s="33"/>
      <c r="J387" s="73">
        <f>F387*I387</f>
        <v>0</v>
      </c>
      <c r="K387" s="263">
        <f>H387+J387</f>
        <v>0</v>
      </c>
      <c r="L387" s="1"/>
    </row>
    <row r="388" spans="1:12" s="44" customFormat="1" ht="15" customHeight="1">
      <c r="A388" s="284"/>
      <c r="B388" s="105" t="s">
        <v>34</v>
      </c>
      <c r="C388" s="38" t="s">
        <v>23</v>
      </c>
      <c r="D388" s="70" t="s">
        <v>21</v>
      </c>
      <c r="E388" s="64">
        <f>0.15*0.1</f>
        <v>1.4999999999999999E-2</v>
      </c>
      <c r="F388" s="37">
        <f>F386*E388</f>
        <v>13.497900000000001</v>
      </c>
      <c r="G388" s="32"/>
      <c r="H388" s="244"/>
      <c r="I388" s="33"/>
      <c r="J388" s="73">
        <f>F388*I388</f>
        <v>0</v>
      </c>
      <c r="K388" s="263">
        <f>H388+J388</f>
        <v>0</v>
      </c>
      <c r="L388" s="1"/>
    </row>
    <row r="389" spans="1:12" s="44" customFormat="1" ht="15" customHeight="1">
      <c r="A389" s="284"/>
      <c r="B389" s="105" t="s">
        <v>71</v>
      </c>
      <c r="C389" s="38" t="s">
        <v>23</v>
      </c>
      <c r="D389" s="70" t="s">
        <v>19</v>
      </c>
      <c r="E389" s="64">
        <f>7.6*0.1</f>
        <v>0.76</v>
      </c>
      <c r="F389" s="37">
        <f>F386*E389</f>
        <v>683.89360000000011</v>
      </c>
      <c r="G389" s="32"/>
      <c r="H389" s="244"/>
      <c r="I389" s="33"/>
      <c r="J389" s="73">
        <f>F389*I389</f>
        <v>0</v>
      </c>
      <c r="K389" s="263">
        <f>H389+J389</f>
        <v>0</v>
      </c>
      <c r="L389" s="1"/>
    </row>
    <row r="390" spans="1:12" s="44" customFormat="1" ht="15" customHeight="1" thickBot="1">
      <c r="A390" s="284"/>
      <c r="B390" s="105" t="s">
        <v>73</v>
      </c>
      <c r="C390" s="38" t="s">
        <v>23</v>
      </c>
      <c r="D390" s="70" t="s">
        <v>19</v>
      </c>
      <c r="E390" s="64">
        <f>0.4*0.1</f>
        <v>4.0000000000000008E-2</v>
      </c>
      <c r="F390" s="37">
        <f>F386*E390</f>
        <v>35.994400000000013</v>
      </c>
      <c r="G390" s="32"/>
      <c r="H390" s="244"/>
      <c r="I390" s="33"/>
      <c r="J390" s="73">
        <f>F390*I390</f>
        <v>0</v>
      </c>
      <c r="K390" s="263">
        <f>H390+J390</f>
        <v>0</v>
      </c>
      <c r="L390" s="1"/>
    </row>
    <row r="391" spans="1:12" ht="15" hidden="1" customHeight="1" thickBot="1">
      <c r="A391" s="298"/>
      <c r="B391" s="185"/>
      <c r="C391" s="186"/>
      <c r="D391" s="187"/>
      <c r="E391" s="128"/>
      <c r="F391" s="188"/>
      <c r="G391" s="130"/>
      <c r="H391" s="189"/>
      <c r="I391" s="129"/>
      <c r="J391" s="129"/>
      <c r="K391" s="299"/>
    </row>
    <row r="392" spans="1:12" ht="14.4">
      <c r="A392" s="190"/>
      <c r="B392" s="191" t="s">
        <v>136</v>
      </c>
      <c r="C392" s="192"/>
      <c r="D392" s="193" t="s">
        <v>137</v>
      </c>
      <c r="E392" s="194"/>
      <c r="F392" s="193"/>
      <c r="G392" s="195"/>
      <c r="H392" s="196">
        <f>SUBTOTAL(9,H72:H390)</f>
        <v>1491272.5999999999</v>
      </c>
      <c r="I392" s="197"/>
      <c r="J392" s="198">
        <f>SUBTOTAL(9,J72:J390)</f>
        <v>0</v>
      </c>
      <c r="K392" s="199">
        <f>SUBTOTAL(9,K72:K390)</f>
        <v>1491272.5999999999</v>
      </c>
    </row>
    <row r="393" spans="1:12" ht="14.4">
      <c r="A393" s="228"/>
      <c r="B393" s="229"/>
      <c r="C393" s="38"/>
      <c r="D393" s="230"/>
      <c r="E393" s="64"/>
      <c r="F393" s="230"/>
      <c r="G393" s="231"/>
      <c r="H393" s="232"/>
      <c r="I393" s="233"/>
      <c r="J393" s="233"/>
      <c r="K393" s="234"/>
    </row>
    <row r="394" spans="1:12" ht="14.4">
      <c r="A394" s="200"/>
      <c r="B394" s="201" t="s">
        <v>138</v>
      </c>
      <c r="C394" s="202"/>
      <c r="D394" s="207"/>
      <c r="E394" s="208"/>
      <c r="F394" s="207"/>
      <c r="G394" s="245">
        <v>1.4999999999999999E-2</v>
      </c>
      <c r="H394" s="209">
        <f>H392*G394</f>
        <v>22369.088999999996</v>
      </c>
      <c r="I394" s="210"/>
      <c r="J394" s="210"/>
      <c r="K394" s="211">
        <f>H394+J394</f>
        <v>22369.088999999996</v>
      </c>
    </row>
    <row r="395" spans="1:12" ht="14.4">
      <c r="A395" s="200"/>
      <c r="B395" s="212" t="s">
        <v>139</v>
      </c>
      <c r="C395" s="202"/>
      <c r="D395" s="207"/>
      <c r="E395" s="208"/>
      <c r="F395" s="207"/>
      <c r="G395" s="246">
        <v>0.02</v>
      </c>
      <c r="H395" s="205"/>
      <c r="I395" s="210"/>
      <c r="J395" s="213">
        <f>J392*G395</f>
        <v>0</v>
      </c>
      <c r="K395" s="211">
        <f>H395+J395</f>
        <v>0</v>
      </c>
    </row>
    <row r="396" spans="1:12" ht="14.4">
      <c r="A396" s="200"/>
      <c r="B396" s="214" t="s">
        <v>140</v>
      </c>
      <c r="C396" s="207"/>
      <c r="D396" s="203" t="s">
        <v>137</v>
      </c>
      <c r="E396" s="204"/>
      <c r="F396" s="203"/>
      <c r="G396" s="215"/>
      <c r="H396" s="216">
        <f>H392+H394</f>
        <v>1513641.6889999998</v>
      </c>
      <c r="I396" s="206"/>
      <c r="J396" s="206">
        <f>J392+J395</f>
        <v>0</v>
      </c>
      <c r="K396" s="217">
        <f>K392+K394+K395</f>
        <v>1513641.6889999998</v>
      </c>
    </row>
    <row r="397" spans="1:12" ht="14.4">
      <c r="A397" s="200"/>
      <c r="B397" s="214" t="s">
        <v>141</v>
      </c>
      <c r="C397" s="207"/>
      <c r="D397" s="203" t="s">
        <v>137</v>
      </c>
      <c r="E397" s="204"/>
      <c r="F397" s="203"/>
      <c r="G397" s="218"/>
      <c r="H397" s="219">
        <f>H396/5</f>
        <v>302728.33779999998</v>
      </c>
      <c r="I397" s="206"/>
      <c r="J397" s="206"/>
      <c r="K397" s="217">
        <f>K396*0.2</f>
        <v>302728.33779999998</v>
      </c>
    </row>
    <row r="398" spans="1:12" s="131" customFormat="1" ht="14.4" thickBot="1">
      <c r="A398" s="220"/>
      <c r="B398" s="221" t="s">
        <v>142</v>
      </c>
      <c r="C398" s="222"/>
      <c r="D398" s="222" t="s">
        <v>137</v>
      </c>
      <c r="E398" s="223"/>
      <c r="F398" s="223"/>
      <c r="G398" s="224"/>
      <c r="H398" s="225">
        <f>H396*1.2</f>
        <v>1816370.0267999996</v>
      </c>
      <c r="I398" s="226"/>
      <c r="J398" s="226"/>
      <c r="K398" s="227">
        <f>K396+K397</f>
        <v>1816370.0267999996</v>
      </c>
      <c r="L398" s="134">
        <v>1816370.0268000001</v>
      </c>
    </row>
    <row r="399" spans="1:12" s="149" customFormat="1" ht="16.5" customHeight="1">
      <c r="A399" s="142"/>
      <c r="B399" s="143"/>
      <c r="C399" s="144"/>
      <c r="D399" s="145"/>
      <c r="E399" s="146"/>
      <c r="F399" s="147"/>
      <c r="G399" s="148"/>
      <c r="I399" s="150"/>
      <c r="J399" s="150"/>
      <c r="K399" s="151"/>
    </row>
    <row r="400" spans="1:12" ht="15" customHeight="1">
      <c r="K400" s="151"/>
    </row>
    <row r="401" spans="1:11" ht="15.75" customHeight="1">
      <c r="A401" s="152" t="s">
        <v>143</v>
      </c>
      <c r="B401" s="153"/>
      <c r="C401" s="154"/>
      <c r="D401" s="153"/>
      <c r="E401" s="155"/>
      <c r="F401" s="153"/>
      <c r="G401" s="156"/>
      <c r="H401" s="153"/>
      <c r="I401" s="157"/>
      <c r="J401" s="157"/>
      <c r="K401" s="158"/>
    </row>
    <row r="402" spans="1:11" s="45" customFormat="1" ht="15" customHeight="1">
      <c r="A402" s="160" t="s">
        <v>144</v>
      </c>
      <c r="B402" s="161"/>
      <c r="C402" s="162"/>
      <c r="D402" s="161"/>
      <c r="E402" s="163"/>
      <c r="F402" s="161"/>
      <c r="G402" s="164"/>
      <c r="H402" s="161"/>
      <c r="I402" s="165"/>
      <c r="J402" s="165"/>
      <c r="K402" s="159"/>
    </row>
    <row r="403" spans="1:11" s="45" customFormat="1" ht="15" customHeight="1">
      <c r="A403" s="160" t="s">
        <v>145</v>
      </c>
      <c r="B403" s="161"/>
      <c r="C403" s="162"/>
      <c r="D403" s="161"/>
      <c r="E403" s="163"/>
      <c r="F403" s="161"/>
      <c r="G403" s="164"/>
      <c r="H403" s="161"/>
      <c r="I403" s="165"/>
      <c r="J403" s="165"/>
      <c r="K403" s="159"/>
    </row>
    <row r="404" spans="1:11" s="45" customFormat="1" ht="15" customHeight="1">
      <c r="A404" s="160"/>
      <c r="B404" s="161"/>
      <c r="C404" s="162"/>
      <c r="D404" s="161"/>
      <c r="E404" s="163"/>
      <c r="F404" s="161"/>
      <c r="G404" s="164"/>
      <c r="H404" s="161"/>
      <c r="I404" s="165"/>
      <c r="J404" s="165"/>
      <c r="K404" s="159"/>
    </row>
    <row r="405" spans="1:11" s="45" customFormat="1" ht="15" customHeight="1">
      <c r="A405" s="160" t="s">
        <v>146</v>
      </c>
      <c r="B405" s="161"/>
      <c r="C405" s="162"/>
      <c r="D405" s="161"/>
      <c r="E405" s="163"/>
      <c r="F405" s="161"/>
      <c r="G405" s="164"/>
      <c r="H405" s="161"/>
      <c r="I405" s="165"/>
      <c r="J405" s="165"/>
      <c r="K405" s="159"/>
    </row>
    <row r="406" spans="1:11" s="45" customFormat="1" ht="48.75" customHeight="1">
      <c r="A406" s="375" t="s">
        <v>147</v>
      </c>
      <c r="B406" s="375"/>
      <c r="C406" s="375"/>
      <c r="D406" s="375"/>
      <c r="E406" s="375"/>
      <c r="F406" s="375"/>
      <c r="G406" s="375"/>
      <c r="H406" s="375"/>
      <c r="I406" s="375"/>
      <c r="J406" s="375"/>
      <c r="K406" s="375"/>
    </row>
    <row r="407" spans="1:11" s="45" customFormat="1" ht="15" customHeight="1">
      <c r="A407" s="160" t="s">
        <v>148</v>
      </c>
      <c r="B407" s="161"/>
      <c r="C407" s="162"/>
      <c r="D407" s="161"/>
      <c r="E407" s="163"/>
      <c r="F407" s="161"/>
      <c r="G407" s="164"/>
      <c r="H407" s="161"/>
      <c r="I407" s="165"/>
      <c r="J407" s="165"/>
      <c r="K407" s="159"/>
    </row>
    <row r="408" spans="1:11" s="45" customFormat="1" ht="15" customHeight="1">
      <c r="A408" s="160" t="s">
        <v>149</v>
      </c>
      <c r="B408" s="161"/>
      <c r="C408" s="162"/>
      <c r="D408" s="161"/>
      <c r="E408" s="163"/>
      <c r="F408" s="161"/>
      <c r="G408" s="164"/>
      <c r="H408" s="161"/>
      <c r="I408" s="165"/>
      <c r="J408" s="165"/>
      <c r="K408" s="159"/>
    </row>
    <row r="409" spans="1:11" s="45" customFormat="1" ht="15" customHeight="1">
      <c r="A409" s="160" t="s">
        <v>150</v>
      </c>
      <c r="B409" s="161"/>
      <c r="C409" s="162"/>
      <c r="D409" s="161"/>
      <c r="E409" s="163"/>
      <c r="F409" s="161"/>
      <c r="G409" s="164"/>
      <c r="H409" s="161"/>
      <c r="I409" s="165"/>
      <c r="J409" s="165"/>
      <c r="K409" s="159"/>
    </row>
    <row r="410" spans="1:11" s="45" customFormat="1" ht="15" customHeight="1">
      <c r="A410" s="160" t="s">
        <v>151</v>
      </c>
      <c r="B410" s="161"/>
      <c r="C410" s="162"/>
      <c r="D410" s="161"/>
      <c r="E410" s="163"/>
      <c r="F410" s="161"/>
      <c r="G410" s="164"/>
      <c r="H410" s="161"/>
      <c r="I410" s="165"/>
      <c r="J410" s="165"/>
      <c r="K410" s="159"/>
    </row>
    <row r="411" spans="1:11" s="45" customFormat="1" ht="15" customHeight="1">
      <c r="A411" s="160" t="s">
        <v>152</v>
      </c>
      <c r="B411" s="161"/>
      <c r="C411" s="162"/>
      <c r="D411" s="161"/>
      <c r="E411" s="163"/>
      <c r="F411" s="161"/>
      <c r="G411" s="164"/>
      <c r="H411" s="161"/>
      <c r="I411" s="165"/>
      <c r="J411" s="165"/>
      <c r="K411" s="159"/>
    </row>
    <row r="412" spans="1:11" s="45" customFormat="1" ht="36" customHeight="1">
      <c r="A412" s="375" t="s">
        <v>153</v>
      </c>
      <c r="B412" s="375"/>
      <c r="C412" s="375"/>
      <c r="D412" s="375"/>
      <c r="E412" s="375"/>
      <c r="F412" s="375"/>
      <c r="G412" s="375"/>
      <c r="H412" s="375"/>
      <c r="I412" s="375"/>
      <c r="J412" s="375"/>
      <c r="K412" s="375"/>
    </row>
    <row r="413" spans="1:11" s="45" customFormat="1" ht="15" customHeight="1">
      <c r="A413" s="160" t="s">
        <v>154</v>
      </c>
      <c r="B413" s="161"/>
      <c r="C413" s="162"/>
      <c r="D413" s="161"/>
      <c r="E413" s="163"/>
      <c r="F413" s="161"/>
      <c r="G413" s="164"/>
      <c r="H413" s="161"/>
      <c r="I413" s="165"/>
      <c r="J413" s="165"/>
      <c r="K413" s="159"/>
    </row>
    <row r="414" spans="1:11" s="45" customFormat="1" ht="15" customHeight="1">
      <c r="A414" s="356" t="s">
        <v>155</v>
      </c>
      <c r="B414" s="356"/>
      <c r="C414" s="356"/>
      <c r="D414" s="356"/>
      <c r="E414" s="356"/>
      <c r="F414" s="356"/>
      <c r="G414" s="356"/>
      <c r="H414" s="356"/>
      <c r="I414" s="165"/>
      <c r="J414" s="165"/>
      <c r="K414" s="159"/>
    </row>
    <row r="415" spans="1:11" s="45" customFormat="1" ht="15" customHeight="1">
      <c r="A415" s="356" t="s">
        <v>156</v>
      </c>
      <c r="B415" s="356"/>
      <c r="C415" s="356"/>
      <c r="D415" s="356"/>
      <c r="E415" s="356"/>
      <c r="F415" s="356"/>
      <c r="G415" s="356"/>
      <c r="H415" s="356"/>
      <c r="I415" s="165"/>
      <c r="J415" s="165"/>
      <c r="K415" s="159"/>
    </row>
    <row r="416" spans="1:11" s="45" customFormat="1" ht="15" customHeight="1">
      <c r="A416" s="160" t="s">
        <v>157</v>
      </c>
      <c r="B416" s="161"/>
      <c r="C416" s="162"/>
      <c r="D416" s="161"/>
      <c r="E416" s="163"/>
      <c r="F416" s="161"/>
      <c r="G416" s="164"/>
      <c r="H416" s="161"/>
      <c r="I416" s="165"/>
      <c r="J416" s="165"/>
      <c r="K416" s="159"/>
    </row>
    <row r="417" spans="1:13" s="45" customFormat="1" ht="33" customHeight="1">
      <c r="A417" s="356" t="s">
        <v>158</v>
      </c>
      <c r="B417" s="356"/>
      <c r="C417" s="356"/>
      <c r="D417" s="356"/>
      <c r="E417" s="356"/>
      <c r="F417" s="356"/>
      <c r="G417" s="356"/>
      <c r="H417" s="356"/>
      <c r="I417" s="165"/>
      <c r="J417" s="165"/>
      <c r="K417" s="159"/>
    </row>
    <row r="418" spans="1:13" s="45" customFormat="1" ht="15" customHeight="1">
      <c r="A418" s="160" t="s">
        <v>159</v>
      </c>
      <c r="B418" s="161"/>
      <c r="C418" s="162"/>
      <c r="D418" s="161"/>
      <c r="E418" s="163"/>
      <c r="F418" s="161"/>
      <c r="G418" s="164"/>
      <c r="H418" s="161"/>
      <c r="I418" s="165"/>
      <c r="J418" s="165"/>
      <c r="K418" s="159"/>
    </row>
    <row r="419" spans="1:13" s="45" customFormat="1" ht="15" customHeight="1">
      <c r="A419" s="357" t="s">
        <v>160</v>
      </c>
      <c r="B419" s="357"/>
      <c r="C419" s="357"/>
      <c r="D419" s="357"/>
      <c r="E419" s="357"/>
      <c r="F419" s="357"/>
      <c r="G419" s="357"/>
      <c r="H419" s="357"/>
      <c r="I419" s="165"/>
      <c r="J419" s="165"/>
      <c r="K419" s="159"/>
    </row>
    <row r="420" spans="1:13" s="45" customFormat="1" ht="42.6" customHeight="1">
      <c r="A420" s="355" t="s">
        <v>161</v>
      </c>
      <c r="B420" s="355"/>
      <c r="C420" s="355"/>
      <c r="D420" s="355"/>
      <c r="E420" s="355"/>
      <c r="F420" s="355"/>
      <c r="G420" s="355"/>
      <c r="H420" s="355"/>
      <c r="I420" s="165"/>
      <c r="J420" s="165"/>
      <c r="K420" s="159"/>
    </row>
    <row r="421" spans="1:13" s="45" customFormat="1" ht="15" customHeight="1">
      <c r="A421" s="355" t="s">
        <v>162</v>
      </c>
      <c r="B421" s="355"/>
      <c r="C421" s="355"/>
      <c r="D421" s="355"/>
      <c r="E421" s="355"/>
      <c r="F421" s="355"/>
      <c r="G421" s="355"/>
      <c r="H421" s="355"/>
      <c r="I421" s="165"/>
      <c r="J421" s="165"/>
      <c r="K421" s="159"/>
    </row>
    <row r="422" spans="1:13" s="45" customFormat="1" ht="15" customHeight="1">
      <c r="A422" s="355" t="s">
        <v>163</v>
      </c>
      <c r="B422" s="355"/>
      <c r="C422" s="355"/>
      <c r="D422" s="355"/>
      <c r="E422" s="355"/>
      <c r="F422" s="355"/>
      <c r="G422" s="355"/>
      <c r="H422" s="355"/>
      <c r="I422" s="165"/>
      <c r="J422" s="165"/>
      <c r="K422" s="159"/>
    </row>
    <row r="423" spans="1:13" s="45" customFormat="1" ht="15" customHeight="1">
      <c r="A423" s="355" t="s">
        <v>164</v>
      </c>
      <c r="B423" s="355"/>
      <c r="C423" s="355"/>
      <c r="D423" s="355"/>
      <c r="E423" s="355"/>
      <c r="F423" s="355"/>
      <c r="G423" s="355"/>
      <c r="H423" s="355"/>
      <c r="I423" s="165"/>
      <c r="J423" s="165"/>
      <c r="K423" s="159"/>
    </row>
    <row r="424" spans="1:13" s="45" customFormat="1" ht="15" customHeight="1">
      <c r="A424" s="355" t="s">
        <v>165</v>
      </c>
      <c r="B424" s="355"/>
      <c r="C424" s="355"/>
      <c r="D424" s="355"/>
      <c r="E424" s="355"/>
      <c r="F424" s="355"/>
      <c r="G424" s="355"/>
      <c r="H424" s="355"/>
      <c r="I424" s="165"/>
      <c r="J424" s="165"/>
      <c r="K424" s="159"/>
    </row>
    <row r="425" spans="1:13" s="45" customFormat="1" ht="15" customHeight="1">
      <c r="A425" s="355" t="s">
        <v>166</v>
      </c>
      <c r="B425" s="355"/>
      <c r="C425" s="355"/>
      <c r="D425" s="355"/>
      <c r="E425" s="355"/>
      <c r="F425" s="355"/>
      <c r="G425" s="355"/>
      <c r="H425" s="355"/>
      <c r="I425" s="165"/>
      <c r="J425" s="165"/>
      <c r="K425" s="159"/>
    </row>
    <row r="426" spans="1:13" s="45" customFormat="1" ht="15" customHeight="1">
      <c r="A426" s="355" t="s">
        <v>167</v>
      </c>
      <c r="B426" s="355"/>
      <c r="C426" s="355"/>
      <c r="D426" s="355"/>
      <c r="E426" s="355"/>
      <c r="F426" s="355"/>
      <c r="G426" s="355"/>
      <c r="H426" s="355"/>
      <c r="I426" s="165"/>
      <c r="J426" s="165"/>
      <c r="K426" s="159"/>
    </row>
    <row r="427" spans="1:13" s="45" customFormat="1" ht="15" customHeight="1">
      <c r="A427" s="355" t="s">
        <v>168</v>
      </c>
      <c r="B427" s="355"/>
      <c r="C427" s="355"/>
      <c r="D427" s="355"/>
      <c r="E427" s="355"/>
      <c r="F427" s="355"/>
      <c r="G427" s="355"/>
      <c r="H427" s="355"/>
      <c r="I427" s="165"/>
      <c r="J427" s="165"/>
      <c r="K427" s="159"/>
    </row>
    <row r="428" spans="1:13" s="45" customFormat="1" ht="15" customHeight="1">
      <c r="A428" s="355" t="s">
        <v>169</v>
      </c>
      <c r="B428" s="355"/>
      <c r="C428" s="355"/>
      <c r="D428" s="355"/>
      <c r="E428" s="355"/>
      <c r="F428" s="355"/>
      <c r="G428" s="355"/>
      <c r="H428" s="355"/>
      <c r="I428" s="165"/>
      <c r="J428" s="165"/>
      <c r="K428" s="1"/>
      <c r="L428" s="1"/>
      <c r="M428" s="1"/>
    </row>
    <row r="429" spans="1:13" s="45" customFormat="1" ht="15" customHeight="1">
      <c r="A429" s="355" t="s">
        <v>170</v>
      </c>
      <c r="B429" s="355"/>
      <c r="C429" s="355"/>
      <c r="D429" s="355"/>
      <c r="E429" s="355"/>
      <c r="F429" s="355"/>
      <c r="G429" s="355"/>
      <c r="H429" s="355"/>
      <c r="I429" s="165"/>
      <c r="J429" s="165"/>
      <c r="K429" s="1"/>
      <c r="L429" s="1"/>
      <c r="M429" s="1"/>
    </row>
    <row r="430" spans="1:13" s="45" customFormat="1" ht="15" customHeight="1">
      <c r="A430" s="353" t="s">
        <v>171</v>
      </c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1"/>
      <c r="M430" s="1"/>
    </row>
    <row r="431" spans="1:13" s="135" customFormat="1" ht="15" customHeight="1">
      <c r="A431" s="136"/>
      <c r="C431" s="170"/>
      <c r="E431" s="171"/>
      <c r="I431" s="172"/>
      <c r="J431" s="172"/>
      <c r="K431" s="173"/>
    </row>
    <row r="432" spans="1:13" s="135" customFormat="1" ht="15" customHeight="1">
      <c r="A432" s="136"/>
      <c r="C432" s="170"/>
      <c r="E432" s="171"/>
      <c r="I432" s="172"/>
      <c r="J432" s="172"/>
      <c r="K432" s="173"/>
    </row>
    <row r="433" spans="1:17" s="135" customFormat="1" ht="15" customHeight="1">
      <c r="A433" s="174"/>
      <c r="C433" s="170"/>
      <c r="E433" s="175"/>
      <c r="G433" s="176"/>
      <c r="I433" s="172"/>
      <c r="J433" s="172"/>
      <c r="K433" s="173"/>
    </row>
    <row r="434" spans="1:17" s="181" customFormat="1" ht="15.6">
      <c r="A434" s="177"/>
      <c r="B434" s="350" t="s">
        <v>175</v>
      </c>
      <c r="C434" s="350"/>
      <c r="D434" s="179"/>
      <c r="E434" s="178"/>
      <c r="F434" s="178"/>
      <c r="G434" s="178"/>
      <c r="H434" s="354" t="s">
        <v>176</v>
      </c>
      <c r="I434" s="354"/>
      <c r="J434" s="180"/>
      <c r="K434" s="180"/>
      <c r="M434" s="182"/>
      <c r="N434" s="183"/>
      <c r="O434" s="183"/>
      <c r="P434" s="183"/>
      <c r="Q434" s="183"/>
    </row>
    <row r="435" spans="1:17" s="181" customFormat="1" ht="15.6">
      <c r="A435" s="177"/>
      <c r="B435" s="178" t="s">
        <v>177</v>
      </c>
      <c r="C435" s="178"/>
      <c r="D435" s="179"/>
      <c r="E435" s="178"/>
      <c r="F435" s="178"/>
      <c r="G435" s="178"/>
      <c r="H435" s="354" t="s">
        <v>178</v>
      </c>
      <c r="I435" s="354"/>
      <c r="J435" s="180"/>
      <c r="K435" s="180"/>
      <c r="M435" s="182"/>
      <c r="N435" s="183"/>
      <c r="O435" s="183"/>
      <c r="P435" s="183"/>
      <c r="Q435" s="183"/>
    </row>
    <row r="436" spans="1:17" s="181" customFormat="1" ht="15.6">
      <c r="A436" s="177"/>
      <c r="B436" s="178"/>
      <c r="C436" s="178"/>
      <c r="D436" s="179"/>
      <c r="E436" s="178"/>
      <c r="F436" s="178"/>
      <c r="G436" s="178"/>
      <c r="H436" s="180"/>
      <c r="I436" s="180"/>
      <c r="J436" s="180"/>
      <c r="K436" s="180"/>
      <c r="M436" s="182"/>
      <c r="N436" s="183"/>
      <c r="O436" s="183"/>
      <c r="P436" s="183"/>
      <c r="Q436" s="183"/>
    </row>
    <row r="437" spans="1:17" s="181" customFormat="1" ht="15.6">
      <c r="A437" s="177"/>
      <c r="B437" s="350" t="s">
        <v>179</v>
      </c>
      <c r="C437" s="350"/>
      <c r="D437" s="179"/>
      <c r="E437" s="178"/>
      <c r="F437" s="178"/>
      <c r="G437" s="178"/>
      <c r="H437" s="352" t="s">
        <v>179</v>
      </c>
      <c r="I437" s="352"/>
      <c r="J437" s="352"/>
      <c r="K437" s="352"/>
      <c r="M437" s="182"/>
      <c r="N437" s="183"/>
      <c r="O437" s="183"/>
      <c r="P437" s="183"/>
      <c r="Q437" s="183"/>
    </row>
    <row r="438" spans="1:17" s="181" customFormat="1" ht="15.6">
      <c r="A438" s="177"/>
      <c r="B438" s="178" t="s">
        <v>180</v>
      </c>
      <c r="C438" s="179"/>
      <c r="D438" s="179"/>
      <c r="E438" s="178"/>
      <c r="F438" s="178"/>
      <c r="G438" s="178"/>
      <c r="H438" s="180"/>
      <c r="I438" s="180"/>
      <c r="J438" s="180"/>
      <c r="K438" s="184"/>
      <c r="M438" s="182"/>
      <c r="N438" s="183"/>
      <c r="O438" s="183"/>
      <c r="P438" s="183"/>
      <c r="Q438" s="183"/>
    </row>
    <row r="439" spans="1:17" s="181" customFormat="1" ht="15.6">
      <c r="A439" s="177"/>
      <c r="B439" s="350" t="s">
        <v>181</v>
      </c>
      <c r="C439" s="350"/>
      <c r="D439" s="351"/>
      <c r="E439" s="350"/>
      <c r="F439" s="350"/>
      <c r="G439" s="350"/>
      <c r="H439" s="352" t="s">
        <v>182</v>
      </c>
      <c r="I439" s="352"/>
      <c r="J439" s="352"/>
      <c r="K439" s="352"/>
      <c r="M439" s="182"/>
      <c r="N439" s="183"/>
      <c r="O439" s="183"/>
      <c r="P439" s="183"/>
      <c r="Q439" s="183"/>
    </row>
    <row r="440" spans="1:17" s="135" customFormat="1" ht="6" customHeight="1">
      <c r="A440" s="174"/>
      <c r="C440" s="170"/>
      <c r="E440" s="175"/>
      <c r="G440" s="176"/>
      <c r="I440" s="172"/>
      <c r="J440" s="172"/>
      <c r="K440" s="173"/>
    </row>
  </sheetData>
  <autoFilter ref="A12:K398">
    <filterColumn colId="2">
      <filters>
        <filter val="43.33"/>
      </filters>
    </filterColumn>
  </autoFilter>
  <mergeCells count="44">
    <mergeCell ref="A4:F4"/>
    <mergeCell ref="G4:K4"/>
    <mergeCell ref="A1:F1"/>
    <mergeCell ref="G1:K1"/>
    <mergeCell ref="A2:F2"/>
    <mergeCell ref="G2:K2"/>
    <mergeCell ref="G3:K3"/>
    <mergeCell ref="A415:H415"/>
    <mergeCell ref="A6:K6"/>
    <mergeCell ref="A7:K7"/>
    <mergeCell ref="A8:K8"/>
    <mergeCell ref="A10:A11"/>
    <mergeCell ref="B10:B11"/>
    <mergeCell ref="C10:C11"/>
    <mergeCell ref="D10:D11"/>
    <mergeCell ref="E10:E11"/>
    <mergeCell ref="F10:F11"/>
    <mergeCell ref="G10:H10"/>
    <mergeCell ref="I10:J10"/>
    <mergeCell ref="K10:K11"/>
    <mergeCell ref="A406:K406"/>
    <mergeCell ref="A412:K412"/>
    <mergeCell ref="A414:H414"/>
    <mergeCell ref="A429:H429"/>
    <mergeCell ref="A417:H417"/>
    <mergeCell ref="A419:H419"/>
    <mergeCell ref="A420:H420"/>
    <mergeCell ref="A421:H421"/>
    <mergeCell ref="A422:H422"/>
    <mergeCell ref="A423:H423"/>
    <mergeCell ref="A424:H424"/>
    <mergeCell ref="A425:H425"/>
    <mergeCell ref="A426:H426"/>
    <mergeCell ref="A427:H427"/>
    <mergeCell ref="A428:H428"/>
    <mergeCell ref="B439:D439"/>
    <mergeCell ref="E439:G439"/>
    <mergeCell ref="H439:K439"/>
    <mergeCell ref="A430:K430"/>
    <mergeCell ref="B434:C434"/>
    <mergeCell ref="H434:I434"/>
    <mergeCell ref="H435:I435"/>
    <mergeCell ref="B437:C437"/>
    <mergeCell ref="H437:K437"/>
  </mergeCells>
  <pageMargins left="0.19685039370078741" right="0.19685039370078741" top="0.59055118110236227" bottom="0.19685039370078741" header="0" footer="0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40"/>
  <sheetViews>
    <sheetView view="pageBreakPreview" topLeftCell="A186" zoomScaleNormal="80" zoomScaleSheetLayoutView="100" workbookViewId="0">
      <selection activeCell="M396" sqref="M396"/>
    </sheetView>
  </sheetViews>
  <sheetFormatPr defaultColWidth="12.5546875" defaultRowHeight="15" customHeight="1"/>
  <cols>
    <col min="1" max="1" width="7.44140625" style="2" customWidth="1"/>
    <col min="2" max="2" width="53.44140625" style="1" customWidth="1"/>
    <col min="3" max="3" width="7.44140625" style="3" customWidth="1"/>
    <col min="4" max="4" width="7.5546875" style="1" customWidth="1"/>
    <col min="5" max="5" width="8.44140625" style="4" customWidth="1"/>
    <col min="6" max="6" width="11.109375" style="1" customWidth="1"/>
    <col min="7" max="7" width="11.44140625" style="132" customWidth="1"/>
    <col min="8" max="8" width="15.88671875" style="1" customWidth="1"/>
    <col min="9" max="9" width="11.88671875" style="133" customWidth="1"/>
    <col min="10" max="10" width="13.5546875" style="133" customWidth="1"/>
    <col min="11" max="11" width="19.88671875" style="1" customWidth="1"/>
    <col min="12" max="12" width="13.88671875" style="1" customWidth="1"/>
    <col min="13" max="13" width="17.88671875" style="1" customWidth="1"/>
    <col min="14" max="16384" width="12.5546875" style="1"/>
  </cols>
  <sheetData>
    <row r="1" spans="1:11" ht="15.6">
      <c r="A1" s="378" t="s">
        <v>0</v>
      </c>
      <c r="B1" s="379"/>
      <c r="C1" s="379"/>
      <c r="D1" s="379"/>
      <c r="E1" s="379"/>
      <c r="F1" s="379"/>
      <c r="G1" s="380" t="s">
        <v>189</v>
      </c>
      <c r="H1" s="380"/>
      <c r="I1" s="380"/>
      <c r="J1" s="380"/>
      <c r="K1" s="380"/>
    </row>
    <row r="2" spans="1:11" ht="15" customHeight="1">
      <c r="A2" s="378" t="s">
        <v>174</v>
      </c>
      <c r="B2" s="379"/>
      <c r="C2" s="379"/>
      <c r="D2" s="379"/>
      <c r="E2" s="379"/>
      <c r="F2" s="379"/>
      <c r="G2" s="381"/>
      <c r="H2" s="381"/>
      <c r="I2" s="381"/>
      <c r="J2" s="381"/>
      <c r="K2" s="381"/>
    </row>
    <row r="3" spans="1:11" ht="15" customHeight="1">
      <c r="G3" s="377"/>
      <c r="H3" s="377"/>
      <c r="I3" s="377"/>
      <c r="J3" s="377"/>
      <c r="K3" s="377"/>
    </row>
    <row r="4" spans="1:11" ht="15.75" customHeight="1">
      <c r="A4" s="376"/>
      <c r="B4" s="359"/>
      <c r="C4" s="359"/>
      <c r="D4" s="359"/>
      <c r="E4" s="359"/>
      <c r="F4" s="359"/>
      <c r="G4" s="377"/>
      <c r="H4" s="377"/>
      <c r="I4" s="377"/>
      <c r="J4" s="377"/>
      <c r="K4" s="377"/>
    </row>
    <row r="5" spans="1:11" ht="7.5" customHeight="1">
      <c r="A5" s="7"/>
      <c r="B5" s="5"/>
      <c r="C5" s="8"/>
      <c r="D5" s="5"/>
      <c r="E5" s="9"/>
      <c r="F5" s="5"/>
      <c r="G5" s="10"/>
      <c r="H5" s="11"/>
      <c r="I5" s="12"/>
      <c r="J5" s="12"/>
      <c r="K5" s="11"/>
    </row>
    <row r="6" spans="1:11" ht="18" customHeight="1">
      <c r="A6" s="358" t="s">
        <v>191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5" customHeight="1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30.75" customHeight="1">
      <c r="A8" s="360" t="s">
        <v>2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1" ht="15" customHeight="1" thickBot="1">
      <c r="A9" s="13"/>
      <c r="B9" s="6"/>
      <c r="C9" s="14"/>
      <c r="D9" s="6"/>
      <c r="F9" s="6"/>
      <c r="G9" s="15"/>
      <c r="H9" s="6"/>
      <c r="I9" s="16"/>
      <c r="J9" s="16"/>
      <c r="K9" s="17"/>
    </row>
    <row r="10" spans="1:11" ht="33.75" customHeight="1">
      <c r="A10" s="361" t="s">
        <v>3</v>
      </c>
      <c r="B10" s="363" t="s">
        <v>4</v>
      </c>
      <c r="C10" s="363" t="s">
        <v>5</v>
      </c>
      <c r="D10" s="366" t="s">
        <v>6</v>
      </c>
      <c r="E10" s="367" t="s">
        <v>7</v>
      </c>
      <c r="F10" s="363" t="s">
        <v>8</v>
      </c>
      <c r="G10" s="369" t="s">
        <v>9</v>
      </c>
      <c r="H10" s="370"/>
      <c r="I10" s="371" t="s">
        <v>10</v>
      </c>
      <c r="J10" s="372"/>
      <c r="K10" s="373" t="s">
        <v>11</v>
      </c>
    </row>
    <row r="11" spans="1:11" ht="25.5" customHeight="1" thickBot="1">
      <c r="A11" s="362"/>
      <c r="B11" s="364"/>
      <c r="C11" s="365"/>
      <c r="D11" s="364"/>
      <c r="E11" s="368"/>
      <c r="F11" s="364"/>
      <c r="G11" s="168" t="s">
        <v>12</v>
      </c>
      <c r="H11" s="168" t="s">
        <v>13</v>
      </c>
      <c r="I11" s="169" t="s">
        <v>12</v>
      </c>
      <c r="J11" s="169" t="s">
        <v>14</v>
      </c>
      <c r="K11" s="374"/>
    </row>
    <row r="12" spans="1:11" s="22" customFormat="1" ht="15" customHeight="1">
      <c r="A12" s="247" t="s">
        <v>15</v>
      </c>
      <c r="B12" s="300">
        <v>2</v>
      </c>
      <c r="C12" s="306"/>
      <c r="D12" s="307">
        <v>3</v>
      </c>
      <c r="E12" s="308"/>
      <c r="F12" s="300">
        <v>4</v>
      </c>
      <c r="G12" s="166">
        <v>5</v>
      </c>
      <c r="H12" s="166">
        <v>6</v>
      </c>
      <c r="I12" s="167">
        <v>7</v>
      </c>
      <c r="J12" s="167">
        <v>10</v>
      </c>
      <c r="K12" s="248">
        <v>11</v>
      </c>
    </row>
    <row r="13" spans="1:11" ht="15" hidden="1" customHeight="1">
      <c r="A13" s="249"/>
      <c r="B13" s="301" t="s">
        <v>26</v>
      </c>
      <c r="C13" s="301"/>
      <c r="D13" s="313"/>
      <c r="E13" s="314"/>
      <c r="F13" s="313"/>
      <c r="G13" s="39"/>
      <c r="H13" s="251"/>
      <c r="I13" s="40"/>
      <c r="J13" s="253"/>
      <c r="K13" s="254"/>
    </row>
    <row r="14" spans="1:11" ht="15" hidden="1" customHeight="1">
      <c r="A14" s="255"/>
      <c r="B14" s="24" t="s">
        <v>16</v>
      </c>
      <c r="C14" s="309"/>
      <c r="D14" s="310"/>
      <c r="E14" s="311"/>
      <c r="F14" s="312"/>
      <c r="G14" s="29"/>
      <c r="H14" s="51"/>
      <c r="I14" s="36"/>
      <c r="J14" s="52"/>
      <c r="K14" s="256"/>
    </row>
    <row r="15" spans="1:11" ht="25.5" hidden="1" customHeight="1">
      <c r="A15" s="257"/>
      <c r="B15" s="53" t="s">
        <v>27</v>
      </c>
      <c r="C15" s="53"/>
      <c r="D15" s="54"/>
      <c r="E15" s="55"/>
      <c r="F15" s="56"/>
      <c r="G15" s="57"/>
      <c r="H15" s="58"/>
      <c r="I15" s="59"/>
      <c r="J15" s="60"/>
      <c r="K15" s="258"/>
    </row>
    <row r="16" spans="1:11" ht="15" hidden="1" customHeight="1">
      <c r="A16" s="259" t="s">
        <v>15</v>
      </c>
      <c r="B16" s="61" t="s">
        <v>28</v>
      </c>
      <c r="C16" s="62" t="s">
        <v>29</v>
      </c>
      <c r="D16" s="63" t="s">
        <v>30</v>
      </c>
      <c r="E16" s="64"/>
      <c r="F16" s="65">
        <f>97.35+62.57+44.38</f>
        <v>204.29999999999998</v>
      </c>
      <c r="G16" s="32">
        <v>180</v>
      </c>
      <c r="H16" s="235">
        <f>F16*G16</f>
        <v>36774</v>
      </c>
      <c r="I16" s="33"/>
      <c r="J16" s="66"/>
      <c r="K16" s="260">
        <f>H16+J16</f>
        <v>36774</v>
      </c>
    </row>
    <row r="17" spans="1:12" s="45" customFormat="1" ht="15" hidden="1" customHeight="1">
      <c r="A17" s="259"/>
      <c r="B17" s="41" t="s">
        <v>31</v>
      </c>
      <c r="C17" s="62" t="s">
        <v>29</v>
      </c>
      <c r="D17" s="67" t="s">
        <v>25</v>
      </c>
      <c r="E17" s="64">
        <v>0.02</v>
      </c>
      <c r="F17" s="68">
        <f>E17*F16</f>
        <v>4.0859999999999994</v>
      </c>
      <c r="G17" s="32"/>
      <c r="H17" s="69"/>
      <c r="I17" s="33">
        <v>288.47499999999997</v>
      </c>
      <c r="J17" s="43">
        <f>F17*I17</f>
        <v>1178.7088499999998</v>
      </c>
      <c r="K17" s="261">
        <f>H17+J17</f>
        <v>1178.7088499999998</v>
      </c>
      <c r="L17" s="1"/>
    </row>
    <row r="18" spans="1:12" s="45" customFormat="1" ht="15" customHeight="1">
      <c r="A18" s="262">
        <f>A16+1</f>
        <v>2</v>
      </c>
      <c r="B18" s="61" t="s">
        <v>32</v>
      </c>
      <c r="C18" s="38" t="s">
        <v>20</v>
      </c>
      <c r="D18" s="63" t="s">
        <v>30</v>
      </c>
      <c r="E18" s="64"/>
      <c r="F18" s="65">
        <f>F16</f>
        <v>204.29999999999998</v>
      </c>
      <c r="G18" s="32">
        <v>200</v>
      </c>
      <c r="H18" s="235">
        <f>F18*G18</f>
        <v>40860</v>
      </c>
      <c r="I18" s="33"/>
      <c r="J18" s="66"/>
      <c r="K18" s="260">
        <f>H18+J18</f>
        <v>40860</v>
      </c>
      <c r="L18" s="1"/>
    </row>
    <row r="19" spans="1:12" s="44" customFormat="1" ht="25.5" customHeight="1">
      <c r="A19" s="259"/>
      <c r="B19" s="70" t="s">
        <v>172</v>
      </c>
      <c r="C19" s="38" t="s">
        <v>20</v>
      </c>
      <c r="D19" s="71" t="s">
        <v>21</v>
      </c>
      <c r="E19" s="64">
        <v>0.35</v>
      </c>
      <c r="F19" s="72">
        <f>F18*E19</f>
        <v>71.504999999999995</v>
      </c>
      <c r="G19" s="32"/>
      <c r="H19" s="236"/>
      <c r="I19" s="33"/>
      <c r="J19" s="73">
        <f>F19*I19</f>
        <v>0</v>
      </c>
      <c r="K19" s="263">
        <f>H19+J19</f>
        <v>0</v>
      </c>
      <c r="L19" s="1"/>
    </row>
    <row r="20" spans="1:12" s="44" customFormat="1" ht="15" customHeight="1">
      <c r="A20" s="259"/>
      <c r="B20" s="74" t="s">
        <v>34</v>
      </c>
      <c r="C20" s="38" t="s">
        <v>20</v>
      </c>
      <c r="D20" s="71" t="s">
        <v>21</v>
      </c>
      <c r="E20" s="64">
        <v>0.15</v>
      </c>
      <c r="F20" s="72">
        <f>F18*E20</f>
        <v>30.644999999999996</v>
      </c>
      <c r="G20" s="32"/>
      <c r="H20" s="236"/>
      <c r="I20" s="33"/>
      <c r="J20" s="73">
        <f>F20*I20</f>
        <v>0</v>
      </c>
      <c r="K20" s="263">
        <f>H20+J20</f>
        <v>0</v>
      </c>
      <c r="L20" s="1"/>
    </row>
    <row r="21" spans="1:12" s="45" customFormat="1" ht="15" hidden="1" customHeight="1">
      <c r="A21" s="257"/>
      <c r="B21" s="76"/>
      <c r="C21" s="77"/>
      <c r="D21" s="78"/>
      <c r="E21" s="79"/>
      <c r="F21" s="80"/>
      <c r="G21" s="32"/>
      <c r="H21" s="81"/>
      <c r="I21" s="33"/>
      <c r="J21" s="82"/>
      <c r="K21" s="264"/>
      <c r="L21" s="1"/>
    </row>
    <row r="22" spans="1:12" s="45" customFormat="1" ht="15" hidden="1" customHeight="1">
      <c r="A22" s="257"/>
      <c r="B22" s="53" t="s">
        <v>35</v>
      </c>
      <c r="C22" s="265"/>
      <c r="D22" s="266"/>
      <c r="E22" s="267"/>
      <c r="F22" s="266"/>
      <c r="G22" s="57"/>
      <c r="H22" s="266"/>
      <c r="I22" s="59"/>
      <c r="J22" s="268"/>
      <c r="K22" s="269"/>
      <c r="L22" s="1"/>
    </row>
    <row r="23" spans="1:12" s="45" customFormat="1" ht="15" customHeight="1">
      <c r="A23" s="270">
        <f>A18+1</f>
        <v>3</v>
      </c>
      <c r="B23" s="83" t="s">
        <v>36</v>
      </c>
      <c r="C23" s="19" t="s">
        <v>20</v>
      </c>
      <c r="D23" s="19" t="s">
        <v>30</v>
      </c>
      <c r="E23" s="69"/>
      <c r="F23" s="84">
        <v>199.95</v>
      </c>
      <c r="G23" s="32">
        <v>50</v>
      </c>
      <c r="H23" s="237">
        <f>F23*G23</f>
        <v>9997.5</v>
      </c>
      <c r="I23" s="33"/>
      <c r="J23" s="43"/>
      <c r="K23" s="271">
        <f t="shared" ref="K23:K30" si="0">H23+J23</f>
        <v>9997.5</v>
      </c>
      <c r="L23" s="1"/>
    </row>
    <row r="24" spans="1:12" s="44" customFormat="1" ht="15" customHeight="1">
      <c r="A24" s="272"/>
      <c r="B24" s="85" t="s">
        <v>37</v>
      </c>
      <c r="C24" s="19" t="s">
        <v>20</v>
      </c>
      <c r="D24" s="41" t="s">
        <v>19</v>
      </c>
      <c r="E24" s="21">
        <v>0.15</v>
      </c>
      <c r="F24" s="68">
        <f>E24*F23</f>
        <v>29.992499999999996</v>
      </c>
      <c r="G24" s="32"/>
      <c r="H24" s="238"/>
      <c r="I24" s="33"/>
      <c r="J24" s="43">
        <f>F24*I24</f>
        <v>0</v>
      </c>
      <c r="K24" s="273">
        <f t="shared" si="0"/>
        <v>0</v>
      </c>
      <c r="L24" s="1"/>
    </row>
    <row r="25" spans="1:12" s="45" customFormat="1" ht="15" hidden="1" customHeight="1">
      <c r="A25" s="274">
        <f>A23+1</f>
        <v>4</v>
      </c>
      <c r="B25" s="86" t="s">
        <v>38</v>
      </c>
      <c r="C25" s="69" t="s">
        <v>190</v>
      </c>
      <c r="D25" s="19" t="s">
        <v>30</v>
      </c>
      <c r="E25" s="69"/>
      <c r="F25" s="69">
        <f>F23</f>
        <v>199.95</v>
      </c>
      <c r="G25" s="32">
        <v>200</v>
      </c>
      <c r="H25" s="237">
        <f>F25*G25</f>
        <v>39990</v>
      </c>
      <c r="I25" s="33"/>
      <c r="J25" s="43"/>
      <c r="K25" s="271">
        <f t="shared" si="0"/>
        <v>39990</v>
      </c>
      <c r="L25" s="137"/>
    </row>
    <row r="26" spans="1:12" s="44" customFormat="1" ht="15" hidden="1" customHeight="1">
      <c r="A26" s="275"/>
      <c r="B26" s="87" t="s">
        <v>39</v>
      </c>
      <c r="C26" s="69" t="s">
        <v>190</v>
      </c>
      <c r="D26" s="41" t="s">
        <v>19</v>
      </c>
      <c r="E26" s="21">
        <v>5</v>
      </c>
      <c r="F26" s="34">
        <f>E26*F25</f>
        <v>999.75</v>
      </c>
      <c r="G26" s="32"/>
      <c r="H26" s="239"/>
      <c r="I26" s="33">
        <v>12.67</v>
      </c>
      <c r="J26" s="43">
        <f>F26*I26</f>
        <v>12666.8325</v>
      </c>
      <c r="K26" s="273">
        <f t="shared" si="0"/>
        <v>12666.8325</v>
      </c>
      <c r="L26" s="1"/>
    </row>
    <row r="27" spans="1:12" s="45" customFormat="1" ht="15" hidden="1" customHeight="1">
      <c r="A27" s="275"/>
      <c r="B27" s="88" t="s">
        <v>40</v>
      </c>
      <c r="C27" s="69" t="s">
        <v>190</v>
      </c>
      <c r="D27" s="88" t="s">
        <v>41</v>
      </c>
      <c r="E27" s="89">
        <v>1.05</v>
      </c>
      <c r="F27" s="34">
        <f>E27*F25</f>
        <v>209.94749999999999</v>
      </c>
      <c r="G27" s="32"/>
      <c r="H27" s="240"/>
      <c r="I27" s="33">
        <v>629.42999999999995</v>
      </c>
      <c r="J27" s="90">
        <f>F27*I27</f>
        <v>132147.25492499999</v>
      </c>
      <c r="K27" s="261">
        <f t="shared" si="0"/>
        <v>132147.25492499999</v>
      </c>
      <c r="L27" s="1"/>
    </row>
    <row r="28" spans="1:12" s="45" customFormat="1" ht="15" customHeight="1">
      <c r="A28" s="274">
        <f>A25+1</f>
        <v>5</v>
      </c>
      <c r="B28" s="61" t="s">
        <v>32</v>
      </c>
      <c r="C28" s="38" t="s">
        <v>20</v>
      </c>
      <c r="D28" s="38" t="s">
        <v>30</v>
      </c>
      <c r="E28" s="64"/>
      <c r="F28" s="97">
        <f>F23</f>
        <v>199.95</v>
      </c>
      <c r="G28" s="241">
        <v>200</v>
      </c>
      <c r="H28" s="235">
        <f>F28*G28</f>
        <v>39990</v>
      </c>
      <c r="I28" s="33"/>
      <c r="J28" s="66"/>
      <c r="K28" s="260">
        <f t="shared" si="0"/>
        <v>39990</v>
      </c>
      <c r="L28" s="1"/>
    </row>
    <row r="29" spans="1:12" s="44" customFormat="1" ht="15" customHeight="1">
      <c r="A29" s="275"/>
      <c r="B29" s="74" t="s">
        <v>173</v>
      </c>
      <c r="C29" s="19" t="s">
        <v>20</v>
      </c>
      <c r="D29" s="70" t="s">
        <v>21</v>
      </c>
      <c r="E29" s="64">
        <v>0.35</v>
      </c>
      <c r="F29" s="68">
        <f>E29*F28</f>
        <v>69.982499999999987</v>
      </c>
      <c r="G29" s="32"/>
      <c r="H29" s="236"/>
      <c r="I29" s="33"/>
      <c r="J29" s="73">
        <f>F29*I29</f>
        <v>0</v>
      </c>
      <c r="K29" s="263">
        <f t="shared" si="0"/>
        <v>0</v>
      </c>
      <c r="L29" s="1"/>
    </row>
    <row r="30" spans="1:12" s="44" customFormat="1" ht="15" customHeight="1">
      <c r="A30" s="276"/>
      <c r="B30" s="98" t="s">
        <v>37</v>
      </c>
      <c r="C30" s="19" t="s">
        <v>20</v>
      </c>
      <c r="D30" s="41" t="s">
        <v>19</v>
      </c>
      <c r="E30" s="21">
        <v>0.15</v>
      </c>
      <c r="F30" s="68">
        <f>E30*F28</f>
        <v>29.992499999999996</v>
      </c>
      <c r="G30" s="32"/>
      <c r="H30" s="238"/>
      <c r="I30" s="33"/>
      <c r="J30" s="43">
        <f>F30*I30</f>
        <v>0</v>
      </c>
      <c r="K30" s="273">
        <f t="shared" si="0"/>
        <v>0</v>
      </c>
      <c r="L30" s="1"/>
    </row>
    <row r="31" spans="1:12" s="45" customFormat="1" ht="15" hidden="1" customHeight="1">
      <c r="A31" s="276"/>
      <c r="B31" s="98"/>
      <c r="C31" s="20"/>
      <c r="D31" s="41"/>
      <c r="E31" s="21"/>
      <c r="F31" s="68"/>
      <c r="G31" s="32"/>
      <c r="H31" s="43"/>
      <c r="I31" s="33"/>
      <c r="J31" s="43"/>
      <c r="K31" s="273"/>
      <c r="L31" s="1"/>
    </row>
    <row r="32" spans="1:12" s="45" customFormat="1" ht="15" hidden="1" customHeight="1">
      <c r="A32" s="257"/>
      <c r="B32" s="53" t="s">
        <v>49</v>
      </c>
      <c r="C32" s="265"/>
      <c r="D32" s="266"/>
      <c r="E32" s="267"/>
      <c r="F32" s="266"/>
      <c r="G32" s="57"/>
      <c r="H32" s="266"/>
      <c r="I32" s="59"/>
      <c r="J32" s="268"/>
      <c r="K32" s="269"/>
      <c r="L32" s="1"/>
    </row>
    <row r="33" spans="1:12" s="45" customFormat="1" ht="15" customHeight="1">
      <c r="A33" s="277">
        <f>A28+1</f>
        <v>6</v>
      </c>
      <c r="B33" s="83" t="s">
        <v>50</v>
      </c>
      <c r="C33" s="19" t="s">
        <v>20</v>
      </c>
      <c r="D33" s="19" t="s">
        <v>30</v>
      </c>
      <c r="E33" s="69"/>
      <c r="F33" s="84">
        <f>62.11+77.37+15.47</f>
        <v>154.95000000000002</v>
      </c>
      <c r="G33" s="32">
        <v>50</v>
      </c>
      <c r="H33" s="237">
        <f>F33*G33</f>
        <v>7747.5000000000009</v>
      </c>
      <c r="I33" s="33"/>
      <c r="J33" s="43"/>
      <c r="K33" s="271">
        <f t="shared" ref="K33:K44" si="1">H33+J33</f>
        <v>7747.5000000000009</v>
      </c>
      <c r="L33" s="1"/>
    </row>
    <row r="34" spans="1:12" s="44" customFormat="1" ht="15" customHeight="1">
      <c r="A34" s="259"/>
      <c r="B34" s="85" t="s">
        <v>37</v>
      </c>
      <c r="C34" s="19" t="s">
        <v>20</v>
      </c>
      <c r="D34" s="41" t="s">
        <v>19</v>
      </c>
      <c r="E34" s="21">
        <v>0.15</v>
      </c>
      <c r="F34" s="68">
        <f>E34*F33</f>
        <v>23.242500000000003</v>
      </c>
      <c r="G34" s="32"/>
      <c r="H34" s="238"/>
      <c r="I34" s="33"/>
      <c r="J34" s="43">
        <f>F34*I34</f>
        <v>0</v>
      </c>
      <c r="K34" s="273">
        <f t="shared" si="1"/>
        <v>0</v>
      </c>
      <c r="L34" s="1"/>
    </row>
    <row r="35" spans="1:12" s="45" customFormat="1" ht="15" hidden="1" customHeight="1">
      <c r="A35" s="277">
        <f>A33+1</f>
        <v>7</v>
      </c>
      <c r="B35" s="243" t="s">
        <v>42</v>
      </c>
      <c r="C35" s="19" t="s">
        <v>17</v>
      </c>
      <c r="D35" s="18" t="s">
        <v>30</v>
      </c>
      <c r="E35" s="64"/>
      <c r="F35" s="92">
        <f>F33</f>
        <v>154.95000000000002</v>
      </c>
      <c r="G35" s="32">
        <v>280</v>
      </c>
      <c r="H35" s="237">
        <f>F35*G35</f>
        <v>43386.000000000007</v>
      </c>
      <c r="I35" s="33"/>
      <c r="J35" s="93"/>
      <c r="K35" s="271">
        <f t="shared" si="1"/>
        <v>43386.000000000007</v>
      </c>
      <c r="L35" s="35"/>
    </row>
    <row r="36" spans="1:12" s="44" customFormat="1" ht="15" hidden="1" customHeight="1">
      <c r="A36" s="257"/>
      <c r="B36" s="94" t="s">
        <v>43</v>
      </c>
      <c r="C36" s="19" t="s">
        <v>17</v>
      </c>
      <c r="D36" s="67" t="s">
        <v>19</v>
      </c>
      <c r="E36" s="64">
        <v>13</v>
      </c>
      <c r="F36" s="68">
        <f>E36*F35</f>
        <v>2014.3500000000001</v>
      </c>
      <c r="G36" s="32"/>
      <c r="H36" s="238"/>
      <c r="I36" s="33">
        <v>6.67</v>
      </c>
      <c r="J36" s="43">
        <f>F36*I36</f>
        <v>13435.7145</v>
      </c>
      <c r="K36" s="261">
        <f t="shared" si="1"/>
        <v>13435.7145</v>
      </c>
      <c r="L36" s="1"/>
    </row>
    <row r="37" spans="1:12" s="45" customFormat="1" ht="15" customHeight="1">
      <c r="A37" s="262">
        <f>A35+1</f>
        <v>8</v>
      </c>
      <c r="B37" s="83" t="s">
        <v>44</v>
      </c>
      <c r="C37" s="19" t="s">
        <v>20</v>
      </c>
      <c r="D37" s="18" t="s">
        <v>30</v>
      </c>
      <c r="E37" s="64"/>
      <c r="F37" s="92">
        <f>F35</f>
        <v>154.95000000000002</v>
      </c>
      <c r="G37" s="32">
        <v>50</v>
      </c>
      <c r="H37" s="237">
        <f>F37*G37</f>
        <v>7747.5000000000009</v>
      </c>
      <c r="I37" s="33"/>
      <c r="J37" s="93"/>
      <c r="K37" s="271">
        <f t="shared" si="1"/>
        <v>7747.5000000000009</v>
      </c>
      <c r="L37" s="1"/>
    </row>
    <row r="38" spans="1:12" s="44" customFormat="1" ht="15" customHeight="1">
      <c r="A38" s="257"/>
      <c r="B38" s="85" t="s">
        <v>45</v>
      </c>
      <c r="C38" s="19" t="s">
        <v>20</v>
      </c>
      <c r="D38" s="67" t="s">
        <v>19</v>
      </c>
      <c r="E38" s="64">
        <v>0.15</v>
      </c>
      <c r="F38" s="68">
        <f>E38*F37</f>
        <v>23.242500000000003</v>
      </c>
      <c r="G38" s="32"/>
      <c r="H38" s="238"/>
      <c r="I38" s="33"/>
      <c r="J38" s="43">
        <f>F38*I38</f>
        <v>0</v>
      </c>
      <c r="K38" s="261">
        <f t="shared" si="1"/>
        <v>0</v>
      </c>
      <c r="L38" s="1"/>
    </row>
    <row r="39" spans="1:12" s="45" customFormat="1" ht="15" customHeight="1">
      <c r="A39" s="262">
        <f>A37+1</f>
        <v>9</v>
      </c>
      <c r="B39" s="95" t="s">
        <v>187</v>
      </c>
      <c r="C39" s="19" t="s">
        <v>20</v>
      </c>
      <c r="D39" s="18" t="s">
        <v>30</v>
      </c>
      <c r="E39" s="64"/>
      <c r="F39" s="92">
        <f>F33</f>
        <v>154.95000000000002</v>
      </c>
      <c r="G39" s="32">
        <v>250</v>
      </c>
      <c r="H39" s="237">
        <f>F39*G39</f>
        <v>38737.500000000007</v>
      </c>
      <c r="I39" s="33"/>
      <c r="J39" s="43"/>
      <c r="K39" s="271">
        <f t="shared" si="1"/>
        <v>38737.500000000007</v>
      </c>
      <c r="L39" s="1"/>
    </row>
    <row r="40" spans="1:12" s="44" customFormat="1" ht="15" customHeight="1">
      <c r="A40" s="257"/>
      <c r="B40" s="96" t="s">
        <v>46</v>
      </c>
      <c r="C40" s="19" t="s">
        <v>20</v>
      </c>
      <c r="D40" s="67" t="s">
        <v>19</v>
      </c>
      <c r="E40" s="64">
        <v>4</v>
      </c>
      <c r="F40" s="34">
        <f>E40*F39</f>
        <v>619.80000000000007</v>
      </c>
      <c r="G40" s="32"/>
      <c r="H40" s="242"/>
      <c r="I40" s="33"/>
      <c r="J40" s="43">
        <f>F40*I40</f>
        <v>0</v>
      </c>
      <c r="K40" s="273">
        <f t="shared" si="1"/>
        <v>0</v>
      </c>
      <c r="L40" s="1"/>
    </row>
    <row r="41" spans="1:12" s="45" customFormat="1" ht="15" customHeight="1">
      <c r="A41" s="257"/>
      <c r="B41" s="85" t="s">
        <v>47</v>
      </c>
      <c r="C41" s="19" t="s">
        <v>20</v>
      </c>
      <c r="D41" s="67" t="s">
        <v>19</v>
      </c>
      <c r="E41" s="64">
        <v>1.8</v>
      </c>
      <c r="F41" s="34">
        <f>E41*F39</f>
        <v>278.91000000000003</v>
      </c>
      <c r="G41" s="32"/>
      <c r="H41" s="42"/>
      <c r="I41" s="33"/>
      <c r="J41" s="43">
        <f>F41*I41</f>
        <v>0</v>
      </c>
      <c r="K41" s="273">
        <f t="shared" si="1"/>
        <v>0</v>
      </c>
      <c r="L41" s="1"/>
    </row>
    <row r="42" spans="1:12" s="45" customFormat="1" ht="15" customHeight="1">
      <c r="A42" s="262">
        <f>A39+1</f>
        <v>10</v>
      </c>
      <c r="B42" s="61" t="s">
        <v>32</v>
      </c>
      <c r="C42" s="19" t="s">
        <v>20</v>
      </c>
      <c r="D42" s="38" t="s">
        <v>30</v>
      </c>
      <c r="E42" s="64"/>
      <c r="F42" s="97">
        <f>F33</f>
        <v>154.95000000000002</v>
      </c>
      <c r="G42" s="241">
        <v>200</v>
      </c>
      <c r="H42" s="235">
        <f>F42*G42</f>
        <v>30990.000000000004</v>
      </c>
      <c r="I42" s="33"/>
      <c r="J42" s="66"/>
      <c r="K42" s="260">
        <f t="shared" si="1"/>
        <v>30990.000000000004</v>
      </c>
      <c r="L42" s="1"/>
    </row>
    <row r="43" spans="1:12" s="44" customFormat="1" ht="15" customHeight="1">
      <c r="A43" s="257"/>
      <c r="B43" s="74" t="s">
        <v>173</v>
      </c>
      <c r="C43" s="19" t="s">
        <v>20</v>
      </c>
      <c r="D43" s="70" t="s">
        <v>21</v>
      </c>
      <c r="E43" s="64">
        <v>0.35</v>
      </c>
      <c r="F43" s="68">
        <f>E43*F42</f>
        <v>54.232500000000002</v>
      </c>
      <c r="G43" s="32"/>
      <c r="H43" s="236"/>
      <c r="I43" s="33"/>
      <c r="J43" s="73">
        <f>F43*I43</f>
        <v>0</v>
      </c>
      <c r="K43" s="263">
        <f t="shared" si="1"/>
        <v>0</v>
      </c>
      <c r="L43" s="1"/>
    </row>
    <row r="44" spans="1:12" s="44" customFormat="1" ht="15" customHeight="1">
      <c r="A44" s="278"/>
      <c r="B44" s="98" t="s">
        <v>37</v>
      </c>
      <c r="C44" s="19" t="s">
        <v>20</v>
      </c>
      <c r="D44" s="41" t="s">
        <v>19</v>
      </c>
      <c r="E44" s="21">
        <v>0.15</v>
      </c>
      <c r="F44" s="68">
        <f>E44*F42</f>
        <v>23.242500000000003</v>
      </c>
      <c r="G44" s="32"/>
      <c r="H44" s="238"/>
      <c r="I44" s="33"/>
      <c r="J44" s="43">
        <f>F44*I44</f>
        <v>0</v>
      </c>
      <c r="K44" s="273">
        <f t="shared" si="1"/>
        <v>0</v>
      </c>
      <c r="L44" s="1"/>
    </row>
    <row r="45" spans="1:12" s="45" customFormat="1" ht="15" hidden="1" customHeight="1">
      <c r="A45" s="279"/>
      <c r="B45" s="99"/>
      <c r="C45" s="100"/>
      <c r="D45" s="70"/>
      <c r="E45" s="21"/>
      <c r="F45" s="101"/>
      <c r="G45" s="32"/>
      <c r="H45" s="73"/>
      <c r="I45" s="33"/>
      <c r="J45" s="73"/>
      <c r="K45" s="263"/>
      <c r="L45" s="1"/>
    </row>
    <row r="46" spans="1:12" s="45" customFormat="1" ht="15" hidden="1" customHeight="1">
      <c r="A46" s="23"/>
      <c r="B46" s="24" t="s">
        <v>22</v>
      </c>
      <c r="C46" s="25"/>
      <c r="D46" s="26"/>
      <c r="E46" s="27"/>
      <c r="F46" s="28"/>
      <c r="G46" s="29"/>
      <c r="H46" s="29" t="str">
        <f>IF(ISBLANK(G46),"",G46*F46)</f>
        <v/>
      </c>
      <c r="I46" s="36"/>
      <c r="J46" s="30" t="str">
        <f>IF(ISBLANK(I46),"",I46*F46)</f>
        <v/>
      </c>
      <c r="K46" s="31"/>
      <c r="L46" s="1"/>
    </row>
    <row r="47" spans="1:12" s="45" customFormat="1" ht="15" hidden="1" customHeight="1">
      <c r="A47" s="257"/>
      <c r="B47" s="53" t="s">
        <v>51</v>
      </c>
      <c r="C47" s="265"/>
      <c r="D47" s="266"/>
      <c r="E47" s="267"/>
      <c r="F47" s="266"/>
      <c r="G47" s="57"/>
      <c r="H47" s="266"/>
      <c r="I47" s="59"/>
      <c r="J47" s="268"/>
      <c r="K47" s="269"/>
      <c r="L47" s="1"/>
    </row>
    <row r="48" spans="1:12" s="45" customFormat="1" ht="15" customHeight="1">
      <c r="A48" s="262">
        <f>A42+1</f>
        <v>11</v>
      </c>
      <c r="B48" s="61" t="s">
        <v>52</v>
      </c>
      <c r="C48" s="38" t="s">
        <v>20</v>
      </c>
      <c r="D48" s="38" t="s">
        <v>30</v>
      </c>
      <c r="E48" s="102"/>
      <c r="F48" s="97">
        <f>26.98+41</f>
        <v>67.98</v>
      </c>
      <c r="G48" s="32">
        <v>250</v>
      </c>
      <c r="H48" s="235">
        <f>F48*G48</f>
        <v>16995</v>
      </c>
      <c r="I48" s="33"/>
      <c r="J48" s="66"/>
      <c r="K48" s="260">
        <f t="shared" ref="K48:K56" si="2">H48+J48</f>
        <v>16995</v>
      </c>
      <c r="L48" s="1"/>
    </row>
    <row r="49" spans="1:12" s="44" customFormat="1" ht="15" customHeight="1">
      <c r="A49" s="279"/>
      <c r="B49" s="74" t="s">
        <v>53</v>
      </c>
      <c r="C49" s="38" t="s">
        <v>20</v>
      </c>
      <c r="D49" s="70" t="s">
        <v>19</v>
      </c>
      <c r="E49" s="102">
        <v>1.8</v>
      </c>
      <c r="F49" s="68">
        <f>E49*F48</f>
        <v>122.364</v>
      </c>
      <c r="G49" s="32"/>
      <c r="H49" s="236"/>
      <c r="I49" s="33"/>
      <c r="J49" s="73">
        <f>F49*I49</f>
        <v>0</v>
      </c>
      <c r="K49" s="263">
        <f t="shared" si="2"/>
        <v>0</v>
      </c>
      <c r="L49" s="1"/>
    </row>
    <row r="50" spans="1:12" s="44" customFormat="1" ht="15" customHeight="1">
      <c r="A50" s="279"/>
      <c r="B50" s="74" t="s">
        <v>54</v>
      </c>
      <c r="C50" s="38" t="s">
        <v>20</v>
      </c>
      <c r="D50" s="70" t="s">
        <v>19</v>
      </c>
      <c r="E50" s="102">
        <v>1.8</v>
      </c>
      <c r="F50" s="68">
        <f>E50*F48</f>
        <v>122.364</v>
      </c>
      <c r="G50" s="32"/>
      <c r="H50" s="236"/>
      <c r="I50" s="33"/>
      <c r="J50" s="73">
        <f>F50*I50</f>
        <v>0</v>
      </c>
      <c r="K50" s="263">
        <f t="shared" si="2"/>
        <v>0</v>
      </c>
      <c r="L50" s="1"/>
    </row>
    <row r="51" spans="1:12" s="44" customFormat="1" ht="15" customHeight="1">
      <c r="A51" s="279"/>
      <c r="B51" s="74" t="s">
        <v>34</v>
      </c>
      <c r="C51" s="38" t="s">
        <v>20</v>
      </c>
      <c r="D51" s="70" t="s">
        <v>21</v>
      </c>
      <c r="E51" s="102">
        <v>0.15</v>
      </c>
      <c r="F51" s="68">
        <f>E51*F48</f>
        <v>10.197000000000001</v>
      </c>
      <c r="G51" s="32"/>
      <c r="H51" s="236"/>
      <c r="I51" s="33"/>
      <c r="J51" s="73">
        <f>F51*I51</f>
        <v>0</v>
      </c>
      <c r="K51" s="263">
        <f t="shared" si="2"/>
        <v>0</v>
      </c>
      <c r="L51" s="1"/>
    </row>
    <row r="52" spans="1:12" s="44" customFormat="1" ht="15" customHeight="1">
      <c r="A52" s="279"/>
      <c r="B52" s="74" t="s">
        <v>55</v>
      </c>
      <c r="C52" s="38" t="s">
        <v>20</v>
      </c>
      <c r="D52" s="70" t="s">
        <v>56</v>
      </c>
      <c r="E52" s="102">
        <v>0.1</v>
      </c>
      <c r="F52" s="68">
        <f>E52*F48</f>
        <v>6.7980000000000009</v>
      </c>
      <c r="G52" s="32"/>
      <c r="H52" s="236"/>
      <c r="I52" s="33"/>
      <c r="J52" s="73">
        <f>F52*I52</f>
        <v>0</v>
      </c>
      <c r="K52" s="263">
        <f t="shared" si="2"/>
        <v>0</v>
      </c>
      <c r="L52" s="1"/>
    </row>
    <row r="53" spans="1:12" s="44" customFormat="1" ht="15" customHeight="1">
      <c r="A53" s="279"/>
      <c r="B53" s="74" t="s">
        <v>57</v>
      </c>
      <c r="C53" s="38" t="s">
        <v>20</v>
      </c>
      <c r="D53" s="70" t="s">
        <v>58</v>
      </c>
      <c r="E53" s="102">
        <v>1.1000000000000001</v>
      </c>
      <c r="F53" s="68">
        <f>E53*F48</f>
        <v>74.778000000000006</v>
      </c>
      <c r="G53" s="32"/>
      <c r="H53" s="236"/>
      <c r="I53" s="33"/>
      <c r="J53" s="73">
        <f>F53*I53</f>
        <v>0</v>
      </c>
      <c r="K53" s="263">
        <f t="shared" si="2"/>
        <v>0</v>
      </c>
      <c r="L53" s="1"/>
    </row>
    <row r="54" spans="1:12" s="45" customFormat="1" ht="15" customHeight="1">
      <c r="A54" s="280">
        <f>A48+1</f>
        <v>12</v>
      </c>
      <c r="B54" s="61" t="s">
        <v>59</v>
      </c>
      <c r="C54" s="38" t="s">
        <v>20</v>
      </c>
      <c r="D54" s="38" t="s">
        <v>30</v>
      </c>
      <c r="E54" s="102"/>
      <c r="F54" s="97">
        <f>F48</f>
        <v>67.98</v>
      </c>
      <c r="G54" s="241">
        <v>200</v>
      </c>
      <c r="H54" s="235">
        <f>F54*G54</f>
        <v>13596</v>
      </c>
      <c r="I54" s="33"/>
      <c r="J54" s="66"/>
      <c r="K54" s="260">
        <f t="shared" si="2"/>
        <v>13596</v>
      </c>
      <c r="L54" s="1"/>
    </row>
    <row r="55" spans="1:12" s="44" customFormat="1" ht="25.5" customHeight="1">
      <c r="A55" s="279"/>
      <c r="B55" s="103" t="s">
        <v>60</v>
      </c>
      <c r="C55" s="38" t="s">
        <v>20</v>
      </c>
      <c r="D55" s="70" t="s">
        <v>21</v>
      </c>
      <c r="E55" s="104">
        <v>0.35</v>
      </c>
      <c r="F55" s="68">
        <f>E55*F54</f>
        <v>23.792999999999999</v>
      </c>
      <c r="G55" s="32"/>
      <c r="H55" s="236"/>
      <c r="I55" s="33"/>
      <c r="J55" s="73">
        <f>F55*I55</f>
        <v>0</v>
      </c>
      <c r="K55" s="263">
        <f t="shared" si="2"/>
        <v>0</v>
      </c>
      <c r="L55" s="1"/>
    </row>
    <row r="56" spans="1:12" s="44" customFormat="1" ht="15" customHeight="1">
      <c r="A56" s="279"/>
      <c r="B56" s="105" t="s">
        <v>34</v>
      </c>
      <c r="C56" s="38" t="s">
        <v>20</v>
      </c>
      <c r="D56" s="70" t="s">
        <v>21</v>
      </c>
      <c r="E56" s="102">
        <v>0.15</v>
      </c>
      <c r="F56" s="68">
        <f>E56*F54</f>
        <v>10.197000000000001</v>
      </c>
      <c r="G56" s="32"/>
      <c r="H56" s="236"/>
      <c r="I56" s="33"/>
      <c r="J56" s="73">
        <f>F56*I56</f>
        <v>0</v>
      </c>
      <c r="K56" s="263">
        <f t="shared" si="2"/>
        <v>0</v>
      </c>
      <c r="L56" s="1"/>
    </row>
    <row r="57" spans="1:12" s="45" customFormat="1" ht="15" hidden="1" customHeight="1">
      <c r="A57" s="281"/>
      <c r="B57" s="76"/>
      <c r="C57" s="77"/>
      <c r="D57" s="76"/>
      <c r="E57" s="106"/>
      <c r="F57" s="107"/>
      <c r="G57" s="32"/>
      <c r="H57" s="81"/>
      <c r="I57" s="33"/>
      <c r="J57" s="82"/>
      <c r="K57" s="264"/>
      <c r="L57" s="1"/>
    </row>
    <row r="58" spans="1:12" s="45" customFormat="1" ht="15" hidden="1" customHeight="1">
      <c r="A58" s="257"/>
      <c r="B58" s="53" t="s">
        <v>61</v>
      </c>
      <c r="C58" s="53"/>
      <c r="D58" s="54"/>
      <c r="E58" s="55"/>
      <c r="F58" s="56"/>
      <c r="G58" s="57"/>
      <c r="H58" s="58"/>
      <c r="I58" s="59"/>
      <c r="J58" s="60"/>
      <c r="K58" s="258"/>
      <c r="L58" s="1"/>
    </row>
    <row r="59" spans="1:12" s="45" customFormat="1" ht="15" hidden="1" customHeight="1">
      <c r="A59" s="277">
        <f>A54+1</f>
        <v>13</v>
      </c>
      <c r="B59" s="61" t="s">
        <v>188</v>
      </c>
      <c r="C59" s="62" t="s">
        <v>29</v>
      </c>
      <c r="D59" s="63" t="s">
        <v>30</v>
      </c>
      <c r="E59" s="64"/>
      <c r="F59" s="65">
        <f>534.41+196.7</f>
        <v>731.1099999999999</v>
      </c>
      <c r="G59" s="32">
        <v>180</v>
      </c>
      <c r="H59" s="235">
        <f>F59*G59</f>
        <v>131599.79999999999</v>
      </c>
      <c r="I59" s="33"/>
      <c r="J59" s="66"/>
      <c r="K59" s="260">
        <f>H59+J59</f>
        <v>131599.79999999999</v>
      </c>
      <c r="L59" s="1"/>
    </row>
    <row r="60" spans="1:12" s="45" customFormat="1" ht="15" hidden="1" customHeight="1">
      <c r="A60" s="259"/>
      <c r="B60" s="41" t="s">
        <v>31</v>
      </c>
      <c r="C60" s="62" t="s">
        <v>29</v>
      </c>
      <c r="D60" s="67" t="s">
        <v>25</v>
      </c>
      <c r="E60" s="64">
        <v>0.02</v>
      </c>
      <c r="F60" s="68">
        <f>E60*F59</f>
        <v>14.622199999999998</v>
      </c>
      <c r="G60" s="32"/>
      <c r="H60" s="69"/>
      <c r="I60" s="33">
        <v>288.47499999999997</v>
      </c>
      <c r="J60" s="43">
        <f>F60*I60</f>
        <v>4218.1391449999992</v>
      </c>
      <c r="K60" s="261">
        <f>H60+J60</f>
        <v>4218.1391449999992</v>
      </c>
      <c r="L60" s="1"/>
    </row>
    <row r="61" spans="1:12" s="45" customFormat="1" ht="15" customHeight="1">
      <c r="A61" s="262">
        <f>A59+1</f>
        <v>14</v>
      </c>
      <c r="B61" s="61" t="s">
        <v>59</v>
      </c>
      <c r="C61" s="38" t="s">
        <v>20</v>
      </c>
      <c r="D61" s="63" t="s">
        <v>30</v>
      </c>
      <c r="E61" s="64"/>
      <c r="F61" s="65">
        <f>F59</f>
        <v>731.1099999999999</v>
      </c>
      <c r="G61" s="32">
        <v>200</v>
      </c>
      <c r="H61" s="235">
        <f>F61*G61</f>
        <v>146221.99999999997</v>
      </c>
      <c r="I61" s="33"/>
      <c r="J61" s="66"/>
      <c r="K61" s="260">
        <f>H61+J61</f>
        <v>146221.99999999997</v>
      </c>
      <c r="L61" s="1"/>
    </row>
    <row r="62" spans="1:12" s="44" customFormat="1" ht="25.5" customHeight="1">
      <c r="A62" s="259"/>
      <c r="B62" s="70" t="s">
        <v>33</v>
      </c>
      <c r="C62" s="38" t="s">
        <v>20</v>
      </c>
      <c r="D62" s="71" t="s">
        <v>21</v>
      </c>
      <c r="E62" s="64">
        <v>0.35</v>
      </c>
      <c r="F62" s="72">
        <f>F61*E62</f>
        <v>255.88849999999994</v>
      </c>
      <c r="G62" s="32"/>
      <c r="H62" s="236"/>
      <c r="I62" s="33"/>
      <c r="J62" s="73">
        <f>F62*I62</f>
        <v>0</v>
      </c>
      <c r="K62" s="263">
        <f>H62+J62</f>
        <v>0</v>
      </c>
      <c r="L62" s="1"/>
    </row>
    <row r="63" spans="1:12" s="44" customFormat="1" ht="15" customHeight="1">
      <c r="A63" s="259"/>
      <c r="B63" s="74" t="s">
        <v>34</v>
      </c>
      <c r="C63" s="38" t="s">
        <v>20</v>
      </c>
      <c r="D63" s="71" t="s">
        <v>21</v>
      </c>
      <c r="E63" s="64">
        <v>0.15</v>
      </c>
      <c r="F63" s="72">
        <f>F61*E63</f>
        <v>109.66649999999998</v>
      </c>
      <c r="G63" s="32"/>
      <c r="H63" s="236"/>
      <c r="I63" s="33"/>
      <c r="J63" s="73">
        <f>F63*I63</f>
        <v>0</v>
      </c>
      <c r="K63" s="263">
        <f>H63+J63</f>
        <v>0</v>
      </c>
      <c r="L63" s="1"/>
    </row>
    <row r="64" spans="1:12" s="45" customFormat="1" ht="15" hidden="1" customHeight="1">
      <c r="A64" s="257"/>
      <c r="B64" s="76"/>
      <c r="C64" s="77"/>
      <c r="D64" s="78"/>
      <c r="E64" s="79"/>
      <c r="F64" s="80"/>
      <c r="G64" s="32"/>
      <c r="H64" s="81"/>
      <c r="I64" s="33"/>
      <c r="J64" s="82"/>
      <c r="K64" s="264"/>
      <c r="L64" s="1"/>
    </row>
    <row r="65" spans="1:12" s="45" customFormat="1" ht="15" hidden="1" customHeight="1">
      <c r="A65" s="282"/>
      <c r="B65" s="53" t="s">
        <v>62</v>
      </c>
      <c r="C65" s="53"/>
      <c r="D65" s="54"/>
      <c r="E65" s="108"/>
      <c r="F65" s="56"/>
      <c r="G65" s="57"/>
      <c r="H65" s="58"/>
      <c r="I65" s="59"/>
      <c r="J65" s="60"/>
      <c r="K65" s="258"/>
      <c r="L65" s="1"/>
    </row>
    <row r="66" spans="1:12" s="45" customFormat="1" ht="15" hidden="1" customHeight="1">
      <c r="A66" s="262">
        <f>A61+1</f>
        <v>15</v>
      </c>
      <c r="B66" s="61" t="s">
        <v>63</v>
      </c>
      <c r="C66" s="38" t="s">
        <v>17</v>
      </c>
      <c r="D66" s="38" t="s">
        <v>30</v>
      </c>
      <c r="E66" s="102"/>
      <c r="F66" s="97">
        <v>170.62</v>
      </c>
      <c r="G66" s="32">
        <v>250</v>
      </c>
      <c r="H66" s="235">
        <f>F66*G66</f>
        <v>42655</v>
      </c>
      <c r="I66" s="33"/>
      <c r="J66" s="66"/>
      <c r="K66" s="260">
        <f t="shared" ref="K66:K77" si="3">H66+J66</f>
        <v>42655</v>
      </c>
      <c r="L66" s="1"/>
    </row>
    <row r="67" spans="1:12" s="44" customFormat="1" ht="15" hidden="1" customHeight="1">
      <c r="A67" s="259"/>
      <c r="B67" s="103" t="s">
        <v>64</v>
      </c>
      <c r="C67" s="38" t="s">
        <v>17</v>
      </c>
      <c r="D67" s="70" t="s">
        <v>56</v>
      </c>
      <c r="E67" s="102">
        <v>0.4</v>
      </c>
      <c r="F67" s="37">
        <f>F66*E67</f>
        <v>68.248000000000005</v>
      </c>
      <c r="G67" s="32"/>
      <c r="H67" s="244"/>
      <c r="I67" s="33">
        <v>16.05</v>
      </c>
      <c r="J67" s="73">
        <f>F67*I67</f>
        <v>1095.3804000000002</v>
      </c>
      <c r="K67" s="263">
        <f t="shared" si="3"/>
        <v>1095.3804000000002</v>
      </c>
      <c r="L67" s="1"/>
    </row>
    <row r="68" spans="1:12" s="44" customFormat="1" ht="15" hidden="1" customHeight="1">
      <c r="A68" s="283"/>
      <c r="B68" s="103" t="s">
        <v>65</v>
      </c>
      <c r="C68" s="38" t="s">
        <v>17</v>
      </c>
      <c r="D68" s="70" t="s">
        <v>56</v>
      </c>
      <c r="E68" s="102">
        <v>0.4</v>
      </c>
      <c r="F68" s="37">
        <f>F66*E68</f>
        <v>68.248000000000005</v>
      </c>
      <c r="G68" s="32"/>
      <c r="H68" s="244"/>
      <c r="I68" s="33">
        <v>16.77</v>
      </c>
      <c r="J68" s="73">
        <f>F68*I68</f>
        <v>1144.5189600000001</v>
      </c>
      <c r="K68" s="263">
        <f t="shared" si="3"/>
        <v>1144.5189600000001</v>
      </c>
      <c r="L68" s="1"/>
    </row>
    <row r="69" spans="1:12" s="44" customFormat="1" ht="15" hidden="1" customHeight="1">
      <c r="A69" s="279"/>
      <c r="B69" s="103" t="s">
        <v>66</v>
      </c>
      <c r="C69" s="38" t="s">
        <v>17</v>
      </c>
      <c r="D69" s="70" t="s">
        <v>19</v>
      </c>
      <c r="E69" s="102">
        <v>25</v>
      </c>
      <c r="F69" s="37">
        <f>F66*E69</f>
        <v>4265.5</v>
      </c>
      <c r="G69" s="32"/>
      <c r="H69" s="244"/>
      <c r="I69" s="33">
        <v>4.9960000000000004</v>
      </c>
      <c r="J69" s="73">
        <f>F69*I69</f>
        <v>21310.438000000002</v>
      </c>
      <c r="K69" s="263">
        <f t="shared" si="3"/>
        <v>21310.438000000002</v>
      </c>
      <c r="L69" s="1"/>
    </row>
    <row r="70" spans="1:12" s="44" customFormat="1" ht="17.399999999999999" hidden="1" customHeight="1">
      <c r="A70" s="279"/>
      <c r="B70" s="103" t="s">
        <v>67</v>
      </c>
      <c r="C70" s="38" t="s">
        <v>17</v>
      </c>
      <c r="D70" s="70" t="s">
        <v>19</v>
      </c>
      <c r="E70" s="102">
        <v>0.3</v>
      </c>
      <c r="F70" s="37">
        <f>F66*E70</f>
        <v>51.186</v>
      </c>
      <c r="G70" s="32"/>
      <c r="H70" s="244"/>
      <c r="I70" s="33">
        <v>70.739999999999995</v>
      </c>
      <c r="J70" s="73">
        <f>F70*I70</f>
        <v>3620.8976399999997</v>
      </c>
      <c r="K70" s="263">
        <f t="shared" si="3"/>
        <v>3620.8976399999997</v>
      </c>
      <c r="L70" s="1"/>
    </row>
    <row r="71" spans="1:12" s="44" customFormat="1" ht="15" hidden="1" customHeight="1">
      <c r="A71" s="279"/>
      <c r="B71" s="103" t="s">
        <v>68</v>
      </c>
      <c r="C71" s="38" t="s">
        <v>17</v>
      </c>
      <c r="D71" s="70" t="s">
        <v>41</v>
      </c>
      <c r="E71" s="102">
        <v>0.1</v>
      </c>
      <c r="F71" s="37">
        <f>F66*E71</f>
        <v>17.062000000000001</v>
      </c>
      <c r="G71" s="32"/>
      <c r="H71" s="244"/>
      <c r="I71" s="33">
        <v>19.170000000000002</v>
      </c>
      <c r="J71" s="73">
        <f>F71*I71</f>
        <v>327.07854000000003</v>
      </c>
      <c r="K71" s="263">
        <f t="shared" si="3"/>
        <v>327.07854000000003</v>
      </c>
      <c r="L71" s="1"/>
    </row>
    <row r="72" spans="1:12" s="45" customFormat="1" ht="15" hidden="1" customHeight="1">
      <c r="A72" s="277">
        <f>A66+1</f>
        <v>16</v>
      </c>
      <c r="B72" s="61" t="s">
        <v>69</v>
      </c>
      <c r="C72" s="38" t="s">
        <v>23</v>
      </c>
      <c r="D72" s="38" t="s">
        <v>30</v>
      </c>
      <c r="E72" s="109"/>
      <c r="F72" s="97">
        <f>F66</f>
        <v>170.62</v>
      </c>
      <c r="G72" s="32">
        <v>1000</v>
      </c>
      <c r="H72" s="235">
        <f>F72*G72</f>
        <v>170620</v>
      </c>
      <c r="I72" s="33"/>
      <c r="J72" s="66"/>
      <c r="K72" s="260">
        <f t="shared" si="3"/>
        <v>170620</v>
      </c>
      <c r="L72" s="1"/>
    </row>
    <row r="73" spans="1:12" s="45" customFormat="1" ht="15" hidden="1" customHeight="1">
      <c r="A73" s="279"/>
      <c r="B73" s="105" t="s">
        <v>70</v>
      </c>
      <c r="C73" s="38" t="s">
        <v>23</v>
      </c>
      <c r="D73" s="70" t="s">
        <v>41</v>
      </c>
      <c r="E73" s="109">
        <v>1.1000000000000001</v>
      </c>
      <c r="F73" s="37">
        <f>F72*E73</f>
        <v>187.68200000000002</v>
      </c>
      <c r="G73" s="32"/>
      <c r="H73" s="110"/>
      <c r="I73" s="33">
        <v>874.16317000000004</v>
      </c>
      <c r="J73" s="73">
        <f>F73*I73</f>
        <v>164064.69207194002</v>
      </c>
      <c r="K73" s="263">
        <f t="shared" si="3"/>
        <v>164064.69207194002</v>
      </c>
      <c r="L73" s="1"/>
    </row>
    <row r="74" spans="1:12" s="44" customFormat="1" ht="15" hidden="1" customHeight="1">
      <c r="A74" s="279"/>
      <c r="B74" s="105" t="s">
        <v>34</v>
      </c>
      <c r="C74" s="38" t="s">
        <v>23</v>
      </c>
      <c r="D74" s="70" t="s">
        <v>21</v>
      </c>
      <c r="E74" s="109">
        <v>0.15</v>
      </c>
      <c r="F74" s="37">
        <f>F72*E74</f>
        <v>25.593</v>
      </c>
      <c r="G74" s="32"/>
      <c r="H74" s="244"/>
      <c r="I74" s="33">
        <v>37.450000000000003</v>
      </c>
      <c r="J74" s="73">
        <f>F74*I74</f>
        <v>958.45785000000012</v>
      </c>
      <c r="K74" s="263">
        <f t="shared" si="3"/>
        <v>958.45785000000012</v>
      </c>
      <c r="L74" s="1"/>
    </row>
    <row r="75" spans="1:12" s="44" customFormat="1" ht="15" hidden="1" customHeight="1">
      <c r="A75" s="279"/>
      <c r="B75" s="105" t="s">
        <v>71</v>
      </c>
      <c r="C75" s="38" t="s">
        <v>23</v>
      </c>
      <c r="D75" s="70" t="s">
        <v>19</v>
      </c>
      <c r="E75" s="109">
        <v>7.6</v>
      </c>
      <c r="F75" s="37">
        <f>F72*E75</f>
        <v>1296.712</v>
      </c>
      <c r="G75" s="32"/>
      <c r="H75" s="244"/>
      <c r="I75" s="33">
        <v>7.6</v>
      </c>
      <c r="J75" s="73">
        <f>F75*I75</f>
        <v>9855.011199999999</v>
      </c>
      <c r="K75" s="263">
        <f t="shared" si="3"/>
        <v>9855.011199999999</v>
      </c>
      <c r="L75" s="1"/>
    </row>
    <row r="76" spans="1:12" s="45" customFormat="1" ht="15" hidden="1" customHeight="1">
      <c r="A76" s="279"/>
      <c r="B76" s="105" t="s">
        <v>72</v>
      </c>
      <c r="C76" s="38" t="s">
        <v>23</v>
      </c>
      <c r="D76" s="70" t="s">
        <v>56</v>
      </c>
      <c r="E76" s="109">
        <v>11</v>
      </c>
      <c r="F76" s="37">
        <f>F72*E76</f>
        <v>1876.8200000000002</v>
      </c>
      <c r="G76" s="32"/>
      <c r="H76" s="110"/>
      <c r="I76" s="33">
        <v>1.3007599999999999</v>
      </c>
      <c r="J76" s="73">
        <f>F76*I76</f>
        <v>2441.2923832000001</v>
      </c>
      <c r="K76" s="263">
        <f t="shared" si="3"/>
        <v>2441.2923832000001</v>
      </c>
      <c r="L76" s="1"/>
    </row>
    <row r="77" spans="1:12" s="44" customFormat="1" ht="15" hidden="1" customHeight="1">
      <c r="A77" s="279"/>
      <c r="B77" s="105" t="s">
        <v>73</v>
      </c>
      <c r="C77" s="38" t="s">
        <v>23</v>
      </c>
      <c r="D77" s="70" t="s">
        <v>19</v>
      </c>
      <c r="E77" s="109">
        <v>0.4</v>
      </c>
      <c r="F77" s="37">
        <f>F72*E77</f>
        <v>68.248000000000005</v>
      </c>
      <c r="G77" s="32"/>
      <c r="H77" s="244"/>
      <c r="I77" s="33">
        <v>123.5</v>
      </c>
      <c r="J77" s="73">
        <f>F77*I77</f>
        <v>8428.6280000000006</v>
      </c>
      <c r="K77" s="263">
        <f t="shared" si="3"/>
        <v>8428.6280000000006</v>
      </c>
      <c r="L77" s="1"/>
    </row>
    <row r="78" spans="1:12" s="45" customFormat="1" ht="15" hidden="1" customHeight="1">
      <c r="A78" s="279"/>
      <c r="B78" s="105"/>
      <c r="C78" s="75"/>
      <c r="D78" s="70"/>
      <c r="E78" s="109"/>
      <c r="F78" s="37"/>
      <c r="G78" s="32"/>
      <c r="H78" s="110"/>
      <c r="I78" s="33"/>
      <c r="J78" s="73"/>
      <c r="K78" s="263"/>
      <c r="L78" s="1"/>
    </row>
    <row r="79" spans="1:12" s="45" customFormat="1" ht="15" hidden="1" customHeight="1">
      <c r="A79" s="284"/>
      <c r="B79" s="111" t="s">
        <v>74</v>
      </c>
      <c r="C79" s="112"/>
      <c r="D79" s="113"/>
      <c r="E79" s="114"/>
      <c r="F79" s="113"/>
      <c r="G79" s="57"/>
      <c r="H79" s="113"/>
      <c r="I79" s="59"/>
      <c r="J79" s="115"/>
      <c r="K79" s="285"/>
      <c r="L79" s="1"/>
    </row>
    <row r="80" spans="1:12" s="45" customFormat="1" ht="15" customHeight="1">
      <c r="A80" s="277">
        <f>A72+1</f>
        <v>17</v>
      </c>
      <c r="B80" s="61" t="s">
        <v>52</v>
      </c>
      <c r="C80" s="38" t="s">
        <v>20</v>
      </c>
      <c r="D80" s="38" t="s">
        <v>30</v>
      </c>
      <c r="E80" s="102"/>
      <c r="F80" s="97">
        <f>161.76+164.62+56.06</f>
        <v>382.44</v>
      </c>
      <c r="G80" s="32">
        <v>250</v>
      </c>
      <c r="H80" s="235">
        <f>F80*G80</f>
        <v>95610</v>
      </c>
      <c r="I80" s="33"/>
      <c r="J80" s="66"/>
      <c r="K80" s="260">
        <f t="shared" ref="K80:K88" si="4">H80+J80</f>
        <v>95610</v>
      </c>
      <c r="L80" s="1"/>
    </row>
    <row r="81" spans="1:15" s="44" customFormat="1" ht="15" customHeight="1">
      <c r="A81" s="279"/>
      <c r="B81" s="74" t="s">
        <v>53</v>
      </c>
      <c r="C81" s="38" t="s">
        <v>20</v>
      </c>
      <c r="D81" s="70" t="s">
        <v>19</v>
      </c>
      <c r="E81" s="102">
        <v>1.8</v>
      </c>
      <c r="F81" s="101">
        <f>E81*F80</f>
        <v>688.39200000000005</v>
      </c>
      <c r="G81" s="32"/>
      <c r="H81" s="236"/>
      <c r="I81" s="33"/>
      <c r="J81" s="73">
        <f>F81*I81</f>
        <v>0</v>
      </c>
      <c r="K81" s="263">
        <f t="shared" si="4"/>
        <v>0</v>
      </c>
      <c r="L81" s="1"/>
    </row>
    <row r="82" spans="1:15" s="44" customFormat="1" ht="15" customHeight="1">
      <c r="A82" s="279"/>
      <c r="B82" s="74" t="s">
        <v>54</v>
      </c>
      <c r="C82" s="38" t="s">
        <v>20</v>
      </c>
      <c r="D82" s="70" t="s">
        <v>19</v>
      </c>
      <c r="E82" s="102">
        <v>1.8</v>
      </c>
      <c r="F82" s="101">
        <f>E82*F80</f>
        <v>688.39200000000005</v>
      </c>
      <c r="G82" s="32"/>
      <c r="H82" s="236"/>
      <c r="I82" s="33"/>
      <c r="J82" s="73">
        <f>F82*I82</f>
        <v>0</v>
      </c>
      <c r="K82" s="263">
        <f t="shared" si="4"/>
        <v>0</v>
      </c>
      <c r="L82" s="1"/>
    </row>
    <row r="83" spans="1:15" s="44" customFormat="1" ht="15" customHeight="1">
      <c r="A83" s="279"/>
      <c r="B83" s="74" t="s">
        <v>34</v>
      </c>
      <c r="C83" s="38" t="s">
        <v>20</v>
      </c>
      <c r="D83" s="70" t="s">
        <v>21</v>
      </c>
      <c r="E83" s="102">
        <v>0.15</v>
      </c>
      <c r="F83" s="101">
        <f>E83*F80</f>
        <v>57.366</v>
      </c>
      <c r="G83" s="32"/>
      <c r="H83" s="236"/>
      <c r="I83" s="33"/>
      <c r="J83" s="73">
        <f>F83*I83</f>
        <v>0</v>
      </c>
      <c r="K83" s="263">
        <f t="shared" si="4"/>
        <v>0</v>
      </c>
      <c r="L83" s="1"/>
    </row>
    <row r="84" spans="1:15" s="44" customFormat="1" ht="15" customHeight="1">
      <c r="A84" s="279"/>
      <c r="B84" s="74" t="s">
        <v>55</v>
      </c>
      <c r="C84" s="38" t="s">
        <v>20</v>
      </c>
      <c r="D84" s="70" t="s">
        <v>56</v>
      </c>
      <c r="E84" s="102">
        <v>0.1</v>
      </c>
      <c r="F84" s="101">
        <f>E84*F80</f>
        <v>38.244</v>
      </c>
      <c r="G84" s="32"/>
      <c r="H84" s="236"/>
      <c r="I84" s="33"/>
      <c r="J84" s="73">
        <f>F84*I84</f>
        <v>0</v>
      </c>
      <c r="K84" s="263">
        <f t="shared" si="4"/>
        <v>0</v>
      </c>
      <c r="L84" s="1"/>
    </row>
    <row r="85" spans="1:15" s="44" customFormat="1" ht="15" customHeight="1">
      <c r="A85" s="279"/>
      <c r="B85" s="74" t="s">
        <v>57</v>
      </c>
      <c r="C85" s="38" t="s">
        <v>20</v>
      </c>
      <c r="D85" s="70" t="s">
        <v>58</v>
      </c>
      <c r="E85" s="102">
        <v>1.1000000000000001</v>
      </c>
      <c r="F85" s="101">
        <f>E85*F80</f>
        <v>420.68400000000003</v>
      </c>
      <c r="G85" s="32"/>
      <c r="H85" s="236"/>
      <c r="I85" s="33"/>
      <c r="J85" s="73">
        <f>F85*I85</f>
        <v>0</v>
      </c>
      <c r="K85" s="263">
        <f t="shared" si="4"/>
        <v>0</v>
      </c>
      <c r="L85" s="1"/>
    </row>
    <row r="86" spans="1:15" s="45" customFormat="1" ht="15" customHeight="1">
      <c r="A86" s="279">
        <f>A80+1</f>
        <v>18</v>
      </c>
      <c r="B86" s="61" t="s">
        <v>59</v>
      </c>
      <c r="C86" s="38" t="s">
        <v>20</v>
      </c>
      <c r="D86" s="38" t="s">
        <v>30</v>
      </c>
      <c r="E86" s="102"/>
      <c r="F86" s="97">
        <f>F80</f>
        <v>382.44</v>
      </c>
      <c r="G86" s="32">
        <v>200</v>
      </c>
      <c r="H86" s="235">
        <f>F86*G86</f>
        <v>76488</v>
      </c>
      <c r="I86" s="33"/>
      <c r="J86" s="66"/>
      <c r="K86" s="260">
        <f t="shared" si="4"/>
        <v>76488</v>
      </c>
      <c r="L86" s="1"/>
    </row>
    <row r="87" spans="1:15" s="44" customFormat="1" ht="25.5" customHeight="1">
      <c r="A87" s="279"/>
      <c r="B87" s="103" t="s">
        <v>60</v>
      </c>
      <c r="C87" s="38" t="s">
        <v>20</v>
      </c>
      <c r="D87" s="70" t="s">
        <v>21</v>
      </c>
      <c r="E87" s="104">
        <v>0.35</v>
      </c>
      <c r="F87" s="101">
        <f>E87*F86</f>
        <v>133.85399999999998</v>
      </c>
      <c r="G87" s="32"/>
      <c r="H87" s="236"/>
      <c r="I87" s="33"/>
      <c r="J87" s="73">
        <f>F87*I87</f>
        <v>0</v>
      </c>
      <c r="K87" s="263">
        <f t="shared" si="4"/>
        <v>0</v>
      </c>
      <c r="L87" s="1"/>
    </row>
    <row r="88" spans="1:15" s="44" customFormat="1" ht="15" customHeight="1">
      <c r="A88" s="279"/>
      <c r="B88" s="105" t="s">
        <v>34</v>
      </c>
      <c r="C88" s="38" t="s">
        <v>20</v>
      </c>
      <c r="D88" s="70" t="s">
        <v>21</v>
      </c>
      <c r="E88" s="102">
        <v>0.15</v>
      </c>
      <c r="F88" s="101">
        <f>E88*F86</f>
        <v>57.366</v>
      </c>
      <c r="G88" s="32"/>
      <c r="H88" s="236"/>
      <c r="I88" s="33"/>
      <c r="J88" s="73">
        <f>F88*I88</f>
        <v>0</v>
      </c>
      <c r="K88" s="263">
        <f t="shared" si="4"/>
        <v>0</v>
      </c>
      <c r="L88" s="1"/>
    </row>
    <row r="89" spans="1:15" s="45" customFormat="1" ht="15" hidden="1" customHeight="1">
      <c r="A89" s="279"/>
      <c r="B89" s="70"/>
      <c r="C89" s="38"/>
      <c r="D89" s="70"/>
      <c r="E89" s="79"/>
      <c r="F89" s="37"/>
      <c r="G89" s="32"/>
      <c r="H89" s="116"/>
      <c r="I89" s="33"/>
      <c r="J89" s="73"/>
      <c r="K89" s="263"/>
      <c r="L89" s="1"/>
    </row>
    <row r="90" spans="1:15" s="45" customFormat="1" ht="15" hidden="1" customHeight="1">
      <c r="A90" s="284"/>
      <c r="B90" s="70"/>
      <c r="C90" s="38"/>
      <c r="D90" s="70"/>
      <c r="E90" s="79"/>
      <c r="F90" s="37"/>
      <c r="G90" s="32"/>
      <c r="H90" s="116"/>
      <c r="I90" s="33"/>
      <c r="J90" s="73"/>
      <c r="K90" s="263"/>
      <c r="L90" s="1"/>
    </row>
    <row r="91" spans="1:15" s="45" customFormat="1" ht="15" hidden="1" customHeight="1">
      <c r="A91" s="23"/>
      <c r="B91" s="24" t="s">
        <v>75</v>
      </c>
      <c r="C91" s="25"/>
      <c r="D91" s="26"/>
      <c r="E91" s="27"/>
      <c r="F91" s="28"/>
      <c r="G91" s="29"/>
      <c r="H91" s="29" t="str">
        <f>IF(ISBLANK(G91),"",G91*F91)</f>
        <v/>
      </c>
      <c r="I91" s="36"/>
      <c r="J91" s="30" t="str">
        <f>IF(ISBLANK(I91),"",I91*F91)</f>
        <v/>
      </c>
      <c r="K91" s="31"/>
      <c r="L91" s="1"/>
    </row>
    <row r="92" spans="1:15" s="45" customFormat="1" ht="25.5" hidden="1" customHeight="1">
      <c r="A92" s="282"/>
      <c r="B92" s="53" t="s">
        <v>76</v>
      </c>
      <c r="C92" s="265"/>
      <c r="D92" s="266"/>
      <c r="E92" s="267"/>
      <c r="F92" s="266"/>
      <c r="G92" s="57"/>
      <c r="H92" s="266"/>
      <c r="I92" s="59"/>
      <c r="J92" s="268"/>
      <c r="K92" s="269"/>
      <c r="L92" s="1"/>
    </row>
    <row r="93" spans="1:15" s="140" customFormat="1" ht="15" hidden="1" customHeight="1">
      <c r="A93" s="286">
        <f>A86+1</f>
        <v>19</v>
      </c>
      <c r="B93" s="61" t="s">
        <v>77</v>
      </c>
      <c r="C93" s="38" t="s">
        <v>23</v>
      </c>
      <c r="D93" s="38" t="s">
        <v>30</v>
      </c>
      <c r="E93" s="64"/>
      <c r="F93" s="97">
        <f>327.16</f>
        <v>327.16000000000003</v>
      </c>
      <c r="G93" s="32">
        <v>670</v>
      </c>
      <c r="H93" s="235">
        <f>F93*G93</f>
        <v>219197.2</v>
      </c>
      <c r="I93" s="33"/>
      <c r="J93" s="66"/>
      <c r="K93" s="260">
        <f t="shared" ref="K93:K107" si="5">H93+J93</f>
        <v>219197.2</v>
      </c>
      <c r="L93" s="141"/>
      <c r="M93" s="139"/>
      <c r="N93" s="139"/>
      <c r="O93" s="138"/>
    </row>
    <row r="94" spans="1:15" s="140" customFormat="1" ht="15" hidden="1" customHeight="1">
      <c r="A94" s="287"/>
      <c r="B94" s="105" t="s">
        <v>24</v>
      </c>
      <c r="C94" s="38" t="s">
        <v>23</v>
      </c>
      <c r="D94" s="70" t="s">
        <v>41</v>
      </c>
      <c r="E94" s="64">
        <v>1.1000000000000001</v>
      </c>
      <c r="F94" s="37">
        <v>315.63400000000007</v>
      </c>
      <c r="G94" s="32"/>
      <c r="H94" s="110"/>
      <c r="I94" s="33">
        <v>401.24249999999995</v>
      </c>
      <c r="J94" s="73">
        <f t="shared" ref="J94:J99" si="6">F94*I94</f>
        <v>126645.77524500001</v>
      </c>
      <c r="K94" s="263">
        <f t="shared" si="5"/>
        <v>126645.77524500001</v>
      </c>
      <c r="L94" s="141"/>
    </row>
    <row r="95" spans="1:15" s="140" customFormat="1" ht="15" hidden="1" customHeight="1">
      <c r="A95" s="287"/>
      <c r="B95" s="105" t="s">
        <v>78</v>
      </c>
      <c r="C95" s="38" t="s">
        <v>23</v>
      </c>
      <c r="D95" s="70" t="s">
        <v>41</v>
      </c>
      <c r="E95" s="64">
        <v>1.1000000000000001</v>
      </c>
      <c r="F95" s="37">
        <v>44.242000000000004</v>
      </c>
      <c r="G95" s="32"/>
      <c r="H95" s="110"/>
      <c r="I95" s="33">
        <v>874.16317000000004</v>
      </c>
      <c r="J95" s="73">
        <f t="shared" si="6"/>
        <v>38674.726967140006</v>
      </c>
      <c r="K95" s="263">
        <f t="shared" si="5"/>
        <v>38674.726967140006</v>
      </c>
      <c r="L95" s="138"/>
    </row>
    <row r="96" spans="1:15" s="44" customFormat="1" ht="15" hidden="1" customHeight="1">
      <c r="A96" s="287"/>
      <c r="B96" s="105" t="s">
        <v>34</v>
      </c>
      <c r="C96" s="38" t="s">
        <v>23</v>
      </c>
      <c r="D96" s="70" t="s">
        <v>21</v>
      </c>
      <c r="E96" s="64">
        <v>0.15</v>
      </c>
      <c r="F96" s="37">
        <v>49.074000000000005</v>
      </c>
      <c r="G96" s="32"/>
      <c r="H96" s="244"/>
      <c r="I96" s="33">
        <v>37.450000000000003</v>
      </c>
      <c r="J96" s="73">
        <f t="shared" si="6"/>
        <v>1837.8213000000003</v>
      </c>
      <c r="K96" s="263">
        <f t="shared" si="5"/>
        <v>1837.8213000000003</v>
      </c>
      <c r="L96" s="1"/>
    </row>
    <row r="97" spans="1:12" s="44" customFormat="1" ht="15" hidden="1" customHeight="1">
      <c r="A97" s="284"/>
      <c r="B97" s="105" t="s">
        <v>71</v>
      </c>
      <c r="C97" s="38" t="s">
        <v>23</v>
      </c>
      <c r="D97" s="70" t="s">
        <v>19</v>
      </c>
      <c r="E97" s="64">
        <v>7.6</v>
      </c>
      <c r="F97" s="37">
        <v>2486.4160000000002</v>
      </c>
      <c r="G97" s="32"/>
      <c r="H97" s="244"/>
      <c r="I97" s="33">
        <v>7.6</v>
      </c>
      <c r="J97" s="73">
        <f t="shared" si="6"/>
        <v>18896.761600000002</v>
      </c>
      <c r="K97" s="263">
        <f t="shared" si="5"/>
        <v>18896.761600000002</v>
      </c>
      <c r="L97" s="1"/>
    </row>
    <row r="98" spans="1:12" s="45" customFormat="1" ht="15" hidden="1" customHeight="1">
      <c r="A98" s="284"/>
      <c r="B98" s="105" t="s">
        <v>72</v>
      </c>
      <c r="C98" s="38" t="s">
        <v>23</v>
      </c>
      <c r="D98" s="70" t="s">
        <v>56</v>
      </c>
      <c r="E98" s="64">
        <v>11</v>
      </c>
      <c r="F98" s="37">
        <v>3598.76</v>
      </c>
      <c r="G98" s="32"/>
      <c r="H98" s="110"/>
      <c r="I98" s="33">
        <v>1.3007599999999999</v>
      </c>
      <c r="J98" s="73">
        <f t="shared" si="6"/>
        <v>4681.1230575999998</v>
      </c>
      <c r="K98" s="263">
        <f t="shared" si="5"/>
        <v>4681.1230575999998</v>
      </c>
      <c r="L98" s="1"/>
    </row>
    <row r="99" spans="1:12" s="44" customFormat="1" ht="15" hidden="1" customHeight="1">
      <c r="A99" s="284"/>
      <c r="B99" s="105" t="s">
        <v>73</v>
      </c>
      <c r="C99" s="38" t="s">
        <v>23</v>
      </c>
      <c r="D99" s="70" t="s">
        <v>19</v>
      </c>
      <c r="E99" s="64">
        <v>0.4</v>
      </c>
      <c r="F99" s="37">
        <v>130.864</v>
      </c>
      <c r="G99" s="32"/>
      <c r="H99" s="244"/>
      <c r="I99" s="33">
        <v>123.5</v>
      </c>
      <c r="J99" s="73">
        <f t="shared" si="6"/>
        <v>16161.704</v>
      </c>
      <c r="K99" s="263">
        <f t="shared" si="5"/>
        <v>16161.704</v>
      </c>
      <c r="L99" s="1"/>
    </row>
    <row r="100" spans="1:12" s="45" customFormat="1" ht="25.5" hidden="1" customHeight="1">
      <c r="A100" s="288">
        <f>A93+1</f>
        <v>20</v>
      </c>
      <c r="B100" s="61" t="s">
        <v>79</v>
      </c>
      <c r="C100" s="38" t="s">
        <v>29</v>
      </c>
      <c r="D100" s="38" t="s">
        <v>30</v>
      </c>
      <c r="E100" s="64"/>
      <c r="F100" s="97">
        <v>327.16000000000003</v>
      </c>
      <c r="G100" s="32">
        <v>250</v>
      </c>
      <c r="H100" s="235">
        <f>F100*G100</f>
        <v>81790</v>
      </c>
      <c r="I100" s="33"/>
      <c r="J100" s="66"/>
      <c r="K100" s="260">
        <f t="shared" si="5"/>
        <v>81790</v>
      </c>
      <c r="L100" s="1"/>
    </row>
    <row r="101" spans="1:12" s="44" customFormat="1" ht="15" hidden="1" customHeight="1">
      <c r="A101" s="284"/>
      <c r="B101" s="105" t="s">
        <v>80</v>
      </c>
      <c r="C101" s="38" t="s">
        <v>29</v>
      </c>
      <c r="D101" s="70" t="s">
        <v>81</v>
      </c>
      <c r="E101" s="64">
        <f>499*0.085*1.02/1000</f>
        <v>4.3263300000000011E-2</v>
      </c>
      <c r="F101" s="37">
        <f>F100*E101</f>
        <v>14.154021228000005</v>
      </c>
      <c r="G101" s="32"/>
      <c r="H101" s="244"/>
      <c r="I101" s="33">
        <v>5473.05</v>
      </c>
      <c r="J101" s="73">
        <f t="shared" ref="J101:J107" si="7">F101*I101</f>
        <v>77465.665881905428</v>
      </c>
      <c r="K101" s="263">
        <f t="shared" si="5"/>
        <v>77465.665881905428</v>
      </c>
      <c r="L101" s="1"/>
    </row>
    <row r="102" spans="1:12" s="44" customFormat="1" ht="15" hidden="1" customHeight="1">
      <c r="A102" s="284"/>
      <c r="B102" s="105" t="s">
        <v>82</v>
      </c>
      <c r="C102" s="38" t="s">
        <v>29</v>
      </c>
      <c r="D102" s="70" t="s">
        <v>81</v>
      </c>
      <c r="E102" s="64">
        <f>1792*0.8*0.085*1.02/1000</f>
        <v>0.12429312000000003</v>
      </c>
      <c r="F102" s="37">
        <f>F100*E102</f>
        <v>40.663737139200016</v>
      </c>
      <c r="G102" s="32"/>
      <c r="H102" s="244"/>
      <c r="I102" s="33">
        <v>823.63</v>
      </c>
      <c r="J102" s="73">
        <f t="shared" si="7"/>
        <v>33491.873819959306</v>
      </c>
      <c r="K102" s="263">
        <f t="shared" si="5"/>
        <v>33491.873819959306</v>
      </c>
      <c r="L102" s="1"/>
    </row>
    <row r="103" spans="1:12" s="45" customFormat="1" ht="15" hidden="1" customHeight="1">
      <c r="A103" s="284"/>
      <c r="B103" s="105" t="s">
        <v>83</v>
      </c>
      <c r="C103" s="38" t="s">
        <v>29</v>
      </c>
      <c r="D103" s="70" t="s">
        <v>81</v>
      </c>
      <c r="E103" s="64">
        <f>1792*0.2*0.85*1.02/1000</f>
        <v>0.31073280000000003</v>
      </c>
      <c r="F103" s="37">
        <f>F100*E103</f>
        <v>101.65934284800002</v>
      </c>
      <c r="G103" s="32"/>
      <c r="H103" s="110"/>
      <c r="I103" s="33">
        <v>374.49299999999999</v>
      </c>
      <c r="J103" s="73">
        <f t="shared" si="7"/>
        <v>38070.712281176071</v>
      </c>
      <c r="K103" s="263">
        <f t="shared" si="5"/>
        <v>38070.712281176071</v>
      </c>
      <c r="L103" s="1"/>
    </row>
    <row r="104" spans="1:12" s="45" customFormat="1" ht="15" hidden="1" customHeight="1">
      <c r="A104" s="284"/>
      <c r="B104" s="105" t="s">
        <v>84</v>
      </c>
      <c r="C104" s="38" t="s">
        <v>29</v>
      </c>
      <c r="D104" s="70" t="s">
        <v>41</v>
      </c>
      <c r="E104" s="64">
        <v>1.1000000000000001</v>
      </c>
      <c r="F104" s="37">
        <f>F100*E104</f>
        <v>359.87600000000003</v>
      </c>
      <c r="G104" s="32"/>
      <c r="H104" s="110"/>
      <c r="I104" s="33">
        <v>115.91449999999999</v>
      </c>
      <c r="J104" s="73">
        <f t="shared" si="7"/>
        <v>41714.846601999998</v>
      </c>
      <c r="K104" s="263">
        <f t="shared" si="5"/>
        <v>41714.846601999998</v>
      </c>
      <c r="L104" s="1"/>
    </row>
    <row r="105" spans="1:12" s="44" customFormat="1" ht="15" hidden="1" customHeight="1">
      <c r="A105" s="284"/>
      <c r="B105" s="105" t="s">
        <v>85</v>
      </c>
      <c r="C105" s="38" t="s">
        <v>29</v>
      </c>
      <c r="D105" s="70" t="s">
        <v>81</v>
      </c>
      <c r="E105" s="64">
        <f>0.21/1000</f>
        <v>2.0999999999999998E-4</v>
      </c>
      <c r="F105" s="37">
        <f>F100*E105</f>
        <v>6.8703600000000004E-2</v>
      </c>
      <c r="G105" s="32"/>
      <c r="H105" s="244"/>
      <c r="I105" s="33">
        <v>56431.8</v>
      </c>
      <c r="J105" s="73">
        <f t="shared" si="7"/>
        <v>3877.0678144800004</v>
      </c>
      <c r="K105" s="263">
        <f t="shared" si="5"/>
        <v>3877.0678144800004</v>
      </c>
      <c r="L105" s="1"/>
    </row>
    <row r="106" spans="1:12" s="45" customFormat="1" ht="15" hidden="1" customHeight="1">
      <c r="A106" s="284"/>
      <c r="B106" s="105" t="s">
        <v>86</v>
      </c>
      <c r="C106" s="38" t="s">
        <v>29</v>
      </c>
      <c r="D106" s="70" t="s">
        <v>56</v>
      </c>
      <c r="E106" s="64">
        <v>4</v>
      </c>
      <c r="F106" s="37">
        <f>F100*E106</f>
        <v>1308.6400000000001</v>
      </c>
      <c r="G106" s="32"/>
      <c r="H106" s="110"/>
      <c r="I106" s="33">
        <v>0.67135999999999996</v>
      </c>
      <c r="J106" s="73">
        <f t="shared" si="7"/>
        <v>878.56855040000005</v>
      </c>
      <c r="K106" s="263">
        <f t="shared" si="5"/>
        <v>878.56855040000005</v>
      </c>
      <c r="L106" s="1"/>
    </row>
    <row r="107" spans="1:12" s="44" customFormat="1" ht="15" hidden="1" customHeight="1">
      <c r="A107" s="284"/>
      <c r="B107" s="105" t="s">
        <v>87</v>
      </c>
      <c r="C107" s="38" t="s">
        <v>29</v>
      </c>
      <c r="D107" s="70" t="s">
        <v>58</v>
      </c>
      <c r="E107" s="64"/>
      <c r="F107" s="37">
        <f>F100</f>
        <v>327.16000000000003</v>
      </c>
      <c r="G107" s="32"/>
      <c r="H107" s="244"/>
      <c r="I107" s="33">
        <v>7.0979999999999999</v>
      </c>
      <c r="J107" s="73">
        <f t="shared" si="7"/>
        <v>2322.1816800000001</v>
      </c>
      <c r="K107" s="263">
        <f t="shared" si="5"/>
        <v>2322.1816800000001</v>
      </c>
      <c r="L107" s="1"/>
    </row>
    <row r="108" spans="1:12" s="45" customFormat="1" ht="15" hidden="1" customHeight="1">
      <c r="A108" s="284"/>
      <c r="B108" s="105"/>
      <c r="C108" s="75"/>
      <c r="D108" s="70"/>
      <c r="E108" s="64"/>
      <c r="F108" s="37"/>
      <c r="G108" s="32"/>
      <c r="H108" s="110"/>
      <c r="I108" s="33"/>
      <c r="J108" s="73"/>
      <c r="K108" s="263"/>
      <c r="L108" s="1"/>
    </row>
    <row r="109" spans="1:12" s="45" customFormat="1" ht="15" hidden="1" customHeight="1">
      <c r="A109" s="282"/>
      <c r="B109" s="117" t="s">
        <v>88</v>
      </c>
      <c r="C109" s="265"/>
      <c r="D109" s="266"/>
      <c r="E109" s="267"/>
      <c r="F109" s="266"/>
      <c r="G109" s="57"/>
      <c r="H109" s="266"/>
      <c r="I109" s="59"/>
      <c r="J109" s="268"/>
      <c r="K109" s="269"/>
      <c r="L109" s="1"/>
    </row>
    <row r="110" spans="1:12" s="45" customFormat="1" ht="15" hidden="1" customHeight="1">
      <c r="A110" s="288">
        <f>A100+1</f>
        <v>21</v>
      </c>
      <c r="B110" s="61" t="s">
        <v>77</v>
      </c>
      <c r="C110" s="38" t="s">
        <v>23</v>
      </c>
      <c r="D110" s="38" t="s">
        <v>30</v>
      </c>
      <c r="E110" s="102"/>
      <c r="F110" s="97">
        <v>52.89</v>
      </c>
      <c r="G110" s="32">
        <v>670</v>
      </c>
      <c r="H110" s="235">
        <f>F110*G110</f>
        <v>35436.300000000003</v>
      </c>
      <c r="I110" s="33"/>
      <c r="J110" s="66"/>
      <c r="K110" s="260">
        <f t="shared" ref="K110:K131" si="8">H110+J110</f>
        <v>35436.300000000003</v>
      </c>
      <c r="L110" s="1"/>
    </row>
    <row r="111" spans="1:12" s="45" customFormat="1" ht="15" hidden="1" customHeight="1">
      <c r="A111" s="284"/>
      <c r="B111" s="105" t="s">
        <v>24</v>
      </c>
      <c r="C111" s="38" t="s">
        <v>23</v>
      </c>
      <c r="D111" s="70" t="s">
        <v>41</v>
      </c>
      <c r="E111" s="102">
        <v>1.1000000000000001</v>
      </c>
      <c r="F111" s="37">
        <f>F110*E111</f>
        <v>58.179000000000002</v>
      </c>
      <c r="G111" s="32"/>
      <c r="H111" s="110"/>
      <c r="I111" s="33">
        <v>401.24249999999995</v>
      </c>
      <c r="J111" s="73">
        <f>F111*I111</f>
        <v>23343.887407499999</v>
      </c>
      <c r="K111" s="263">
        <f t="shared" si="8"/>
        <v>23343.887407499999</v>
      </c>
      <c r="L111" s="1"/>
    </row>
    <row r="112" spans="1:12" s="44" customFormat="1" ht="15" hidden="1" customHeight="1">
      <c r="A112" s="284"/>
      <c r="B112" s="105" t="s">
        <v>34</v>
      </c>
      <c r="C112" s="38" t="s">
        <v>23</v>
      </c>
      <c r="D112" s="70" t="s">
        <v>21</v>
      </c>
      <c r="E112" s="102">
        <v>0.2</v>
      </c>
      <c r="F112" s="37">
        <f>F110*E112</f>
        <v>10.578000000000001</v>
      </c>
      <c r="G112" s="32"/>
      <c r="H112" s="244"/>
      <c r="I112" s="33">
        <v>37.450000000000003</v>
      </c>
      <c r="J112" s="73">
        <f>F112*I112</f>
        <v>396.14610000000005</v>
      </c>
      <c r="K112" s="263">
        <f t="shared" si="8"/>
        <v>396.14610000000005</v>
      </c>
      <c r="L112" s="1"/>
    </row>
    <row r="113" spans="1:12" s="44" customFormat="1" ht="15" hidden="1" customHeight="1">
      <c r="A113" s="284"/>
      <c r="B113" s="105" t="s">
        <v>71</v>
      </c>
      <c r="C113" s="38" t="s">
        <v>23</v>
      </c>
      <c r="D113" s="70" t="s">
        <v>19</v>
      </c>
      <c r="E113" s="102">
        <v>7.6</v>
      </c>
      <c r="F113" s="37">
        <f>F110*E113</f>
        <v>401.964</v>
      </c>
      <c r="G113" s="32"/>
      <c r="H113" s="244"/>
      <c r="I113" s="33">
        <v>7.6</v>
      </c>
      <c r="J113" s="73">
        <f>F113*I113</f>
        <v>3054.9263999999998</v>
      </c>
      <c r="K113" s="263">
        <f t="shared" si="8"/>
        <v>3054.9263999999998</v>
      </c>
      <c r="L113" s="1"/>
    </row>
    <row r="114" spans="1:12" s="45" customFormat="1" ht="15" hidden="1" customHeight="1">
      <c r="A114" s="284"/>
      <c r="B114" s="105" t="s">
        <v>72</v>
      </c>
      <c r="C114" s="38" t="s">
        <v>23</v>
      </c>
      <c r="D114" s="70" t="s">
        <v>56</v>
      </c>
      <c r="E114" s="102">
        <v>11</v>
      </c>
      <c r="F114" s="37">
        <f>F110*E114</f>
        <v>581.79</v>
      </c>
      <c r="G114" s="32"/>
      <c r="H114" s="110"/>
      <c r="I114" s="33">
        <v>1.3007599999999999</v>
      </c>
      <c r="J114" s="73">
        <f>F114*I114</f>
        <v>756.76916039999992</v>
      </c>
      <c r="K114" s="263">
        <f t="shared" si="8"/>
        <v>756.76916039999992</v>
      </c>
      <c r="L114" s="1"/>
    </row>
    <row r="115" spans="1:12" s="44" customFormat="1" ht="15" hidden="1" customHeight="1">
      <c r="A115" s="284"/>
      <c r="B115" s="105" t="s">
        <v>73</v>
      </c>
      <c r="C115" s="38" t="s">
        <v>23</v>
      </c>
      <c r="D115" s="70" t="s">
        <v>19</v>
      </c>
      <c r="E115" s="102">
        <v>0.4</v>
      </c>
      <c r="F115" s="37">
        <f>F110*E115</f>
        <v>21.156000000000002</v>
      </c>
      <c r="G115" s="32"/>
      <c r="H115" s="244"/>
      <c r="I115" s="33">
        <v>123.5</v>
      </c>
      <c r="J115" s="73">
        <f>F115*I115</f>
        <v>2612.7660000000001</v>
      </c>
      <c r="K115" s="263">
        <f t="shared" si="8"/>
        <v>2612.7660000000001</v>
      </c>
      <c r="L115" s="1"/>
    </row>
    <row r="116" spans="1:12" s="45" customFormat="1" ht="15" hidden="1" customHeight="1">
      <c r="A116" s="288">
        <f>A110+1</f>
        <v>22</v>
      </c>
      <c r="B116" s="61" t="s">
        <v>89</v>
      </c>
      <c r="C116" s="38" t="s">
        <v>29</v>
      </c>
      <c r="D116" s="38" t="s">
        <v>30</v>
      </c>
      <c r="E116" s="102"/>
      <c r="F116" s="97">
        <f>F110</f>
        <v>52.89</v>
      </c>
      <c r="G116" s="32">
        <v>100</v>
      </c>
      <c r="H116" s="235">
        <f>F116*G116</f>
        <v>5289</v>
      </c>
      <c r="I116" s="33"/>
      <c r="J116" s="66"/>
      <c r="K116" s="260">
        <f t="shared" si="8"/>
        <v>5289</v>
      </c>
      <c r="L116" s="1"/>
    </row>
    <row r="117" spans="1:12" s="44" customFormat="1" ht="15" hidden="1" customHeight="1">
      <c r="A117" s="284"/>
      <c r="B117" s="105" t="s">
        <v>34</v>
      </c>
      <c r="C117" s="38" t="s">
        <v>29</v>
      </c>
      <c r="D117" s="70" t="s">
        <v>21</v>
      </c>
      <c r="E117" s="102">
        <v>0.2</v>
      </c>
      <c r="F117" s="37">
        <f>F116*E117</f>
        <v>10.578000000000001</v>
      </c>
      <c r="G117" s="32"/>
      <c r="H117" s="244"/>
      <c r="I117" s="33">
        <v>37.450000000000003</v>
      </c>
      <c r="J117" s="73">
        <f>F117*I117</f>
        <v>396.14610000000005</v>
      </c>
      <c r="K117" s="263">
        <f t="shared" si="8"/>
        <v>396.14610000000005</v>
      </c>
      <c r="L117" s="1"/>
    </row>
    <row r="118" spans="1:12" s="44" customFormat="1" ht="15" hidden="1" customHeight="1">
      <c r="A118" s="284"/>
      <c r="B118" s="105" t="s">
        <v>90</v>
      </c>
      <c r="C118" s="38" t="s">
        <v>29</v>
      </c>
      <c r="D118" s="70" t="s">
        <v>19</v>
      </c>
      <c r="E118" s="102">
        <v>4.8</v>
      </c>
      <c r="F118" s="37">
        <f>F116*E118</f>
        <v>253.87199999999999</v>
      </c>
      <c r="G118" s="32"/>
      <c r="H118" s="244"/>
      <c r="I118" s="33">
        <v>20.329999999999998</v>
      </c>
      <c r="J118" s="73">
        <f>F118*I118</f>
        <v>5161.2177599999995</v>
      </c>
      <c r="K118" s="263">
        <f t="shared" si="8"/>
        <v>5161.2177599999995</v>
      </c>
      <c r="L118" s="1"/>
    </row>
    <row r="119" spans="1:12" s="45" customFormat="1" ht="25.5" hidden="1" customHeight="1">
      <c r="A119" s="288">
        <f>A116+1</f>
        <v>23</v>
      </c>
      <c r="B119" s="61" t="s">
        <v>79</v>
      </c>
      <c r="C119" s="38" t="s">
        <v>29</v>
      </c>
      <c r="D119" s="38" t="s">
        <v>30</v>
      </c>
      <c r="E119" s="102"/>
      <c r="F119" s="97">
        <f>F110</f>
        <v>52.89</v>
      </c>
      <c r="G119" s="32">
        <v>250</v>
      </c>
      <c r="H119" s="235">
        <f>F119*G119</f>
        <v>13222.5</v>
      </c>
      <c r="I119" s="33"/>
      <c r="J119" s="66"/>
      <c r="K119" s="260">
        <f t="shared" si="8"/>
        <v>13222.5</v>
      </c>
      <c r="L119" s="1"/>
    </row>
    <row r="120" spans="1:12" s="44" customFormat="1" ht="15" hidden="1" customHeight="1">
      <c r="A120" s="284"/>
      <c r="B120" s="105" t="s">
        <v>80</v>
      </c>
      <c r="C120" s="38" t="s">
        <v>29</v>
      </c>
      <c r="D120" s="70" t="s">
        <v>81</v>
      </c>
      <c r="E120" s="102">
        <f>(499*0.085*1.02)/1000</f>
        <v>4.3263300000000011E-2</v>
      </c>
      <c r="F120" s="37">
        <f>F119*E120</f>
        <v>2.2881959370000007</v>
      </c>
      <c r="G120" s="32"/>
      <c r="H120" s="244"/>
      <c r="I120" s="33">
        <v>5473.05</v>
      </c>
      <c r="J120" s="73">
        <f t="shared" ref="J120:J126" si="9">F120*I120</f>
        <v>12523.410772997855</v>
      </c>
      <c r="K120" s="263">
        <f t="shared" si="8"/>
        <v>12523.410772997855</v>
      </c>
      <c r="L120" s="1"/>
    </row>
    <row r="121" spans="1:12" s="44" customFormat="1" ht="15" hidden="1" customHeight="1">
      <c r="A121" s="284"/>
      <c r="B121" s="105" t="s">
        <v>82</v>
      </c>
      <c r="C121" s="38" t="s">
        <v>29</v>
      </c>
      <c r="D121" s="70" t="s">
        <v>81</v>
      </c>
      <c r="E121" s="102">
        <f>(1792*0.8*0.085*1.02)/1000</f>
        <v>0.12429312000000003</v>
      </c>
      <c r="F121" s="37">
        <f>F119*E121</f>
        <v>6.5738631168000019</v>
      </c>
      <c r="G121" s="32"/>
      <c r="H121" s="244"/>
      <c r="I121" s="33">
        <v>823.63</v>
      </c>
      <c r="J121" s="73">
        <f t="shared" si="9"/>
        <v>5414.4308788899853</v>
      </c>
      <c r="K121" s="263">
        <f t="shared" si="8"/>
        <v>5414.4308788899853</v>
      </c>
      <c r="L121" s="1"/>
    </row>
    <row r="122" spans="1:12" s="45" customFormat="1" ht="15" hidden="1" customHeight="1">
      <c r="A122" s="284"/>
      <c r="B122" s="105" t="s">
        <v>83</v>
      </c>
      <c r="C122" s="38" t="s">
        <v>29</v>
      </c>
      <c r="D122" s="70" t="s">
        <v>81</v>
      </c>
      <c r="E122" s="102">
        <f>(1792*0.2*0.085*1.02)/1000</f>
        <v>3.1073280000000009E-2</v>
      </c>
      <c r="F122" s="37">
        <f>F119*E122</f>
        <v>1.6434657792000005</v>
      </c>
      <c r="G122" s="32"/>
      <c r="H122" s="110"/>
      <c r="I122" s="33">
        <v>374.49299999999999</v>
      </c>
      <c r="J122" s="73">
        <f t="shared" si="9"/>
        <v>615.46643004994576</v>
      </c>
      <c r="K122" s="263">
        <f t="shared" si="8"/>
        <v>615.46643004994576</v>
      </c>
      <c r="L122" s="1"/>
    </row>
    <row r="123" spans="1:12" s="45" customFormat="1" ht="15" hidden="1" customHeight="1">
      <c r="A123" s="284"/>
      <c r="B123" s="105" t="s">
        <v>84</v>
      </c>
      <c r="C123" s="38" t="s">
        <v>29</v>
      </c>
      <c r="D123" s="70" t="s">
        <v>41</v>
      </c>
      <c r="E123" s="102">
        <v>1.1000000000000001</v>
      </c>
      <c r="F123" s="37">
        <f>F119*E123</f>
        <v>58.179000000000002</v>
      </c>
      <c r="G123" s="32"/>
      <c r="H123" s="110"/>
      <c r="I123" s="33">
        <v>115.91449999999999</v>
      </c>
      <c r="J123" s="73">
        <f t="shared" si="9"/>
        <v>6743.7896954999997</v>
      </c>
      <c r="K123" s="263">
        <f t="shared" si="8"/>
        <v>6743.7896954999997</v>
      </c>
      <c r="L123" s="1"/>
    </row>
    <row r="124" spans="1:12" s="44" customFormat="1" ht="15" hidden="1" customHeight="1">
      <c r="A124" s="284"/>
      <c r="B124" s="105" t="s">
        <v>85</v>
      </c>
      <c r="C124" s="38" t="s">
        <v>29</v>
      </c>
      <c r="D124" s="70" t="s">
        <v>81</v>
      </c>
      <c r="E124" s="102">
        <f>0.21/1000</f>
        <v>2.0999999999999998E-4</v>
      </c>
      <c r="F124" s="37">
        <f>F119*E124</f>
        <v>1.1106899999999999E-2</v>
      </c>
      <c r="G124" s="32"/>
      <c r="H124" s="244"/>
      <c r="I124" s="33">
        <v>56431.8</v>
      </c>
      <c r="J124" s="73">
        <f t="shared" si="9"/>
        <v>626.78235942000003</v>
      </c>
      <c r="K124" s="263">
        <f t="shared" si="8"/>
        <v>626.78235942000003</v>
      </c>
      <c r="L124" s="1"/>
    </row>
    <row r="125" spans="1:12" s="45" customFormat="1" ht="15" hidden="1" customHeight="1">
      <c r="A125" s="284"/>
      <c r="B125" s="105" t="s">
        <v>86</v>
      </c>
      <c r="C125" s="38" t="s">
        <v>29</v>
      </c>
      <c r="D125" s="70" t="s">
        <v>56</v>
      </c>
      <c r="E125" s="102">
        <v>4</v>
      </c>
      <c r="F125" s="37">
        <f>F119*E125</f>
        <v>211.56</v>
      </c>
      <c r="G125" s="32"/>
      <c r="H125" s="110"/>
      <c r="I125" s="33">
        <v>0.67135999999999996</v>
      </c>
      <c r="J125" s="73">
        <f t="shared" si="9"/>
        <v>142.03292159999998</v>
      </c>
      <c r="K125" s="263">
        <f t="shared" si="8"/>
        <v>142.03292159999998</v>
      </c>
      <c r="L125" s="1"/>
    </row>
    <row r="126" spans="1:12" s="44" customFormat="1" ht="15" hidden="1" customHeight="1">
      <c r="A126" s="284"/>
      <c r="B126" s="105" t="s">
        <v>87</v>
      </c>
      <c r="C126" s="38" t="s">
        <v>29</v>
      </c>
      <c r="D126" s="70" t="s">
        <v>58</v>
      </c>
      <c r="E126" s="102"/>
      <c r="F126" s="37">
        <f>F119</f>
        <v>52.89</v>
      </c>
      <c r="G126" s="32"/>
      <c r="H126" s="244"/>
      <c r="I126" s="33">
        <v>7.0979999999999999</v>
      </c>
      <c r="J126" s="73">
        <f t="shared" si="9"/>
        <v>375.41322000000002</v>
      </c>
      <c r="K126" s="263">
        <f t="shared" si="8"/>
        <v>375.41322000000002</v>
      </c>
      <c r="L126" s="1"/>
    </row>
    <row r="127" spans="1:12" s="45" customFormat="1" ht="15" hidden="1" customHeight="1">
      <c r="A127" s="288">
        <f>A119+1</f>
        <v>24</v>
      </c>
      <c r="B127" s="61" t="s">
        <v>91</v>
      </c>
      <c r="C127" s="38" t="s">
        <v>29</v>
      </c>
      <c r="D127" s="38" t="s">
        <v>30</v>
      </c>
      <c r="E127" s="102"/>
      <c r="F127" s="97">
        <f>F110</f>
        <v>52.89</v>
      </c>
      <c r="G127" s="32">
        <v>50</v>
      </c>
      <c r="H127" s="235">
        <f>F127*G127</f>
        <v>2644.5</v>
      </c>
      <c r="I127" s="33"/>
      <c r="J127" s="66"/>
      <c r="K127" s="260">
        <f t="shared" si="8"/>
        <v>2644.5</v>
      </c>
      <c r="L127" s="1"/>
    </row>
    <row r="128" spans="1:12" s="45" customFormat="1" ht="15" hidden="1" customHeight="1">
      <c r="A128" s="284"/>
      <c r="B128" s="105" t="s">
        <v>92</v>
      </c>
      <c r="C128" s="38" t="s">
        <v>29</v>
      </c>
      <c r="D128" s="70" t="s">
        <v>41</v>
      </c>
      <c r="E128" s="102">
        <v>1.1000000000000001</v>
      </c>
      <c r="F128" s="37">
        <f>F127*E128</f>
        <v>58.179000000000002</v>
      </c>
      <c r="G128" s="32"/>
      <c r="H128" s="110"/>
      <c r="I128" s="33">
        <v>14.05</v>
      </c>
      <c r="J128" s="73">
        <f>F128*I128</f>
        <v>817.41495000000009</v>
      </c>
      <c r="K128" s="263">
        <f t="shared" si="8"/>
        <v>817.41495000000009</v>
      </c>
      <c r="L128" s="1"/>
    </row>
    <row r="129" spans="1:12" s="44" customFormat="1" ht="15" hidden="1" customHeight="1">
      <c r="A129" s="284"/>
      <c r="B129" s="105" t="s">
        <v>93</v>
      </c>
      <c r="C129" s="38" t="s">
        <v>29</v>
      </c>
      <c r="D129" s="70" t="s">
        <v>58</v>
      </c>
      <c r="E129" s="102"/>
      <c r="F129" s="37">
        <f>F127*E129</f>
        <v>0</v>
      </c>
      <c r="G129" s="32"/>
      <c r="H129" s="244"/>
      <c r="I129" s="33">
        <v>4.96</v>
      </c>
      <c r="J129" s="73">
        <f>F129*I129</f>
        <v>0</v>
      </c>
      <c r="K129" s="263">
        <f t="shared" si="8"/>
        <v>0</v>
      </c>
      <c r="L129" s="1"/>
    </row>
    <row r="130" spans="1:12" s="45" customFormat="1" ht="15" hidden="1" customHeight="1">
      <c r="A130" s="288">
        <f>A127+1</f>
        <v>25</v>
      </c>
      <c r="B130" s="61" t="s">
        <v>94</v>
      </c>
      <c r="C130" s="38" t="s">
        <v>29</v>
      </c>
      <c r="D130" s="38" t="s">
        <v>30</v>
      </c>
      <c r="E130" s="102"/>
      <c r="F130" s="97">
        <f>F110</f>
        <v>52.89</v>
      </c>
      <c r="G130" s="32">
        <v>350</v>
      </c>
      <c r="H130" s="235">
        <f>F130*G130</f>
        <v>18511.5</v>
      </c>
      <c r="I130" s="33"/>
      <c r="J130" s="66"/>
      <c r="K130" s="260">
        <f t="shared" si="8"/>
        <v>18511.5</v>
      </c>
      <c r="L130" s="1"/>
    </row>
    <row r="131" spans="1:12" s="45" customFormat="1" ht="15" hidden="1" customHeight="1">
      <c r="A131" s="284"/>
      <c r="B131" s="105" t="s">
        <v>95</v>
      </c>
      <c r="C131" s="38" t="s">
        <v>29</v>
      </c>
      <c r="D131" s="70" t="s">
        <v>96</v>
      </c>
      <c r="E131" s="102">
        <f>0.3*1.02</f>
        <v>0.30599999999999999</v>
      </c>
      <c r="F131" s="37">
        <f>F130*E131</f>
        <v>16.184339999999999</v>
      </c>
      <c r="G131" s="32"/>
      <c r="H131" s="110"/>
      <c r="I131" s="33">
        <v>2448.1561999999999</v>
      </c>
      <c r="J131" s="73">
        <f>F131*I131</f>
        <v>39621.792313907994</v>
      </c>
      <c r="K131" s="263">
        <f t="shared" si="8"/>
        <v>39621.792313907994</v>
      </c>
      <c r="L131" s="1"/>
    </row>
    <row r="132" spans="1:12" s="45" customFormat="1" ht="15" hidden="1" customHeight="1">
      <c r="A132" s="284"/>
      <c r="B132" s="105"/>
      <c r="C132" s="75"/>
      <c r="D132" s="70"/>
      <c r="E132" s="64"/>
      <c r="F132" s="37"/>
      <c r="G132" s="32"/>
      <c r="H132" s="110"/>
      <c r="I132" s="33"/>
      <c r="J132" s="73"/>
      <c r="K132" s="263"/>
      <c r="L132" s="1"/>
    </row>
    <row r="133" spans="1:12" s="45" customFormat="1" ht="15" hidden="1" customHeight="1">
      <c r="A133" s="282"/>
      <c r="B133" s="117" t="s">
        <v>97</v>
      </c>
      <c r="C133" s="265"/>
      <c r="D133" s="266"/>
      <c r="E133" s="267"/>
      <c r="F133" s="266"/>
      <c r="G133" s="57"/>
      <c r="H133" s="266"/>
      <c r="I133" s="59"/>
      <c r="J133" s="268"/>
      <c r="K133" s="269"/>
      <c r="L133" s="1"/>
    </row>
    <row r="134" spans="1:12" s="45" customFormat="1" ht="15" hidden="1" customHeight="1">
      <c r="A134" s="288">
        <f>A130+1</f>
        <v>26</v>
      </c>
      <c r="B134" s="61" t="s">
        <v>77</v>
      </c>
      <c r="C134" s="38" t="s">
        <v>23</v>
      </c>
      <c r="D134" s="38" t="s">
        <v>30</v>
      </c>
      <c r="E134" s="102"/>
      <c r="F134" s="97">
        <v>208.22</v>
      </c>
      <c r="G134" s="32">
        <v>670</v>
      </c>
      <c r="H134" s="235">
        <f>F134*G134</f>
        <v>139507.4</v>
      </c>
      <c r="I134" s="33"/>
      <c r="J134" s="66"/>
      <c r="K134" s="260">
        <f t="shared" ref="K134:K154" si="10">H134+J134</f>
        <v>139507.4</v>
      </c>
      <c r="L134" s="1"/>
    </row>
    <row r="135" spans="1:12" s="45" customFormat="1" ht="15" hidden="1" customHeight="1">
      <c r="A135" s="284"/>
      <c r="B135" s="105" t="s">
        <v>24</v>
      </c>
      <c r="C135" s="38" t="s">
        <v>23</v>
      </c>
      <c r="D135" s="70" t="s">
        <v>41</v>
      </c>
      <c r="E135" s="102">
        <v>1.1000000000000001</v>
      </c>
      <c r="F135" s="37">
        <f>F134*E135</f>
        <v>229.04200000000003</v>
      </c>
      <c r="G135" s="32"/>
      <c r="H135" s="110"/>
      <c r="I135" s="33">
        <v>401.24249999999995</v>
      </c>
      <c r="J135" s="73">
        <f>F135*I135</f>
        <v>91901.384684999997</v>
      </c>
      <c r="K135" s="263">
        <f t="shared" si="10"/>
        <v>91901.384684999997</v>
      </c>
      <c r="L135" s="1"/>
    </row>
    <row r="136" spans="1:12" s="44" customFormat="1" ht="15" hidden="1" customHeight="1">
      <c r="A136" s="284"/>
      <c r="B136" s="105" t="s">
        <v>34</v>
      </c>
      <c r="C136" s="38" t="s">
        <v>23</v>
      </c>
      <c r="D136" s="70" t="s">
        <v>21</v>
      </c>
      <c r="E136" s="102">
        <v>0.2</v>
      </c>
      <c r="F136" s="37">
        <f>F134*E136</f>
        <v>41.644000000000005</v>
      </c>
      <c r="G136" s="32"/>
      <c r="H136" s="244"/>
      <c r="I136" s="33">
        <v>37.450000000000003</v>
      </c>
      <c r="J136" s="73">
        <f>F136*I136</f>
        <v>1559.5678000000003</v>
      </c>
      <c r="K136" s="263">
        <f t="shared" si="10"/>
        <v>1559.5678000000003</v>
      </c>
      <c r="L136" s="1"/>
    </row>
    <row r="137" spans="1:12" s="44" customFormat="1" ht="15" hidden="1" customHeight="1">
      <c r="A137" s="284"/>
      <c r="B137" s="105" t="s">
        <v>71</v>
      </c>
      <c r="C137" s="38" t="s">
        <v>23</v>
      </c>
      <c r="D137" s="70" t="s">
        <v>19</v>
      </c>
      <c r="E137" s="102">
        <v>7.6</v>
      </c>
      <c r="F137" s="37">
        <f>F134*E137</f>
        <v>1582.472</v>
      </c>
      <c r="G137" s="32"/>
      <c r="H137" s="244"/>
      <c r="I137" s="33">
        <v>7.6</v>
      </c>
      <c r="J137" s="73">
        <f>F137*I137</f>
        <v>12026.787199999999</v>
      </c>
      <c r="K137" s="263">
        <f t="shared" si="10"/>
        <v>12026.787199999999</v>
      </c>
      <c r="L137" s="1"/>
    </row>
    <row r="138" spans="1:12" s="45" customFormat="1" ht="15" hidden="1" customHeight="1">
      <c r="A138" s="284"/>
      <c r="B138" s="105" t="s">
        <v>72</v>
      </c>
      <c r="C138" s="38" t="s">
        <v>23</v>
      </c>
      <c r="D138" s="70" t="s">
        <v>56</v>
      </c>
      <c r="E138" s="102">
        <v>11</v>
      </c>
      <c r="F138" s="37">
        <f>F134*E138</f>
        <v>2290.42</v>
      </c>
      <c r="G138" s="32"/>
      <c r="H138" s="110"/>
      <c r="I138" s="33">
        <v>1.3007599999999999</v>
      </c>
      <c r="J138" s="73">
        <f>F138*I138</f>
        <v>2979.2867191999999</v>
      </c>
      <c r="K138" s="263">
        <f t="shared" si="10"/>
        <v>2979.2867191999999</v>
      </c>
      <c r="L138" s="1"/>
    </row>
    <row r="139" spans="1:12" s="44" customFormat="1" ht="15" hidden="1" customHeight="1">
      <c r="A139" s="284"/>
      <c r="B139" s="105" t="s">
        <v>73</v>
      </c>
      <c r="C139" s="38" t="s">
        <v>23</v>
      </c>
      <c r="D139" s="70" t="s">
        <v>19</v>
      </c>
      <c r="E139" s="102">
        <v>0.4</v>
      </c>
      <c r="F139" s="37">
        <f>F134*E139</f>
        <v>83.288000000000011</v>
      </c>
      <c r="G139" s="32"/>
      <c r="H139" s="244"/>
      <c r="I139" s="33">
        <v>123.5</v>
      </c>
      <c r="J139" s="73">
        <f>F139*I139</f>
        <v>10286.068000000001</v>
      </c>
      <c r="K139" s="263">
        <f t="shared" si="10"/>
        <v>10286.068000000001</v>
      </c>
      <c r="L139" s="1"/>
    </row>
    <row r="140" spans="1:12" s="45" customFormat="1" ht="25.5" hidden="1" customHeight="1">
      <c r="A140" s="288">
        <f>A134+1</f>
        <v>27</v>
      </c>
      <c r="B140" s="61" t="s">
        <v>183</v>
      </c>
      <c r="C140" s="38" t="s">
        <v>29</v>
      </c>
      <c r="D140" s="38" t="s">
        <v>30</v>
      </c>
      <c r="E140" s="102"/>
      <c r="F140" s="97">
        <f>F134</f>
        <v>208.22</v>
      </c>
      <c r="G140" s="32">
        <v>250</v>
      </c>
      <c r="H140" s="235">
        <f>F140*G140</f>
        <v>52055</v>
      </c>
      <c r="I140" s="33"/>
      <c r="J140" s="66"/>
      <c r="K140" s="260">
        <f t="shared" si="10"/>
        <v>52055</v>
      </c>
      <c r="L140" s="1"/>
    </row>
    <row r="141" spans="1:12" s="44" customFormat="1" ht="15" hidden="1" customHeight="1">
      <c r="A141" s="284"/>
      <c r="B141" s="105" t="s">
        <v>80</v>
      </c>
      <c r="C141" s="38" t="s">
        <v>29</v>
      </c>
      <c r="D141" s="70" t="s">
        <v>81</v>
      </c>
      <c r="E141" s="102">
        <f>(499*0.08*1.02)/1000</f>
        <v>4.0718400000000002E-2</v>
      </c>
      <c r="F141" s="37">
        <f>F140*E141</f>
        <v>8.4783852480000004</v>
      </c>
      <c r="G141" s="32"/>
      <c r="H141" s="244"/>
      <c r="I141" s="33">
        <v>5473.05</v>
      </c>
      <c r="J141" s="73">
        <f t="shared" ref="J141:J147" si="11">F141*I141</f>
        <v>46402.626381566406</v>
      </c>
      <c r="K141" s="263">
        <f t="shared" si="10"/>
        <v>46402.626381566406</v>
      </c>
      <c r="L141" s="1"/>
    </row>
    <row r="142" spans="1:12" s="44" customFormat="1" ht="15" hidden="1" customHeight="1">
      <c r="A142" s="284"/>
      <c r="B142" s="105" t="s">
        <v>82</v>
      </c>
      <c r="C142" s="38" t="s">
        <v>29</v>
      </c>
      <c r="D142" s="70" t="s">
        <v>81</v>
      </c>
      <c r="E142" s="102">
        <f>(1792*0.8*0.08*1.02)/1000</f>
        <v>0.11698176000000002</v>
      </c>
      <c r="F142" s="37">
        <f>F140*E142</f>
        <v>24.357942067200003</v>
      </c>
      <c r="G142" s="32"/>
      <c r="H142" s="244"/>
      <c r="I142" s="33">
        <v>823.63</v>
      </c>
      <c r="J142" s="73">
        <f t="shared" si="11"/>
        <v>20061.93182480794</v>
      </c>
      <c r="K142" s="263">
        <f t="shared" si="10"/>
        <v>20061.93182480794</v>
      </c>
      <c r="L142" s="1"/>
    </row>
    <row r="143" spans="1:12" s="45" customFormat="1" ht="15" hidden="1" customHeight="1">
      <c r="A143" s="283"/>
      <c r="B143" s="105" t="s">
        <v>83</v>
      </c>
      <c r="C143" s="38" t="s">
        <v>29</v>
      </c>
      <c r="D143" s="70" t="s">
        <v>81</v>
      </c>
      <c r="E143" s="102">
        <f>(1792*0.2*0.08*1.02)/1000</f>
        <v>2.9245440000000004E-2</v>
      </c>
      <c r="F143" s="37">
        <f>F140*E143</f>
        <v>6.0894855168000008</v>
      </c>
      <c r="G143" s="32"/>
      <c r="H143" s="110"/>
      <c r="I143" s="33">
        <v>374.49299999999999</v>
      </c>
      <c r="J143" s="73">
        <f t="shared" si="11"/>
        <v>2280.4696996429825</v>
      </c>
      <c r="K143" s="263">
        <f t="shared" si="10"/>
        <v>2280.4696996429825</v>
      </c>
      <c r="L143" s="1"/>
    </row>
    <row r="144" spans="1:12" s="45" customFormat="1" ht="15" hidden="1" customHeight="1">
      <c r="A144" s="284"/>
      <c r="B144" s="105" t="s">
        <v>84</v>
      </c>
      <c r="C144" s="38" t="s">
        <v>29</v>
      </c>
      <c r="D144" s="70" t="s">
        <v>41</v>
      </c>
      <c r="E144" s="102">
        <v>1.1000000000000001</v>
      </c>
      <c r="F144" s="37">
        <f>F140*E144</f>
        <v>229.04200000000003</v>
      </c>
      <c r="G144" s="32"/>
      <c r="H144" s="110"/>
      <c r="I144" s="33">
        <v>115.91449999999999</v>
      </c>
      <c r="J144" s="73">
        <f t="shared" si="11"/>
        <v>26549.288909000003</v>
      </c>
      <c r="K144" s="263">
        <f t="shared" si="10"/>
        <v>26549.288909000003</v>
      </c>
      <c r="L144" s="1"/>
    </row>
    <row r="145" spans="1:12" s="44" customFormat="1" ht="15" hidden="1" customHeight="1">
      <c r="A145" s="284"/>
      <c r="B145" s="105" t="s">
        <v>85</v>
      </c>
      <c r="C145" s="38" t="s">
        <v>29</v>
      </c>
      <c r="D145" s="70" t="s">
        <v>81</v>
      </c>
      <c r="E145" s="102">
        <f>0.21/1000</f>
        <v>2.0999999999999998E-4</v>
      </c>
      <c r="F145" s="37">
        <f>F140*E145</f>
        <v>4.3726199999999993E-2</v>
      </c>
      <c r="G145" s="32"/>
      <c r="H145" s="244"/>
      <c r="I145" s="33">
        <v>56431.8</v>
      </c>
      <c r="J145" s="73">
        <f t="shared" si="11"/>
        <v>2467.5481731599998</v>
      </c>
      <c r="K145" s="263">
        <f t="shared" si="10"/>
        <v>2467.5481731599998</v>
      </c>
      <c r="L145" s="1"/>
    </row>
    <row r="146" spans="1:12" s="45" customFormat="1" ht="15" hidden="1" customHeight="1">
      <c r="A146" s="284"/>
      <c r="B146" s="105" t="s">
        <v>86</v>
      </c>
      <c r="C146" s="38" t="s">
        <v>29</v>
      </c>
      <c r="D146" s="70" t="s">
        <v>56</v>
      </c>
      <c r="E146" s="102">
        <v>4</v>
      </c>
      <c r="F146" s="37">
        <f>F140*E146</f>
        <v>832.88</v>
      </c>
      <c r="G146" s="32"/>
      <c r="H146" s="110"/>
      <c r="I146" s="33">
        <v>0.67135999999999996</v>
      </c>
      <c r="J146" s="73">
        <f t="shared" si="11"/>
        <v>559.16231679999999</v>
      </c>
      <c r="K146" s="263">
        <f t="shared" si="10"/>
        <v>559.16231679999999</v>
      </c>
      <c r="L146" s="1"/>
    </row>
    <row r="147" spans="1:12" s="44" customFormat="1" ht="15" hidden="1" customHeight="1">
      <c r="A147" s="284"/>
      <c r="B147" s="105" t="s">
        <v>87</v>
      </c>
      <c r="C147" s="38" t="s">
        <v>29</v>
      </c>
      <c r="D147" s="70" t="s">
        <v>58</v>
      </c>
      <c r="E147" s="102"/>
      <c r="F147" s="37">
        <f>F140</f>
        <v>208.22</v>
      </c>
      <c r="G147" s="32"/>
      <c r="H147" s="244"/>
      <c r="I147" s="33">
        <v>7.0979999999999999</v>
      </c>
      <c r="J147" s="73">
        <f t="shared" si="11"/>
        <v>1477.9455599999999</v>
      </c>
      <c r="K147" s="263">
        <f t="shared" si="10"/>
        <v>1477.9455599999999</v>
      </c>
      <c r="L147" s="1"/>
    </row>
    <row r="148" spans="1:12" s="45" customFormat="1" ht="25.5" hidden="1" customHeight="1">
      <c r="A148" s="288">
        <f>A140+1</f>
        <v>28</v>
      </c>
      <c r="B148" s="61" t="s">
        <v>98</v>
      </c>
      <c r="C148" s="38" t="s">
        <v>29</v>
      </c>
      <c r="D148" s="38" t="s">
        <v>30</v>
      </c>
      <c r="E148" s="102"/>
      <c r="F148" s="97">
        <f>F134</f>
        <v>208.22</v>
      </c>
      <c r="G148" s="32">
        <v>120</v>
      </c>
      <c r="H148" s="235">
        <f>F148*G148</f>
        <v>24986.400000000001</v>
      </c>
      <c r="I148" s="33"/>
      <c r="J148" s="66"/>
      <c r="K148" s="260">
        <f t="shared" si="10"/>
        <v>24986.400000000001</v>
      </c>
      <c r="L148" s="1"/>
    </row>
    <row r="149" spans="1:12" s="44" customFormat="1" ht="15" hidden="1" customHeight="1">
      <c r="A149" s="284"/>
      <c r="B149" s="105" t="s">
        <v>99</v>
      </c>
      <c r="C149" s="38" t="s">
        <v>29</v>
      </c>
      <c r="D149" s="70" t="s">
        <v>41</v>
      </c>
      <c r="E149" s="102">
        <v>1.1499999999999999</v>
      </c>
      <c r="F149" s="37">
        <f>F148*E149</f>
        <v>239.45299999999997</v>
      </c>
      <c r="G149" s="32"/>
      <c r="H149" s="244"/>
      <c r="I149" s="33">
        <v>161.51</v>
      </c>
      <c r="J149" s="73">
        <f>F149*I149</f>
        <v>38674.054029999992</v>
      </c>
      <c r="K149" s="263">
        <f t="shared" si="10"/>
        <v>38674.054029999992</v>
      </c>
      <c r="L149" s="1"/>
    </row>
    <row r="150" spans="1:12" s="45" customFormat="1" ht="15" hidden="1" customHeight="1">
      <c r="A150" s="284"/>
      <c r="B150" s="105" t="s">
        <v>100</v>
      </c>
      <c r="C150" s="38" t="s">
        <v>29</v>
      </c>
      <c r="D150" s="70" t="s">
        <v>58</v>
      </c>
      <c r="E150" s="102"/>
      <c r="F150" s="37">
        <f>F148</f>
        <v>208.22</v>
      </c>
      <c r="G150" s="32"/>
      <c r="H150" s="110"/>
      <c r="I150" s="33">
        <v>0.90213999999999994</v>
      </c>
      <c r="J150" s="73">
        <f>F150*I150</f>
        <v>187.84359079999999</v>
      </c>
      <c r="K150" s="263">
        <f t="shared" si="10"/>
        <v>187.84359079999999</v>
      </c>
      <c r="L150" s="1"/>
    </row>
    <row r="151" spans="1:12" s="45" customFormat="1" ht="15" hidden="1" customHeight="1">
      <c r="A151" s="288">
        <f>A148+1</f>
        <v>29</v>
      </c>
      <c r="B151" s="61" t="s">
        <v>101</v>
      </c>
      <c r="C151" s="38" t="s">
        <v>29</v>
      </c>
      <c r="D151" s="38" t="s">
        <v>30</v>
      </c>
      <c r="E151" s="102"/>
      <c r="F151" s="97">
        <f>F134</f>
        <v>208.22</v>
      </c>
      <c r="G151" s="32">
        <v>150</v>
      </c>
      <c r="H151" s="235">
        <f>F151*G151</f>
        <v>31233</v>
      </c>
      <c r="I151" s="33"/>
      <c r="J151" s="66"/>
      <c r="K151" s="260">
        <f t="shared" si="10"/>
        <v>31233</v>
      </c>
      <c r="L151" s="1"/>
    </row>
    <row r="152" spans="1:12" s="45" customFormat="1" ht="15" hidden="1" customHeight="1">
      <c r="A152" s="284"/>
      <c r="B152" s="105" t="s">
        <v>102</v>
      </c>
      <c r="C152" s="38" t="s">
        <v>29</v>
      </c>
      <c r="D152" s="70" t="s">
        <v>41</v>
      </c>
      <c r="E152" s="102">
        <f>1.15</f>
        <v>1.1499999999999999</v>
      </c>
      <c r="F152" s="37">
        <f>F151*E152</f>
        <v>239.45299999999997</v>
      </c>
      <c r="G152" s="32"/>
      <c r="H152" s="110"/>
      <c r="I152" s="33">
        <v>38.708099999999995</v>
      </c>
      <c r="J152" s="73">
        <f>F152*I152</f>
        <v>9268.7706692999982</v>
      </c>
      <c r="K152" s="263">
        <f t="shared" si="10"/>
        <v>9268.7706692999982</v>
      </c>
      <c r="L152" s="1"/>
    </row>
    <row r="153" spans="1:12" s="44" customFormat="1" ht="15" hidden="1" customHeight="1">
      <c r="A153" s="284"/>
      <c r="B153" s="105" t="s">
        <v>103</v>
      </c>
      <c r="C153" s="38" t="s">
        <v>29</v>
      </c>
      <c r="D153" s="70" t="s">
        <v>19</v>
      </c>
      <c r="E153" s="102">
        <v>0.3</v>
      </c>
      <c r="F153" s="37">
        <f>F151*E153</f>
        <v>62.465999999999994</v>
      </c>
      <c r="G153" s="32"/>
      <c r="H153" s="244"/>
      <c r="I153" s="33">
        <v>60.6</v>
      </c>
      <c r="J153" s="73">
        <f>F153*I153</f>
        <v>3785.4395999999997</v>
      </c>
      <c r="K153" s="263">
        <f t="shared" si="10"/>
        <v>3785.4395999999997</v>
      </c>
      <c r="L153" s="1"/>
    </row>
    <row r="154" spans="1:12" s="45" customFormat="1" ht="15" hidden="1" customHeight="1">
      <c r="A154" s="288"/>
      <c r="B154" s="105" t="s">
        <v>104</v>
      </c>
      <c r="C154" s="38" t="s">
        <v>29</v>
      </c>
      <c r="D154" s="70" t="s">
        <v>21</v>
      </c>
      <c r="E154" s="64">
        <v>1</v>
      </c>
      <c r="F154" s="37">
        <f>E154*F151</f>
        <v>208.22</v>
      </c>
      <c r="G154" s="32"/>
      <c r="H154" s="110"/>
      <c r="I154" s="33">
        <v>35</v>
      </c>
      <c r="J154" s="73">
        <f>F154*I154</f>
        <v>7287.7</v>
      </c>
      <c r="K154" s="263">
        <f t="shared" si="10"/>
        <v>7287.7</v>
      </c>
      <c r="L154" s="1"/>
    </row>
    <row r="155" spans="1:12" s="45" customFormat="1" ht="15" hidden="1" customHeight="1">
      <c r="A155" s="282"/>
      <c r="B155" s="117" t="s">
        <v>105</v>
      </c>
      <c r="C155" s="265"/>
      <c r="D155" s="266"/>
      <c r="E155" s="267"/>
      <c r="F155" s="266"/>
      <c r="G155" s="57"/>
      <c r="H155" s="266"/>
      <c r="I155" s="59"/>
      <c r="J155" s="268"/>
      <c r="K155" s="269"/>
      <c r="L155" s="1"/>
    </row>
    <row r="156" spans="1:12" s="45" customFormat="1" ht="25.5" hidden="1" customHeight="1">
      <c r="A156" s="288">
        <f>A151+1</f>
        <v>30</v>
      </c>
      <c r="B156" s="61" t="s">
        <v>106</v>
      </c>
      <c r="C156" s="38" t="s">
        <v>23</v>
      </c>
      <c r="D156" s="38" t="s">
        <v>58</v>
      </c>
      <c r="E156" s="64"/>
      <c r="F156" s="97">
        <f>911.9+165.87+62.25</f>
        <v>1140.02</v>
      </c>
      <c r="G156" s="32">
        <v>200</v>
      </c>
      <c r="H156" s="235">
        <f>F156*G156</f>
        <v>228004</v>
      </c>
      <c r="I156" s="33"/>
      <c r="J156" s="66"/>
      <c r="K156" s="260">
        <f>H156+J156</f>
        <v>228004</v>
      </c>
      <c r="L156" s="1"/>
    </row>
    <row r="157" spans="1:12" s="45" customFormat="1" ht="15" hidden="1" customHeight="1">
      <c r="A157" s="284"/>
      <c r="B157" s="105" t="s">
        <v>24</v>
      </c>
      <c r="C157" s="38" t="s">
        <v>23</v>
      </c>
      <c r="D157" s="70" t="s">
        <v>41</v>
      </c>
      <c r="E157" s="64">
        <f>1.1*0.1</f>
        <v>0.11000000000000001</v>
      </c>
      <c r="F157" s="37">
        <f>F156*E157</f>
        <v>125.40220000000001</v>
      </c>
      <c r="G157" s="32"/>
      <c r="H157" s="110"/>
      <c r="I157" s="33">
        <v>401.24249999999995</v>
      </c>
      <c r="J157" s="73">
        <f>F157*I157</f>
        <v>50316.692233499998</v>
      </c>
      <c r="K157" s="263">
        <f>H157+J157</f>
        <v>50316.692233499998</v>
      </c>
      <c r="L157" s="1"/>
    </row>
    <row r="158" spans="1:12" s="44" customFormat="1" ht="15" hidden="1" customHeight="1">
      <c r="A158" s="284"/>
      <c r="B158" s="105" t="s">
        <v>34</v>
      </c>
      <c r="C158" s="38" t="s">
        <v>23</v>
      </c>
      <c r="D158" s="70" t="s">
        <v>21</v>
      </c>
      <c r="E158" s="64">
        <f>0.15*0.1</f>
        <v>1.4999999999999999E-2</v>
      </c>
      <c r="F158" s="37">
        <f>F156*E158</f>
        <v>17.100300000000001</v>
      </c>
      <c r="G158" s="32"/>
      <c r="H158" s="244"/>
      <c r="I158" s="33">
        <v>37.450000000000003</v>
      </c>
      <c r="J158" s="73">
        <f>F158*I158</f>
        <v>640.40623500000004</v>
      </c>
      <c r="K158" s="263">
        <f>H158+J158</f>
        <v>640.40623500000004</v>
      </c>
      <c r="L158" s="1"/>
    </row>
    <row r="159" spans="1:12" s="44" customFormat="1" ht="15" hidden="1" customHeight="1">
      <c r="A159" s="284"/>
      <c r="B159" s="105" t="s">
        <v>71</v>
      </c>
      <c r="C159" s="38" t="s">
        <v>23</v>
      </c>
      <c r="D159" s="70" t="s">
        <v>19</v>
      </c>
      <c r="E159" s="64">
        <f>7.6*0.1</f>
        <v>0.76</v>
      </c>
      <c r="F159" s="37">
        <f>F156*E159</f>
        <v>866.41520000000003</v>
      </c>
      <c r="G159" s="32"/>
      <c r="H159" s="244"/>
      <c r="I159" s="33">
        <v>7.6</v>
      </c>
      <c r="J159" s="73">
        <f>F159*I159</f>
        <v>6584.7555199999997</v>
      </c>
      <c r="K159" s="263">
        <f>H159+J159</f>
        <v>6584.7555199999997</v>
      </c>
      <c r="L159" s="1"/>
    </row>
    <row r="160" spans="1:12" s="44" customFormat="1" ht="15" hidden="1" customHeight="1">
      <c r="A160" s="284"/>
      <c r="B160" s="105" t="s">
        <v>73</v>
      </c>
      <c r="C160" s="38" t="s">
        <v>23</v>
      </c>
      <c r="D160" s="70" t="s">
        <v>19</v>
      </c>
      <c r="E160" s="64">
        <f>0.4*0.1</f>
        <v>4.0000000000000008E-2</v>
      </c>
      <c r="F160" s="37">
        <f>F156*E160</f>
        <v>45.600800000000007</v>
      </c>
      <c r="G160" s="32"/>
      <c r="H160" s="244"/>
      <c r="I160" s="33">
        <v>123.5</v>
      </c>
      <c r="J160" s="73">
        <f>F160*I160</f>
        <v>5631.698800000001</v>
      </c>
      <c r="K160" s="263">
        <f>H160+J160</f>
        <v>5631.698800000001</v>
      </c>
      <c r="L160" s="1"/>
    </row>
    <row r="161" spans="1:12" s="45" customFormat="1" ht="15" hidden="1" customHeight="1">
      <c r="A161" s="289"/>
      <c r="B161" s="76"/>
      <c r="C161" s="77"/>
      <c r="D161" s="76"/>
      <c r="E161" s="106"/>
      <c r="F161" s="107"/>
      <c r="G161" s="32"/>
      <c r="H161" s="81"/>
      <c r="I161" s="33"/>
      <c r="J161" s="82"/>
      <c r="K161" s="264"/>
      <c r="L161" s="1"/>
    </row>
    <row r="162" spans="1:12" s="45" customFormat="1" ht="15" hidden="1" customHeight="1">
      <c r="A162" s="249"/>
      <c r="B162" s="46" t="s">
        <v>107</v>
      </c>
      <c r="C162" s="250"/>
      <c r="D162" s="251"/>
      <c r="E162" s="252"/>
      <c r="F162" s="251"/>
      <c r="G162" s="39"/>
      <c r="H162" s="251"/>
      <c r="I162" s="40"/>
      <c r="J162" s="118"/>
      <c r="K162" s="254"/>
      <c r="L162" s="1"/>
    </row>
    <row r="163" spans="1:12" s="45" customFormat="1" ht="15" hidden="1" customHeight="1">
      <c r="A163" s="255"/>
      <c r="B163" s="24" t="s">
        <v>16</v>
      </c>
      <c r="C163" s="47"/>
      <c r="D163" s="48"/>
      <c r="E163" s="49"/>
      <c r="F163" s="50"/>
      <c r="G163" s="29"/>
      <c r="H163" s="51"/>
      <c r="I163" s="36"/>
      <c r="J163" s="52"/>
      <c r="K163" s="256"/>
      <c r="L163" s="1"/>
    </row>
    <row r="164" spans="1:12" s="45" customFormat="1" ht="25.5" hidden="1" customHeight="1">
      <c r="A164" s="257"/>
      <c r="B164" s="53" t="s">
        <v>108</v>
      </c>
      <c r="C164" s="53"/>
      <c r="D164" s="54"/>
      <c r="E164" s="55"/>
      <c r="F164" s="56"/>
      <c r="G164" s="57"/>
      <c r="H164" s="58"/>
      <c r="I164" s="59"/>
      <c r="J164" s="60"/>
      <c r="K164" s="258"/>
      <c r="L164" s="1"/>
    </row>
    <row r="165" spans="1:12" s="45" customFormat="1" ht="15" hidden="1" customHeight="1">
      <c r="A165" s="259" t="s">
        <v>15</v>
      </c>
      <c r="B165" s="61" t="s">
        <v>28</v>
      </c>
      <c r="C165" s="62" t="s">
        <v>29</v>
      </c>
      <c r="D165" s="63" t="s">
        <v>30</v>
      </c>
      <c r="E165" s="64"/>
      <c r="F165" s="65">
        <f>101.93+119.14+49.73</f>
        <v>270.8</v>
      </c>
      <c r="G165" s="32">
        <v>180</v>
      </c>
      <c r="H165" s="235">
        <f>F165*G165</f>
        <v>48744</v>
      </c>
      <c r="I165" s="33"/>
      <c r="J165" s="66"/>
      <c r="K165" s="260">
        <f>H165+J165</f>
        <v>48744</v>
      </c>
      <c r="L165" s="1"/>
    </row>
    <row r="166" spans="1:12" s="45" customFormat="1" ht="15" hidden="1" customHeight="1">
      <c r="A166" s="259"/>
      <c r="B166" s="41" t="s">
        <v>31</v>
      </c>
      <c r="C166" s="62" t="s">
        <v>29</v>
      </c>
      <c r="D166" s="67" t="s">
        <v>25</v>
      </c>
      <c r="E166" s="64">
        <v>0.02</v>
      </c>
      <c r="F166" s="68">
        <f>E166*F165</f>
        <v>5.4160000000000004</v>
      </c>
      <c r="G166" s="32"/>
      <c r="H166" s="69"/>
      <c r="I166" s="33">
        <v>288.47499999999997</v>
      </c>
      <c r="J166" s="43">
        <f>F166*I166</f>
        <v>1562.3806</v>
      </c>
      <c r="K166" s="261">
        <f>H166+J166</f>
        <v>1562.3806</v>
      </c>
      <c r="L166" s="1"/>
    </row>
    <row r="167" spans="1:12" s="45" customFormat="1" ht="15" customHeight="1">
      <c r="A167" s="262">
        <f>A165+1</f>
        <v>2</v>
      </c>
      <c r="B167" s="61" t="s">
        <v>32</v>
      </c>
      <c r="C167" s="38" t="s">
        <v>20</v>
      </c>
      <c r="D167" s="63" t="s">
        <v>30</v>
      </c>
      <c r="E167" s="64"/>
      <c r="F167" s="65">
        <f>F165</f>
        <v>270.8</v>
      </c>
      <c r="G167" s="32">
        <v>200</v>
      </c>
      <c r="H167" s="235">
        <f>F167*G167</f>
        <v>54160</v>
      </c>
      <c r="I167" s="33"/>
      <c r="J167" s="66"/>
      <c r="K167" s="260">
        <f>H167+J167</f>
        <v>54160</v>
      </c>
      <c r="L167" s="1"/>
    </row>
    <row r="168" spans="1:12" s="44" customFormat="1" ht="25.5" customHeight="1">
      <c r="A168" s="259"/>
      <c r="B168" s="70" t="s">
        <v>33</v>
      </c>
      <c r="C168" s="38" t="s">
        <v>20</v>
      </c>
      <c r="D168" s="71" t="s">
        <v>21</v>
      </c>
      <c r="E168" s="64">
        <v>0.35</v>
      </c>
      <c r="F168" s="72">
        <f>F167*E168</f>
        <v>94.78</v>
      </c>
      <c r="G168" s="32"/>
      <c r="H168" s="236"/>
      <c r="I168" s="33"/>
      <c r="J168" s="73">
        <f>F168*I168</f>
        <v>0</v>
      </c>
      <c r="K168" s="263">
        <f>H168+J168</f>
        <v>0</v>
      </c>
      <c r="L168" s="1"/>
    </row>
    <row r="169" spans="1:12" s="44" customFormat="1" ht="15" customHeight="1">
      <c r="A169" s="259"/>
      <c r="B169" s="74" t="s">
        <v>34</v>
      </c>
      <c r="C169" s="38" t="s">
        <v>20</v>
      </c>
      <c r="D169" s="71" t="s">
        <v>21</v>
      </c>
      <c r="E169" s="64">
        <v>0.15</v>
      </c>
      <c r="F169" s="72">
        <f>F167*E169</f>
        <v>40.619999999999997</v>
      </c>
      <c r="G169" s="32"/>
      <c r="H169" s="236"/>
      <c r="I169" s="33"/>
      <c r="J169" s="73">
        <f>F169*I169</f>
        <v>0</v>
      </c>
      <c r="K169" s="263">
        <f>H169+J169</f>
        <v>0</v>
      </c>
      <c r="L169" s="1"/>
    </row>
    <row r="170" spans="1:12" s="45" customFormat="1" ht="15" hidden="1" customHeight="1">
      <c r="A170" s="257"/>
      <c r="B170" s="76"/>
      <c r="C170" s="77"/>
      <c r="D170" s="78"/>
      <c r="E170" s="79"/>
      <c r="F170" s="80"/>
      <c r="G170" s="32"/>
      <c r="H170" s="81"/>
      <c r="I170" s="33"/>
      <c r="J170" s="82"/>
      <c r="K170" s="264"/>
      <c r="L170" s="1"/>
    </row>
    <row r="171" spans="1:12" s="45" customFormat="1" ht="25.5" hidden="1" customHeight="1">
      <c r="A171" s="257"/>
      <c r="B171" s="53" t="s">
        <v>109</v>
      </c>
      <c r="C171" s="265"/>
      <c r="D171" s="266"/>
      <c r="E171" s="267"/>
      <c r="F171" s="266"/>
      <c r="G171" s="57"/>
      <c r="H171" s="266"/>
      <c r="I171" s="59"/>
      <c r="J171" s="268"/>
      <c r="K171" s="269"/>
      <c r="L171" s="1"/>
    </row>
    <row r="172" spans="1:12" s="45" customFormat="1" ht="15" customHeight="1">
      <c r="A172" s="274">
        <f>A167+1</f>
        <v>3</v>
      </c>
      <c r="B172" s="83" t="s">
        <v>36</v>
      </c>
      <c r="C172" s="19" t="s">
        <v>20</v>
      </c>
      <c r="D172" s="19" t="s">
        <v>30</v>
      </c>
      <c r="E172" s="69"/>
      <c r="F172" s="84">
        <f>998+131.9+103.5+34</f>
        <v>1267.4000000000001</v>
      </c>
      <c r="G172" s="32">
        <v>50</v>
      </c>
      <c r="H172" s="237">
        <f>F172*G172</f>
        <v>63370.000000000007</v>
      </c>
      <c r="I172" s="33"/>
      <c r="J172" s="43"/>
      <c r="K172" s="271">
        <f t="shared" ref="K172:K179" si="12">H172+J172</f>
        <v>63370.000000000007</v>
      </c>
      <c r="L172" s="1"/>
    </row>
    <row r="173" spans="1:12" s="44" customFormat="1" ht="15" customHeight="1">
      <c r="A173" s="272"/>
      <c r="B173" s="85" t="s">
        <v>37</v>
      </c>
      <c r="C173" s="19" t="s">
        <v>20</v>
      </c>
      <c r="D173" s="41" t="s">
        <v>19</v>
      </c>
      <c r="E173" s="21">
        <v>0.15</v>
      </c>
      <c r="F173" s="68">
        <f>E173*F172</f>
        <v>190.11</v>
      </c>
      <c r="G173" s="32"/>
      <c r="H173" s="238"/>
      <c r="I173" s="33"/>
      <c r="J173" s="43">
        <f>F173*I173</f>
        <v>0</v>
      </c>
      <c r="K173" s="273">
        <f t="shared" si="12"/>
        <v>0</v>
      </c>
      <c r="L173" s="1"/>
    </row>
    <row r="174" spans="1:12" s="45" customFormat="1" ht="15" hidden="1" customHeight="1">
      <c r="A174" s="274">
        <f>A172+1</f>
        <v>4</v>
      </c>
      <c r="B174" s="86" t="s">
        <v>38</v>
      </c>
      <c r="C174" s="69" t="s">
        <v>190</v>
      </c>
      <c r="D174" s="19" t="s">
        <v>30</v>
      </c>
      <c r="E174" s="69"/>
      <c r="F174" s="69">
        <f>F172</f>
        <v>1267.4000000000001</v>
      </c>
      <c r="G174" s="241">
        <v>200</v>
      </c>
      <c r="H174" s="237">
        <f>F174*G174</f>
        <v>253480.00000000003</v>
      </c>
      <c r="I174" s="33"/>
      <c r="J174" s="43"/>
      <c r="K174" s="271">
        <f t="shared" si="12"/>
        <v>253480.00000000003</v>
      </c>
      <c r="L174" s="137"/>
    </row>
    <row r="175" spans="1:12" s="44" customFormat="1" ht="15" hidden="1" customHeight="1">
      <c r="A175" s="275"/>
      <c r="B175" s="87" t="s">
        <v>39</v>
      </c>
      <c r="C175" s="69" t="s">
        <v>190</v>
      </c>
      <c r="D175" s="41" t="s">
        <v>19</v>
      </c>
      <c r="E175" s="21">
        <v>5</v>
      </c>
      <c r="F175" s="34">
        <f>E175*F174</f>
        <v>6337</v>
      </c>
      <c r="G175" s="241"/>
      <c r="H175" s="239"/>
      <c r="I175" s="33">
        <v>12.67</v>
      </c>
      <c r="J175" s="43">
        <f>F175*I175</f>
        <v>80289.789999999994</v>
      </c>
      <c r="K175" s="273">
        <f t="shared" si="12"/>
        <v>80289.789999999994</v>
      </c>
      <c r="L175" s="1"/>
    </row>
    <row r="176" spans="1:12" s="45" customFormat="1" ht="15" hidden="1" customHeight="1" thickBot="1">
      <c r="A176" s="275"/>
      <c r="B176" s="88" t="s">
        <v>40</v>
      </c>
      <c r="C176" s="69" t="s">
        <v>190</v>
      </c>
      <c r="D176" s="88" t="s">
        <v>41</v>
      </c>
      <c r="E176" s="89">
        <v>1.05</v>
      </c>
      <c r="F176" s="34">
        <f>E176*F174</f>
        <v>1330.7700000000002</v>
      </c>
      <c r="G176" s="241"/>
      <c r="H176" s="240"/>
      <c r="I176" s="33">
        <v>629.42999999999995</v>
      </c>
      <c r="J176" s="90">
        <f>F176*I176</f>
        <v>837626.56110000005</v>
      </c>
      <c r="K176" s="261">
        <f t="shared" si="12"/>
        <v>837626.56110000005</v>
      </c>
      <c r="L176" s="1"/>
    </row>
    <row r="177" spans="1:14" s="45" customFormat="1" ht="15" customHeight="1">
      <c r="A177" s="274">
        <f>A174+1</f>
        <v>5</v>
      </c>
      <c r="B177" s="61" t="s">
        <v>32</v>
      </c>
      <c r="C177" s="38" t="s">
        <v>20</v>
      </c>
      <c r="D177" s="38" t="s">
        <v>30</v>
      </c>
      <c r="E177" s="64"/>
      <c r="F177" s="97">
        <f>F172</f>
        <v>1267.4000000000001</v>
      </c>
      <c r="G177" s="241">
        <v>200</v>
      </c>
      <c r="H177" s="235">
        <f>F177*G177</f>
        <v>253480.00000000003</v>
      </c>
      <c r="I177" s="33"/>
      <c r="J177" s="66"/>
      <c r="K177" s="260">
        <f t="shared" si="12"/>
        <v>253480.00000000003</v>
      </c>
      <c r="L177" s="1"/>
    </row>
    <row r="178" spans="1:14" s="44" customFormat="1" ht="15" customHeight="1">
      <c r="A178" s="275"/>
      <c r="B178" s="74" t="s">
        <v>48</v>
      </c>
      <c r="C178" s="38" t="s">
        <v>20</v>
      </c>
      <c r="D178" s="70" t="s">
        <v>21</v>
      </c>
      <c r="E178" s="64">
        <v>0.35</v>
      </c>
      <c r="F178" s="68">
        <f>E178*F177</f>
        <v>443.59000000000003</v>
      </c>
      <c r="G178" s="32"/>
      <c r="H178" s="236"/>
      <c r="I178" s="33"/>
      <c r="J178" s="73">
        <f>F178*I178</f>
        <v>0</v>
      </c>
      <c r="K178" s="263">
        <f t="shared" si="12"/>
        <v>0</v>
      </c>
      <c r="L178" s="1"/>
    </row>
    <row r="179" spans="1:14" s="44" customFormat="1" ht="15" customHeight="1">
      <c r="A179" s="276"/>
      <c r="B179" s="98" t="s">
        <v>37</v>
      </c>
      <c r="C179" s="38" t="s">
        <v>20</v>
      </c>
      <c r="D179" s="41" t="s">
        <v>19</v>
      </c>
      <c r="E179" s="21">
        <v>0.15</v>
      </c>
      <c r="F179" s="68">
        <f>E179*F177</f>
        <v>190.11</v>
      </c>
      <c r="G179" s="32"/>
      <c r="H179" s="238"/>
      <c r="I179" s="33"/>
      <c r="J179" s="43">
        <f>F179*I179</f>
        <v>0</v>
      </c>
      <c r="K179" s="273">
        <f t="shared" si="12"/>
        <v>0</v>
      </c>
      <c r="L179" s="1"/>
    </row>
    <row r="180" spans="1:14" s="45" customFormat="1" ht="15" hidden="1" customHeight="1">
      <c r="A180" s="278"/>
      <c r="B180" s="98"/>
      <c r="C180" s="20"/>
      <c r="D180" s="41"/>
      <c r="E180" s="21"/>
      <c r="F180" s="68"/>
      <c r="G180" s="32"/>
      <c r="H180" s="43"/>
      <c r="I180" s="33"/>
      <c r="J180" s="43"/>
      <c r="K180" s="273"/>
      <c r="L180" s="1"/>
    </row>
    <row r="181" spans="1:14" s="45" customFormat="1" ht="15" hidden="1" customHeight="1">
      <c r="A181" s="23"/>
      <c r="B181" s="24" t="s">
        <v>22</v>
      </c>
      <c r="C181" s="25"/>
      <c r="D181" s="26"/>
      <c r="E181" s="27"/>
      <c r="F181" s="28"/>
      <c r="G181" s="29"/>
      <c r="H181" s="29" t="str">
        <f>IF(ISBLANK(G181),"",G181*F181)</f>
        <v/>
      </c>
      <c r="I181" s="36"/>
      <c r="J181" s="30" t="str">
        <f>IF(ISBLANK(I181),"",I181*F181)</f>
        <v/>
      </c>
      <c r="K181" s="290"/>
      <c r="L181" s="1"/>
    </row>
    <row r="182" spans="1:14" s="45" customFormat="1" ht="15" hidden="1" customHeight="1">
      <c r="A182" s="257"/>
      <c r="B182" s="53" t="s">
        <v>110</v>
      </c>
      <c r="C182" s="265"/>
      <c r="D182" s="266"/>
      <c r="E182" s="267"/>
      <c r="F182" s="266"/>
      <c r="G182" s="57"/>
      <c r="H182" s="266"/>
      <c r="I182" s="59"/>
      <c r="J182" s="268"/>
      <c r="K182" s="285"/>
      <c r="L182" s="1"/>
      <c r="M182" s="119"/>
      <c r="N182" s="119"/>
    </row>
    <row r="183" spans="1:14" s="45" customFormat="1" ht="15" customHeight="1">
      <c r="A183" s="262">
        <f>A177+1</f>
        <v>6</v>
      </c>
      <c r="B183" s="61" t="s">
        <v>52</v>
      </c>
      <c r="C183" s="38" t="s">
        <v>20</v>
      </c>
      <c r="D183" s="38" t="s">
        <v>30</v>
      </c>
      <c r="E183" s="102"/>
      <c r="F183" s="97">
        <f>354.7</f>
        <v>354.7</v>
      </c>
      <c r="G183" s="32">
        <v>250</v>
      </c>
      <c r="H183" s="235">
        <f>F183*G183</f>
        <v>88675</v>
      </c>
      <c r="I183" s="33"/>
      <c r="J183" s="66"/>
      <c r="K183" s="260">
        <f t="shared" ref="K183:K191" si="13">H183+J183</f>
        <v>88675</v>
      </c>
      <c r="L183" s="1"/>
    </row>
    <row r="184" spans="1:14" s="44" customFormat="1" ht="15" customHeight="1">
      <c r="A184" s="279"/>
      <c r="B184" s="74" t="s">
        <v>53</v>
      </c>
      <c r="C184" s="38" t="s">
        <v>20</v>
      </c>
      <c r="D184" s="70" t="s">
        <v>19</v>
      </c>
      <c r="E184" s="102">
        <v>1.8</v>
      </c>
      <c r="F184" s="68">
        <f>E184*F183</f>
        <v>638.46</v>
      </c>
      <c r="G184" s="32"/>
      <c r="H184" s="236"/>
      <c r="I184" s="33"/>
      <c r="J184" s="73">
        <f>F184*I184</f>
        <v>0</v>
      </c>
      <c r="K184" s="263">
        <f t="shared" si="13"/>
        <v>0</v>
      </c>
      <c r="L184" s="1"/>
    </row>
    <row r="185" spans="1:14" s="44" customFormat="1" ht="15" customHeight="1">
      <c r="A185" s="279"/>
      <c r="B185" s="74" t="s">
        <v>54</v>
      </c>
      <c r="C185" s="38" t="s">
        <v>20</v>
      </c>
      <c r="D185" s="70" t="s">
        <v>19</v>
      </c>
      <c r="E185" s="102">
        <v>1.8</v>
      </c>
      <c r="F185" s="68">
        <f>E185*F183</f>
        <v>638.46</v>
      </c>
      <c r="G185" s="32"/>
      <c r="H185" s="236"/>
      <c r="I185" s="33"/>
      <c r="J185" s="73">
        <f>F185*I185</f>
        <v>0</v>
      </c>
      <c r="K185" s="263">
        <f t="shared" si="13"/>
        <v>0</v>
      </c>
      <c r="L185" s="1"/>
    </row>
    <row r="186" spans="1:14" s="44" customFormat="1" ht="15" customHeight="1">
      <c r="A186" s="279"/>
      <c r="B186" s="74" t="s">
        <v>34</v>
      </c>
      <c r="C186" s="38" t="s">
        <v>20</v>
      </c>
      <c r="D186" s="70" t="s">
        <v>21</v>
      </c>
      <c r="E186" s="102">
        <v>0.15</v>
      </c>
      <c r="F186" s="68">
        <f>E186*F183</f>
        <v>53.204999999999998</v>
      </c>
      <c r="G186" s="32"/>
      <c r="H186" s="236"/>
      <c r="I186" s="33"/>
      <c r="J186" s="73">
        <f>F186*I186</f>
        <v>0</v>
      </c>
      <c r="K186" s="263">
        <f t="shared" si="13"/>
        <v>0</v>
      </c>
      <c r="L186" s="1"/>
    </row>
    <row r="187" spans="1:14" s="44" customFormat="1" ht="15" customHeight="1">
      <c r="A187" s="279"/>
      <c r="B187" s="74" t="s">
        <v>55</v>
      </c>
      <c r="C187" s="38" t="s">
        <v>20</v>
      </c>
      <c r="D187" s="70" t="s">
        <v>56</v>
      </c>
      <c r="E187" s="102">
        <v>0.1</v>
      </c>
      <c r="F187" s="68">
        <f>E187*F183</f>
        <v>35.47</v>
      </c>
      <c r="G187" s="32"/>
      <c r="H187" s="236"/>
      <c r="I187" s="33"/>
      <c r="J187" s="73">
        <f>F187*I187</f>
        <v>0</v>
      </c>
      <c r="K187" s="263">
        <f t="shared" si="13"/>
        <v>0</v>
      </c>
      <c r="L187" s="1"/>
    </row>
    <row r="188" spans="1:14" s="44" customFormat="1" ht="15" customHeight="1">
      <c r="A188" s="279"/>
      <c r="B188" s="74" t="s">
        <v>57</v>
      </c>
      <c r="C188" s="38" t="s">
        <v>20</v>
      </c>
      <c r="D188" s="70" t="s">
        <v>58</v>
      </c>
      <c r="E188" s="102">
        <v>1.1000000000000001</v>
      </c>
      <c r="F188" s="68">
        <f>E188*F183</f>
        <v>390.17</v>
      </c>
      <c r="G188" s="32"/>
      <c r="H188" s="236"/>
      <c r="I188" s="33"/>
      <c r="J188" s="73">
        <f>F188*I188</f>
        <v>0</v>
      </c>
      <c r="K188" s="263">
        <f t="shared" si="13"/>
        <v>0</v>
      </c>
      <c r="L188" s="1"/>
    </row>
    <row r="189" spans="1:14" s="45" customFormat="1" ht="15" customHeight="1">
      <c r="A189" s="280">
        <f>A183+1</f>
        <v>7</v>
      </c>
      <c r="B189" s="61" t="s">
        <v>59</v>
      </c>
      <c r="C189" s="38" t="s">
        <v>20</v>
      </c>
      <c r="D189" s="38" t="s">
        <v>30</v>
      </c>
      <c r="E189" s="102"/>
      <c r="F189" s="97">
        <f>F183</f>
        <v>354.7</v>
      </c>
      <c r="G189" s="32">
        <v>200</v>
      </c>
      <c r="H189" s="235">
        <f>F189*G189</f>
        <v>70940</v>
      </c>
      <c r="I189" s="33"/>
      <c r="J189" s="66"/>
      <c r="K189" s="260">
        <f t="shared" si="13"/>
        <v>70940</v>
      </c>
      <c r="L189" s="1"/>
    </row>
    <row r="190" spans="1:14" s="44" customFormat="1" ht="25.5" customHeight="1">
      <c r="A190" s="279"/>
      <c r="B190" s="103" t="s">
        <v>60</v>
      </c>
      <c r="C190" s="38" t="s">
        <v>20</v>
      </c>
      <c r="D190" s="70" t="s">
        <v>21</v>
      </c>
      <c r="E190" s="104">
        <v>0.35</v>
      </c>
      <c r="F190" s="68">
        <f>E190*F189</f>
        <v>124.14499999999998</v>
      </c>
      <c r="G190" s="32"/>
      <c r="H190" s="236"/>
      <c r="I190" s="33"/>
      <c r="J190" s="73">
        <f>F190*I190</f>
        <v>0</v>
      </c>
      <c r="K190" s="263">
        <f t="shared" si="13"/>
        <v>0</v>
      </c>
      <c r="L190" s="1"/>
    </row>
    <row r="191" spans="1:14" s="44" customFormat="1" ht="15" customHeight="1">
      <c r="A191" s="279"/>
      <c r="B191" s="105" t="s">
        <v>34</v>
      </c>
      <c r="C191" s="38" t="s">
        <v>20</v>
      </c>
      <c r="D191" s="70" t="s">
        <v>21</v>
      </c>
      <c r="E191" s="102">
        <v>0.15</v>
      </c>
      <c r="F191" s="68">
        <f>E191*F189</f>
        <v>53.204999999999998</v>
      </c>
      <c r="G191" s="32"/>
      <c r="H191" s="236"/>
      <c r="I191" s="33"/>
      <c r="J191" s="73">
        <f>F191*I191</f>
        <v>0</v>
      </c>
      <c r="K191" s="263">
        <f t="shared" si="13"/>
        <v>0</v>
      </c>
      <c r="L191" s="1"/>
    </row>
    <row r="192" spans="1:14" s="45" customFormat="1" ht="15" hidden="1" customHeight="1">
      <c r="A192" s="281"/>
      <c r="B192" s="76"/>
      <c r="C192" s="77"/>
      <c r="D192" s="76"/>
      <c r="E192" s="106"/>
      <c r="F192" s="107"/>
      <c r="G192" s="32"/>
      <c r="H192" s="81"/>
      <c r="I192" s="33"/>
      <c r="J192" s="82"/>
      <c r="K192" s="264"/>
      <c r="L192" s="1"/>
    </row>
    <row r="193" spans="1:12" s="45" customFormat="1" ht="15" hidden="1" customHeight="1">
      <c r="A193" s="257"/>
      <c r="B193" s="53" t="s">
        <v>111</v>
      </c>
      <c r="C193" s="53"/>
      <c r="D193" s="54"/>
      <c r="E193" s="55"/>
      <c r="F193" s="56"/>
      <c r="G193" s="57"/>
      <c r="H193" s="58"/>
      <c r="I193" s="59"/>
      <c r="J193" s="60"/>
      <c r="K193" s="258"/>
      <c r="L193" s="1"/>
    </row>
    <row r="194" spans="1:12" s="45" customFormat="1" ht="15" hidden="1" customHeight="1">
      <c r="A194" s="277">
        <f>A189+1</f>
        <v>8</v>
      </c>
      <c r="B194" s="61" t="s">
        <v>188</v>
      </c>
      <c r="C194" s="62" t="s">
        <v>29</v>
      </c>
      <c r="D194" s="63" t="s">
        <v>30</v>
      </c>
      <c r="E194" s="64"/>
      <c r="F194" s="65">
        <f>124.2+350.09</f>
        <v>474.28999999999996</v>
      </c>
      <c r="G194" s="32">
        <v>180</v>
      </c>
      <c r="H194" s="235">
        <f>F194*G194</f>
        <v>85372.2</v>
      </c>
      <c r="I194" s="33"/>
      <c r="J194" s="66"/>
      <c r="K194" s="260">
        <f>H194+J194</f>
        <v>85372.2</v>
      </c>
      <c r="L194" s="1"/>
    </row>
    <row r="195" spans="1:12" s="45" customFormat="1" ht="15" hidden="1" customHeight="1">
      <c r="A195" s="259"/>
      <c r="B195" s="41" t="s">
        <v>31</v>
      </c>
      <c r="C195" s="62" t="s">
        <v>29</v>
      </c>
      <c r="D195" s="67" t="s">
        <v>25</v>
      </c>
      <c r="E195" s="64">
        <v>0.02</v>
      </c>
      <c r="F195" s="68">
        <f>E195*F194</f>
        <v>9.4857999999999993</v>
      </c>
      <c r="G195" s="32"/>
      <c r="H195" s="69"/>
      <c r="I195" s="33">
        <v>288.47499999999997</v>
      </c>
      <c r="J195" s="43">
        <f>F195*I195</f>
        <v>2736.4161549999994</v>
      </c>
      <c r="K195" s="261">
        <f>H195+J195</f>
        <v>2736.4161549999994</v>
      </c>
      <c r="L195" s="1"/>
    </row>
    <row r="196" spans="1:12" s="45" customFormat="1" ht="15" customHeight="1">
      <c r="A196" s="262">
        <f>A194+1</f>
        <v>9</v>
      </c>
      <c r="B196" s="61" t="s">
        <v>59</v>
      </c>
      <c r="C196" s="38" t="s">
        <v>20</v>
      </c>
      <c r="D196" s="63" t="s">
        <v>30</v>
      </c>
      <c r="E196" s="64"/>
      <c r="F196" s="65">
        <f>F194</f>
        <v>474.28999999999996</v>
      </c>
      <c r="G196" s="241">
        <v>200</v>
      </c>
      <c r="H196" s="235">
        <f>F196*G196</f>
        <v>94858</v>
      </c>
      <c r="I196" s="33"/>
      <c r="J196" s="66"/>
      <c r="K196" s="260">
        <f>H196+J196</f>
        <v>94858</v>
      </c>
      <c r="L196" s="1"/>
    </row>
    <row r="197" spans="1:12" s="44" customFormat="1" ht="25.5" customHeight="1">
      <c r="A197" s="259"/>
      <c r="B197" s="70" t="s">
        <v>33</v>
      </c>
      <c r="C197" s="38" t="s">
        <v>20</v>
      </c>
      <c r="D197" s="71" t="s">
        <v>21</v>
      </c>
      <c r="E197" s="64">
        <v>0.35</v>
      </c>
      <c r="F197" s="72">
        <f>F196*E197</f>
        <v>166.00149999999996</v>
      </c>
      <c r="G197" s="32"/>
      <c r="H197" s="236"/>
      <c r="I197" s="33"/>
      <c r="J197" s="73">
        <f>F197*I197</f>
        <v>0</v>
      </c>
      <c r="K197" s="263">
        <f>H197+J197</f>
        <v>0</v>
      </c>
      <c r="L197" s="1"/>
    </row>
    <row r="198" spans="1:12" s="44" customFormat="1" ht="15" customHeight="1">
      <c r="A198" s="259"/>
      <c r="B198" s="74" t="s">
        <v>34</v>
      </c>
      <c r="C198" s="38" t="s">
        <v>20</v>
      </c>
      <c r="D198" s="71" t="s">
        <v>21</v>
      </c>
      <c r="E198" s="64">
        <v>0.15</v>
      </c>
      <c r="F198" s="72">
        <f>F196*E198</f>
        <v>71.143499999999989</v>
      </c>
      <c r="G198" s="32"/>
      <c r="H198" s="236"/>
      <c r="I198" s="33"/>
      <c r="J198" s="73">
        <f>F198*I198</f>
        <v>0</v>
      </c>
      <c r="K198" s="263">
        <f>H198+J198</f>
        <v>0</v>
      </c>
      <c r="L198" s="1"/>
    </row>
    <row r="199" spans="1:12" s="45" customFormat="1" ht="15" hidden="1" customHeight="1">
      <c r="A199" s="257"/>
      <c r="B199" s="76"/>
      <c r="C199" s="77"/>
      <c r="D199" s="78"/>
      <c r="E199" s="79"/>
      <c r="F199" s="80"/>
      <c r="G199" s="32"/>
      <c r="H199" s="81"/>
      <c r="I199" s="33"/>
      <c r="J199" s="82"/>
      <c r="K199" s="264"/>
      <c r="L199" s="1"/>
    </row>
    <row r="200" spans="1:12" s="45" customFormat="1" ht="15" hidden="1" customHeight="1">
      <c r="A200" s="282"/>
      <c r="B200" s="53" t="s">
        <v>62</v>
      </c>
      <c r="C200" s="53"/>
      <c r="D200" s="54"/>
      <c r="E200" s="108"/>
      <c r="F200" s="56"/>
      <c r="G200" s="57"/>
      <c r="H200" s="58"/>
      <c r="I200" s="59"/>
      <c r="J200" s="60"/>
      <c r="K200" s="258"/>
      <c r="L200" s="1"/>
    </row>
    <row r="201" spans="1:12" s="45" customFormat="1" ht="15" hidden="1" customHeight="1">
      <c r="A201" s="262">
        <f>A196+1</f>
        <v>10</v>
      </c>
      <c r="B201" s="61" t="s">
        <v>63</v>
      </c>
      <c r="C201" s="38" t="s">
        <v>17</v>
      </c>
      <c r="D201" s="38" t="s">
        <v>30</v>
      </c>
      <c r="E201" s="102"/>
      <c r="F201" s="97">
        <v>180.38</v>
      </c>
      <c r="G201" s="32">
        <v>250</v>
      </c>
      <c r="H201" s="235">
        <f>F201*G201</f>
        <v>45095</v>
      </c>
      <c r="I201" s="33"/>
      <c r="J201" s="66"/>
      <c r="K201" s="260">
        <f t="shared" ref="K201:K212" si="14">H201+J201</f>
        <v>45095</v>
      </c>
      <c r="L201" s="1"/>
    </row>
    <row r="202" spans="1:12" s="44" customFormat="1" ht="15" hidden="1" customHeight="1">
      <c r="A202" s="259"/>
      <c r="B202" s="103" t="s">
        <v>64</v>
      </c>
      <c r="C202" s="38" t="s">
        <v>17</v>
      </c>
      <c r="D202" s="70" t="s">
        <v>56</v>
      </c>
      <c r="E202" s="102">
        <v>0.4</v>
      </c>
      <c r="F202" s="37">
        <f>F201*E202</f>
        <v>72.152000000000001</v>
      </c>
      <c r="G202" s="32"/>
      <c r="H202" s="244"/>
      <c r="I202" s="33">
        <v>16.05</v>
      </c>
      <c r="J202" s="73">
        <f>F202*I202</f>
        <v>1158.0396000000001</v>
      </c>
      <c r="K202" s="263">
        <f t="shared" si="14"/>
        <v>1158.0396000000001</v>
      </c>
      <c r="L202" s="1"/>
    </row>
    <row r="203" spans="1:12" s="44" customFormat="1" ht="15" hidden="1" customHeight="1">
      <c r="A203" s="283"/>
      <c r="B203" s="103" t="s">
        <v>65</v>
      </c>
      <c r="C203" s="38" t="s">
        <v>17</v>
      </c>
      <c r="D203" s="70" t="s">
        <v>56</v>
      </c>
      <c r="E203" s="102">
        <v>0.4</v>
      </c>
      <c r="F203" s="37">
        <f>F201*E203</f>
        <v>72.152000000000001</v>
      </c>
      <c r="G203" s="32"/>
      <c r="H203" s="244"/>
      <c r="I203" s="33">
        <v>16.77</v>
      </c>
      <c r="J203" s="73">
        <f>F203*I203</f>
        <v>1209.9890399999999</v>
      </c>
      <c r="K203" s="263">
        <f t="shared" si="14"/>
        <v>1209.9890399999999</v>
      </c>
      <c r="L203" s="1"/>
    </row>
    <row r="204" spans="1:12" s="44" customFormat="1" ht="15" hidden="1" customHeight="1">
      <c r="A204" s="279"/>
      <c r="B204" s="103" t="s">
        <v>66</v>
      </c>
      <c r="C204" s="38" t="s">
        <v>17</v>
      </c>
      <c r="D204" s="70" t="s">
        <v>19</v>
      </c>
      <c r="E204" s="102">
        <v>25</v>
      </c>
      <c r="F204" s="37">
        <f>F201*E204</f>
        <v>4509.5</v>
      </c>
      <c r="G204" s="32"/>
      <c r="H204" s="244"/>
      <c r="I204" s="33">
        <v>4.9960000000000004</v>
      </c>
      <c r="J204" s="73">
        <f>F204*I204</f>
        <v>22529.462000000003</v>
      </c>
      <c r="K204" s="263">
        <f t="shared" si="14"/>
        <v>22529.462000000003</v>
      </c>
      <c r="L204" s="1"/>
    </row>
    <row r="205" spans="1:12" s="44" customFormat="1" ht="15" hidden="1" customHeight="1">
      <c r="A205" s="279"/>
      <c r="B205" s="103" t="s">
        <v>67</v>
      </c>
      <c r="C205" s="38" t="s">
        <v>17</v>
      </c>
      <c r="D205" s="70" t="s">
        <v>19</v>
      </c>
      <c r="E205" s="102">
        <v>0.3</v>
      </c>
      <c r="F205" s="37">
        <f>F201*E205</f>
        <v>54.113999999999997</v>
      </c>
      <c r="G205" s="32"/>
      <c r="H205" s="244"/>
      <c r="I205" s="33">
        <v>70.739999999999995</v>
      </c>
      <c r="J205" s="73">
        <f>F205*I205</f>
        <v>3828.0243599999994</v>
      </c>
      <c r="K205" s="263">
        <f t="shared" si="14"/>
        <v>3828.0243599999994</v>
      </c>
      <c r="L205" s="1"/>
    </row>
    <row r="206" spans="1:12" s="44" customFormat="1" ht="15" hidden="1" customHeight="1" thickBot="1">
      <c r="A206" s="279"/>
      <c r="B206" s="103" t="s">
        <v>68</v>
      </c>
      <c r="C206" s="38" t="s">
        <v>17</v>
      </c>
      <c r="D206" s="70" t="s">
        <v>41</v>
      </c>
      <c r="E206" s="102">
        <v>0.1</v>
      </c>
      <c r="F206" s="37">
        <f>F201*E206</f>
        <v>18.038</v>
      </c>
      <c r="G206" s="32"/>
      <c r="H206" s="244"/>
      <c r="I206" s="33">
        <v>19.170000000000002</v>
      </c>
      <c r="J206" s="73">
        <f>F206*I206</f>
        <v>345.78846000000004</v>
      </c>
      <c r="K206" s="263">
        <f t="shared" si="14"/>
        <v>345.78846000000004</v>
      </c>
      <c r="L206" s="1"/>
    </row>
    <row r="207" spans="1:12" s="45" customFormat="1" ht="15" hidden="1" customHeight="1">
      <c r="A207" s="277">
        <f>A201+1</f>
        <v>11</v>
      </c>
      <c r="B207" s="61" t="s">
        <v>69</v>
      </c>
      <c r="C207" s="38" t="s">
        <v>23</v>
      </c>
      <c r="D207" s="38" t="s">
        <v>30</v>
      </c>
      <c r="E207" s="109"/>
      <c r="F207" s="97">
        <f>F201</f>
        <v>180.38</v>
      </c>
      <c r="G207" s="32">
        <v>1000</v>
      </c>
      <c r="H207" s="235">
        <f>F207*G207</f>
        <v>180380</v>
      </c>
      <c r="I207" s="33"/>
      <c r="J207" s="66"/>
      <c r="K207" s="260">
        <f t="shared" si="14"/>
        <v>180380</v>
      </c>
      <c r="L207" s="1"/>
    </row>
    <row r="208" spans="1:12" s="45" customFormat="1" ht="15" hidden="1" customHeight="1">
      <c r="A208" s="279"/>
      <c r="B208" s="105" t="s">
        <v>70</v>
      </c>
      <c r="C208" s="38" t="s">
        <v>23</v>
      </c>
      <c r="D208" s="70" t="s">
        <v>41</v>
      </c>
      <c r="E208" s="109">
        <v>1.1000000000000001</v>
      </c>
      <c r="F208" s="37">
        <f>F207*E208</f>
        <v>198.41800000000001</v>
      </c>
      <c r="G208" s="32"/>
      <c r="H208" s="110"/>
      <c r="I208" s="33">
        <v>874.16317000000004</v>
      </c>
      <c r="J208" s="73">
        <f>F208*I208</f>
        <v>173449.70786506002</v>
      </c>
      <c r="K208" s="263">
        <f t="shared" si="14"/>
        <v>173449.70786506002</v>
      </c>
      <c r="L208" s="1"/>
    </row>
    <row r="209" spans="1:12" s="44" customFormat="1" ht="15" hidden="1" customHeight="1">
      <c r="A209" s="279"/>
      <c r="B209" s="105" t="s">
        <v>34</v>
      </c>
      <c r="C209" s="38" t="s">
        <v>23</v>
      </c>
      <c r="D209" s="70" t="s">
        <v>21</v>
      </c>
      <c r="E209" s="109">
        <v>0.15</v>
      </c>
      <c r="F209" s="37">
        <f>F207*E209</f>
        <v>27.056999999999999</v>
      </c>
      <c r="G209" s="32"/>
      <c r="H209" s="244"/>
      <c r="I209" s="33">
        <v>37.450000000000003</v>
      </c>
      <c r="J209" s="73">
        <f>F209*I209</f>
        <v>1013.2846500000001</v>
      </c>
      <c r="K209" s="263">
        <f t="shared" si="14"/>
        <v>1013.2846500000001</v>
      </c>
      <c r="L209" s="1"/>
    </row>
    <row r="210" spans="1:12" s="44" customFormat="1" ht="15" hidden="1" customHeight="1">
      <c r="A210" s="279"/>
      <c r="B210" s="105" t="s">
        <v>71</v>
      </c>
      <c r="C210" s="38" t="s">
        <v>23</v>
      </c>
      <c r="D210" s="70" t="s">
        <v>19</v>
      </c>
      <c r="E210" s="109">
        <v>7.6</v>
      </c>
      <c r="F210" s="37">
        <f>F207*E210</f>
        <v>1370.8879999999999</v>
      </c>
      <c r="G210" s="32"/>
      <c r="H210" s="244"/>
      <c r="I210" s="33">
        <v>7.6</v>
      </c>
      <c r="J210" s="73">
        <f>F210*I210</f>
        <v>10418.748799999999</v>
      </c>
      <c r="K210" s="263">
        <f t="shared" si="14"/>
        <v>10418.748799999999</v>
      </c>
      <c r="L210" s="1"/>
    </row>
    <row r="211" spans="1:12" s="45" customFormat="1" ht="15" hidden="1" customHeight="1">
      <c r="A211" s="279"/>
      <c r="B211" s="105" t="s">
        <v>72</v>
      </c>
      <c r="C211" s="38" t="s">
        <v>23</v>
      </c>
      <c r="D211" s="70" t="s">
        <v>56</v>
      </c>
      <c r="E211" s="109">
        <v>11</v>
      </c>
      <c r="F211" s="37">
        <f>F207*E211</f>
        <v>1984.1799999999998</v>
      </c>
      <c r="G211" s="32"/>
      <c r="H211" s="110"/>
      <c r="I211" s="33">
        <v>1.3007599999999999</v>
      </c>
      <c r="J211" s="73">
        <f>F211*I211</f>
        <v>2580.9419767999998</v>
      </c>
      <c r="K211" s="263">
        <f t="shared" si="14"/>
        <v>2580.9419767999998</v>
      </c>
      <c r="L211" s="1"/>
    </row>
    <row r="212" spans="1:12" s="44" customFormat="1" ht="15" hidden="1" customHeight="1">
      <c r="A212" s="279"/>
      <c r="B212" s="105" t="s">
        <v>73</v>
      </c>
      <c r="C212" s="38" t="s">
        <v>23</v>
      </c>
      <c r="D212" s="70" t="s">
        <v>19</v>
      </c>
      <c r="E212" s="109">
        <v>0.4</v>
      </c>
      <c r="F212" s="37">
        <f>F207*E212</f>
        <v>72.152000000000001</v>
      </c>
      <c r="G212" s="32"/>
      <c r="H212" s="244"/>
      <c r="I212" s="33">
        <v>123.5</v>
      </c>
      <c r="J212" s="73">
        <f>F212*I212</f>
        <v>8910.7720000000008</v>
      </c>
      <c r="K212" s="263">
        <f t="shared" si="14"/>
        <v>8910.7720000000008</v>
      </c>
      <c r="L212" s="1"/>
    </row>
    <row r="213" spans="1:12" s="45" customFormat="1" ht="15" hidden="1" customHeight="1">
      <c r="A213" s="281"/>
      <c r="B213" s="76"/>
      <c r="C213" s="77"/>
      <c r="D213" s="76"/>
      <c r="E213" s="106"/>
      <c r="F213" s="107"/>
      <c r="G213" s="32"/>
      <c r="H213" s="81"/>
      <c r="I213" s="33"/>
      <c r="J213" s="82"/>
      <c r="K213" s="264"/>
      <c r="L213" s="1"/>
    </row>
    <row r="214" spans="1:12" s="45" customFormat="1" ht="15" hidden="1" customHeight="1">
      <c r="A214" s="282"/>
      <c r="B214" s="53" t="s">
        <v>112</v>
      </c>
      <c r="C214" s="53"/>
      <c r="D214" s="54"/>
      <c r="E214" s="108"/>
      <c r="F214" s="56"/>
      <c r="G214" s="57"/>
      <c r="H214" s="58"/>
      <c r="I214" s="59"/>
      <c r="J214" s="60"/>
      <c r="K214" s="258"/>
      <c r="L214" s="1"/>
    </row>
    <row r="215" spans="1:12" s="45" customFormat="1" ht="15" customHeight="1">
      <c r="A215" s="277">
        <f>A207+1</f>
        <v>12</v>
      </c>
      <c r="B215" s="61" t="s">
        <v>52</v>
      </c>
      <c r="C215" s="38" t="s">
        <v>20</v>
      </c>
      <c r="D215" s="38" t="s">
        <v>30</v>
      </c>
      <c r="E215" s="109"/>
      <c r="F215" s="97">
        <f>87.14+300+330.1</f>
        <v>717.24</v>
      </c>
      <c r="G215" s="32">
        <v>250</v>
      </c>
      <c r="H215" s="235">
        <f>F215*G215</f>
        <v>179310</v>
      </c>
      <c r="I215" s="33"/>
      <c r="J215" s="66"/>
      <c r="K215" s="260">
        <f t="shared" ref="K215:K223" si="15">H215+J215</f>
        <v>179310</v>
      </c>
      <c r="L215" s="1"/>
    </row>
    <row r="216" spans="1:12" s="44" customFormat="1" ht="15" customHeight="1">
      <c r="A216" s="279"/>
      <c r="B216" s="74" t="s">
        <v>53</v>
      </c>
      <c r="C216" s="38" t="s">
        <v>20</v>
      </c>
      <c r="D216" s="70" t="s">
        <v>19</v>
      </c>
      <c r="E216" s="109">
        <v>1.8</v>
      </c>
      <c r="F216" s="68">
        <f>E216*F215</f>
        <v>1291.0320000000002</v>
      </c>
      <c r="G216" s="32"/>
      <c r="H216" s="236"/>
      <c r="I216" s="33"/>
      <c r="J216" s="73">
        <f>F216*I216</f>
        <v>0</v>
      </c>
      <c r="K216" s="263">
        <f t="shared" si="15"/>
        <v>0</v>
      </c>
      <c r="L216" s="1"/>
    </row>
    <row r="217" spans="1:12" s="44" customFormat="1" ht="15" customHeight="1">
      <c r="A217" s="279"/>
      <c r="B217" s="74" t="s">
        <v>54</v>
      </c>
      <c r="C217" s="38" t="s">
        <v>20</v>
      </c>
      <c r="D217" s="70" t="s">
        <v>19</v>
      </c>
      <c r="E217" s="109">
        <v>1.8</v>
      </c>
      <c r="F217" s="68">
        <f>E217*F215</f>
        <v>1291.0320000000002</v>
      </c>
      <c r="G217" s="32"/>
      <c r="H217" s="236"/>
      <c r="I217" s="33"/>
      <c r="J217" s="73">
        <f>F217*I217</f>
        <v>0</v>
      </c>
      <c r="K217" s="263">
        <f t="shared" si="15"/>
        <v>0</v>
      </c>
      <c r="L217" s="1"/>
    </row>
    <row r="218" spans="1:12" s="44" customFormat="1" ht="15" customHeight="1">
      <c r="A218" s="279"/>
      <c r="B218" s="74" t="s">
        <v>34</v>
      </c>
      <c r="C218" s="38" t="s">
        <v>20</v>
      </c>
      <c r="D218" s="70" t="s">
        <v>21</v>
      </c>
      <c r="E218" s="109">
        <v>0.15</v>
      </c>
      <c r="F218" s="68">
        <f>E218*F215</f>
        <v>107.586</v>
      </c>
      <c r="G218" s="32"/>
      <c r="H218" s="236"/>
      <c r="I218" s="33"/>
      <c r="J218" s="73">
        <f>F218*I218</f>
        <v>0</v>
      </c>
      <c r="K218" s="263">
        <f t="shared" si="15"/>
        <v>0</v>
      </c>
      <c r="L218" s="1"/>
    </row>
    <row r="219" spans="1:12" s="44" customFormat="1" ht="15" customHeight="1">
      <c r="A219" s="279"/>
      <c r="B219" s="74" t="s">
        <v>55</v>
      </c>
      <c r="C219" s="38" t="s">
        <v>20</v>
      </c>
      <c r="D219" s="70" t="s">
        <v>56</v>
      </c>
      <c r="E219" s="109">
        <v>0.1</v>
      </c>
      <c r="F219" s="68">
        <f>E219*F215</f>
        <v>71.724000000000004</v>
      </c>
      <c r="G219" s="32"/>
      <c r="H219" s="236"/>
      <c r="I219" s="33"/>
      <c r="J219" s="73">
        <f>F219*I219</f>
        <v>0</v>
      </c>
      <c r="K219" s="263">
        <f t="shared" si="15"/>
        <v>0</v>
      </c>
      <c r="L219" s="1"/>
    </row>
    <row r="220" spans="1:12" s="44" customFormat="1" ht="15" customHeight="1">
      <c r="A220" s="279"/>
      <c r="B220" s="74" t="s">
        <v>57</v>
      </c>
      <c r="C220" s="38" t="s">
        <v>20</v>
      </c>
      <c r="D220" s="70" t="s">
        <v>58</v>
      </c>
      <c r="E220" s="109">
        <v>1.1000000000000001</v>
      </c>
      <c r="F220" s="68">
        <f>E220*F215</f>
        <v>788.96400000000006</v>
      </c>
      <c r="G220" s="32"/>
      <c r="H220" s="236"/>
      <c r="I220" s="33"/>
      <c r="J220" s="73">
        <f>F220*I220</f>
        <v>0</v>
      </c>
      <c r="K220" s="263">
        <f t="shared" si="15"/>
        <v>0</v>
      </c>
      <c r="L220" s="1"/>
    </row>
    <row r="221" spans="1:12" s="45" customFormat="1" ht="15" customHeight="1">
      <c r="A221" s="280">
        <f>A215+1</f>
        <v>13</v>
      </c>
      <c r="B221" s="61" t="s">
        <v>59</v>
      </c>
      <c r="C221" s="38" t="s">
        <v>20</v>
      </c>
      <c r="D221" s="38" t="s">
        <v>30</v>
      </c>
      <c r="E221" s="109"/>
      <c r="F221" s="97">
        <f>F215</f>
        <v>717.24</v>
      </c>
      <c r="G221" s="32">
        <v>200</v>
      </c>
      <c r="H221" s="235">
        <f>F221*G221</f>
        <v>143448</v>
      </c>
      <c r="I221" s="33"/>
      <c r="J221" s="66"/>
      <c r="K221" s="260">
        <f t="shared" si="15"/>
        <v>143448</v>
      </c>
      <c r="L221" s="1"/>
    </row>
    <row r="222" spans="1:12" s="44" customFormat="1" ht="25.5" customHeight="1">
      <c r="A222" s="279"/>
      <c r="B222" s="103" t="s">
        <v>60</v>
      </c>
      <c r="C222" s="38" t="s">
        <v>20</v>
      </c>
      <c r="D222" s="70" t="s">
        <v>21</v>
      </c>
      <c r="E222" s="64">
        <v>0.35</v>
      </c>
      <c r="F222" s="68">
        <f>E222*F221</f>
        <v>251.03399999999999</v>
      </c>
      <c r="G222" s="32"/>
      <c r="H222" s="236"/>
      <c r="I222" s="33"/>
      <c r="J222" s="73">
        <f>F222*I222</f>
        <v>0</v>
      </c>
      <c r="K222" s="263">
        <f t="shared" si="15"/>
        <v>0</v>
      </c>
      <c r="L222" s="1"/>
    </row>
    <row r="223" spans="1:12" s="44" customFormat="1" ht="15" customHeight="1" thickBot="1">
      <c r="A223" s="279"/>
      <c r="B223" s="105" t="s">
        <v>34</v>
      </c>
      <c r="C223" s="38" t="s">
        <v>20</v>
      </c>
      <c r="D223" s="70" t="s">
        <v>21</v>
      </c>
      <c r="E223" s="109">
        <v>0.15</v>
      </c>
      <c r="F223" s="68">
        <f>E223*F221</f>
        <v>107.586</v>
      </c>
      <c r="G223" s="32"/>
      <c r="H223" s="236"/>
      <c r="I223" s="33"/>
      <c r="J223" s="73">
        <f>F223*I223</f>
        <v>0</v>
      </c>
      <c r="K223" s="263">
        <f t="shared" si="15"/>
        <v>0</v>
      </c>
      <c r="L223" s="1"/>
    </row>
    <row r="224" spans="1:12" s="45" customFormat="1" ht="15" hidden="1" customHeight="1">
      <c r="A224" s="278"/>
      <c r="B224" s="41"/>
      <c r="C224" s="19"/>
      <c r="D224" s="41"/>
      <c r="E224" s="21"/>
      <c r="F224" s="34"/>
      <c r="G224" s="32"/>
      <c r="H224" s="42"/>
      <c r="I224" s="33"/>
      <c r="J224" s="43"/>
      <c r="K224" s="273"/>
      <c r="L224" s="1"/>
    </row>
    <row r="225" spans="1:12" s="45" customFormat="1" ht="15" hidden="1" customHeight="1">
      <c r="A225" s="23"/>
      <c r="B225" s="24" t="s">
        <v>75</v>
      </c>
      <c r="C225" s="25"/>
      <c r="D225" s="26"/>
      <c r="E225" s="27"/>
      <c r="F225" s="28"/>
      <c r="G225" s="29"/>
      <c r="H225" s="29" t="str">
        <f>IF(ISBLANK(G225),"",G225*F225)</f>
        <v/>
      </c>
      <c r="I225" s="36"/>
      <c r="J225" s="30" t="str">
        <f>IF(ISBLANK(I225),"",I225*F225)</f>
        <v/>
      </c>
      <c r="K225" s="31"/>
      <c r="L225" s="1"/>
    </row>
    <row r="226" spans="1:12" s="45" customFormat="1" ht="15" hidden="1" customHeight="1">
      <c r="A226" s="282"/>
      <c r="B226" s="53" t="s">
        <v>113</v>
      </c>
      <c r="C226" s="291"/>
      <c r="D226" s="292"/>
      <c r="E226" s="293"/>
      <c r="F226" s="292"/>
      <c r="G226" s="57"/>
      <c r="H226" s="292"/>
      <c r="I226" s="59"/>
      <c r="J226" s="294"/>
      <c r="K226" s="295"/>
      <c r="L226" s="1"/>
    </row>
    <row r="227" spans="1:12" s="140" customFormat="1" ht="15" hidden="1" customHeight="1">
      <c r="A227" s="296" t="s">
        <v>184</v>
      </c>
      <c r="B227" s="61" t="s">
        <v>77</v>
      </c>
      <c r="C227" s="38" t="s">
        <v>23</v>
      </c>
      <c r="D227" s="38" t="s">
        <v>30</v>
      </c>
      <c r="E227" s="64"/>
      <c r="F227" s="97">
        <v>122.15</v>
      </c>
      <c r="G227" s="32">
        <v>670</v>
      </c>
      <c r="H227" s="235">
        <f>F227*G227</f>
        <v>81840.5</v>
      </c>
      <c r="I227" s="33"/>
      <c r="J227" s="66"/>
      <c r="K227" s="260">
        <f t="shared" ref="K227:K241" si="16">H227+J227</f>
        <v>81840.5</v>
      </c>
      <c r="L227" s="138"/>
    </row>
    <row r="228" spans="1:12" s="140" customFormat="1" ht="15" hidden="1" customHeight="1">
      <c r="A228" s="287"/>
      <c r="B228" s="105" t="s">
        <v>24</v>
      </c>
      <c r="C228" s="38" t="s">
        <v>23</v>
      </c>
      <c r="D228" s="70" t="s">
        <v>41</v>
      </c>
      <c r="E228" s="64">
        <v>1.1000000000000001</v>
      </c>
      <c r="F228" s="37">
        <v>79.860000000000014</v>
      </c>
      <c r="G228" s="32"/>
      <c r="H228" s="110"/>
      <c r="I228" s="33">
        <v>401.24249999999995</v>
      </c>
      <c r="J228" s="73">
        <f t="shared" ref="J228:J233" si="17">F228*I228</f>
        <v>32043.226050000001</v>
      </c>
      <c r="K228" s="263">
        <f t="shared" si="16"/>
        <v>32043.226050000001</v>
      </c>
      <c r="L228" s="138"/>
    </row>
    <row r="229" spans="1:12" s="140" customFormat="1" ht="15" hidden="1" customHeight="1">
      <c r="A229" s="287"/>
      <c r="B229" s="105" t="s">
        <v>70</v>
      </c>
      <c r="C229" s="38" t="s">
        <v>23</v>
      </c>
      <c r="D229" s="70" t="s">
        <v>41</v>
      </c>
      <c r="E229" s="109">
        <v>1.1000000000000001</v>
      </c>
      <c r="F229" s="37">
        <v>54.505000000000003</v>
      </c>
      <c r="G229" s="32"/>
      <c r="H229" s="110"/>
      <c r="I229" s="33">
        <v>874.16317000000004</v>
      </c>
      <c r="J229" s="73">
        <f t="shared" si="17"/>
        <v>47646.263580850005</v>
      </c>
      <c r="K229" s="263">
        <f t="shared" si="16"/>
        <v>47646.263580850005</v>
      </c>
      <c r="L229" s="138"/>
    </row>
    <row r="230" spans="1:12" s="44" customFormat="1" ht="15" hidden="1" customHeight="1">
      <c r="A230" s="287"/>
      <c r="B230" s="105" t="s">
        <v>34</v>
      </c>
      <c r="C230" s="38" t="s">
        <v>23</v>
      </c>
      <c r="D230" s="70" t="s">
        <v>21</v>
      </c>
      <c r="E230" s="64">
        <v>0.15</v>
      </c>
      <c r="F230" s="37">
        <v>18.322500000000002</v>
      </c>
      <c r="G230" s="32"/>
      <c r="H230" s="244"/>
      <c r="I230" s="33">
        <v>37.450000000000003</v>
      </c>
      <c r="J230" s="73">
        <f t="shared" si="17"/>
        <v>686.17762500000015</v>
      </c>
      <c r="K230" s="263">
        <f t="shared" si="16"/>
        <v>686.17762500000015</v>
      </c>
      <c r="L230" s="1"/>
    </row>
    <row r="231" spans="1:12" s="44" customFormat="1" ht="15" hidden="1" customHeight="1">
      <c r="A231" s="284"/>
      <c r="B231" s="105" t="s">
        <v>71</v>
      </c>
      <c r="C231" s="38" t="s">
        <v>23</v>
      </c>
      <c r="D231" s="70" t="s">
        <v>19</v>
      </c>
      <c r="E231" s="64">
        <v>7.6</v>
      </c>
      <c r="F231" s="37">
        <v>928.34</v>
      </c>
      <c r="G231" s="32"/>
      <c r="H231" s="244"/>
      <c r="I231" s="33">
        <v>7.6</v>
      </c>
      <c r="J231" s="73">
        <f t="shared" si="17"/>
        <v>7055.384</v>
      </c>
      <c r="K231" s="263">
        <f t="shared" si="16"/>
        <v>7055.384</v>
      </c>
      <c r="L231" s="1"/>
    </row>
    <row r="232" spans="1:12" s="45" customFormat="1" ht="15" hidden="1" customHeight="1">
      <c r="A232" s="284"/>
      <c r="B232" s="105" t="s">
        <v>72</v>
      </c>
      <c r="C232" s="38" t="s">
        <v>23</v>
      </c>
      <c r="D232" s="70" t="s">
        <v>56</v>
      </c>
      <c r="E232" s="64">
        <v>11</v>
      </c>
      <c r="F232" s="37">
        <v>1343.65</v>
      </c>
      <c r="G232" s="32"/>
      <c r="H232" s="110"/>
      <c r="I232" s="33">
        <v>1.3007599999999999</v>
      </c>
      <c r="J232" s="73">
        <f t="shared" si="17"/>
        <v>1747.7661740000001</v>
      </c>
      <c r="K232" s="263">
        <f t="shared" si="16"/>
        <v>1747.7661740000001</v>
      </c>
      <c r="L232" s="1"/>
    </row>
    <row r="233" spans="1:12" s="44" customFormat="1" ht="15" hidden="1" customHeight="1">
      <c r="A233" s="284"/>
      <c r="B233" s="105" t="s">
        <v>73</v>
      </c>
      <c r="C233" s="38" t="s">
        <v>23</v>
      </c>
      <c r="D233" s="70" t="s">
        <v>19</v>
      </c>
      <c r="E233" s="64">
        <v>0.4</v>
      </c>
      <c r="F233" s="37">
        <v>48.860000000000007</v>
      </c>
      <c r="G233" s="32"/>
      <c r="H233" s="244"/>
      <c r="I233" s="33">
        <v>123.5</v>
      </c>
      <c r="J233" s="73">
        <f t="shared" si="17"/>
        <v>6034.2100000000009</v>
      </c>
      <c r="K233" s="263">
        <f t="shared" si="16"/>
        <v>6034.2100000000009</v>
      </c>
      <c r="L233" s="1"/>
    </row>
    <row r="234" spans="1:12" s="45" customFormat="1" ht="25.5" hidden="1" customHeight="1">
      <c r="A234" s="288">
        <f>A227+1</f>
        <v>15</v>
      </c>
      <c r="B234" s="61" t="s">
        <v>79</v>
      </c>
      <c r="C234" s="38" t="s">
        <v>29</v>
      </c>
      <c r="D234" s="38" t="s">
        <v>30</v>
      </c>
      <c r="E234" s="64"/>
      <c r="F234" s="97">
        <v>122.15</v>
      </c>
      <c r="G234" s="32">
        <v>250</v>
      </c>
      <c r="H234" s="235">
        <f>F234*G234</f>
        <v>30537.5</v>
      </c>
      <c r="I234" s="33"/>
      <c r="J234" s="66"/>
      <c r="K234" s="260">
        <f t="shared" si="16"/>
        <v>30537.5</v>
      </c>
      <c r="L234" s="1"/>
    </row>
    <row r="235" spans="1:12" s="44" customFormat="1" ht="15" hidden="1" customHeight="1">
      <c r="A235" s="284"/>
      <c r="B235" s="105" t="s">
        <v>80</v>
      </c>
      <c r="C235" s="38" t="s">
        <v>29</v>
      </c>
      <c r="D235" s="70" t="s">
        <v>81</v>
      </c>
      <c r="E235" s="64">
        <f>499*0.085*1.02/1000</f>
        <v>4.3263300000000011E-2</v>
      </c>
      <c r="F235" s="37">
        <f>F234*E235</f>
        <v>5.2846120950000017</v>
      </c>
      <c r="G235" s="32"/>
      <c r="H235" s="244"/>
      <c r="I235" s="33">
        <v>5473.05</v>
      </c>
      <c r="J235" s="73">
        <f t="shared" ref="J235:J241" si="18">F235*I235</f>
        <v>28922.94622653976</v>
      </c>
      <c r="K235" s="263">
        <f t="shared" si="16"/>
        <v>28922.94622653976</v>
      </c>
      <c r="L235" s="1"/>
    </row>
    <row r="236" spans="1:12" s="44" customFormat="1" ht="15" hidden="1" customHeight="1">
      <c r="A236" s="284"/>
      <c r="B236" s="105" t="s">
        <v>82</v>
      </c>
      <c r="C236" s="38" t="s">
        <v>29</v>
      </c>
      <c r="D236" s="70" t="s">
        <v>81</v>
      </c>
      <c r="E236" s="64">
        <f>1792*0.8*0.085*1.02/1000</f>
        <v>0.12429312000000003</v>
      </c>
      <c r="F236" s="37">
        <f>F234*E236</f>
        <v>15.182404608000004</v>
      </c>
      <c r="G236" s="32"/>
      <c r="H236" s="244"/>
      <c r="I236" s="33">
        <v>823.63</v>
      </c>
      <c r="J236" s="73">
        <f t="shared" si="18"/>
        <v>12504.683907287043</v>
      </c>
      <c r="K236" s="263">
        <f t="shared" si="16"/>
        <v>12504.683907287043</v>
      </c>
      <c r="L236" s="1"/>
    </row>
    <row r="237" spans="1:12" s="45" customFormat="1" ht="15" hidden="1" customHeight="1">
      <c r="A237" s="284"/>
      <c r="B237" s="105" t="s">
        <v>83</v>
      </c>
      <c r="C237" s="38" t="s">
        <v>29</v>
      </c>
      <c r="D237" s="70" t="s">
        <v>81</v>
      </c>
      <c r="E237" s="64">
        <f>1792*0.2*0.85*1.02/1000</f>
        <v>0.31073280000000003</v>
      </c>
      <c r="F237" s="37">
        <f>F234*E237</f>
        <v>37.956011520000004</v>
      </c>
      <c r="G237" s="32"/>
      <c r="H237" s="110"/>
      <c r="I237" s="33">
        <v>374.49299999999999</v>
      </c>
      <c r="J237" s="73">
        <f t="shared" si="18"/>
        <v>14214.260622159361</v>
      </c>
      <c r="K237" s="263">
        <f t="shared" si="16"/>
        <v>14214.260622159361</v>
      </c>
      <c r="L237" s="1"/>
    </row>
    <row r="238" spans="1:12" s="45" customFormat="1" ht="15" hidden="1" customHeight="1">
      <c r="A238" s="284"/>
      <c r="B238" s="105" t="s">
        <v>84</v>
      </c>
      <c r="C238" s="38" t="s">
        <v>29</v>
      </c>
      <c r="D238" s="70" t="s">
        <v>41</v>
      </c>
      <c r="E238" s="64">
        <v>1.1000000000000001</v>
      </c>
      <c r="F238" s="37">
        <f>F234*E238</f>
        <v>134.36500000000001</v>
      </c>
      <c r="G238" s="32"/>
      <c r="H238" s="110"/>
      <c r="I238" s="33">
        <v>115.91449999999999</v>
      </c>
      <c r="J238" s="73">
        <f t="shared" si="18"/>
        <v>15574.8517925</v>
      </c>
      <c r="K238" s="263">
        <f t="shared" si="16"/>
        <v>15574.8517925</v>
      </c>
      <c r="L238" s="1"/>
    </row>
    <row r="239" spans="1:12" s="44" customFormat="1" ht="15" hidden="1" customHeight="1">
      <c r="A239" s="284"/>
      <c r="B239" s="105" t="s">
        <v>85</v>
      </c>
      <c r="C239" s="38" t="s">
        <v>29</v>
      </c>
      <c r="D239" s="70" t="s">
        <v>81</v>
      </c>
      <c r="E239" s="64">
        <f>0.21/1000</f>
        <v>2.0999999999999998E-4</v>
      </c>
      <c r="F239" s="37">
        <f>F234*E239</f>
        <v>2.5651499999999997E-2</v>
      </c>
      <c r="G239" s="32"/>
      <c r="H239" s="244"/>
      <c r="I239" s="33">
        <v>56431.8</v>
      </c>
      <c r="J239" s="73">
        <f t="shared" si="18"/>
        <v>1447.5603176999998</v>
      </c>
      <c r="K239" s="263">
        <f t="shared" si="16"/>
        <v>1447.5603176999998</v>
      </c>
      <c r="L239" s="1"/>
    </row>
    <row r="240" spans="1:12" s="45" customFormat="1" ht="15" hidden="1" customHeight="1">
      <c r="A240" s="284"/>
      <c r="B240" s="105" t="s">
        <v>86</v>
      </c>
      <c r="C240" s="38" t="s">
        <v>29</v>
      </c>
      <c r="D240" s="70" t="s">
        <v>56</v>
      </c>
      <c r="E240" s="64">
        <v>4</v>
      </c>
      <c r="F240" s="37">
        <f>F234*E240</f>
        <v>488.6</v>
      </c>
      <c r="G240" s="32"/>
      <c r="H240" s="110"/>
      <c r="I240" s="33">
        <v>0.67135999999999996</v>
      </c>
      <c r="J240" s="73">
        <f t="shared" si="18"/>
        <v>328.02649600000001</v>
      </c>
      <c r="K240" s="263">
        <f t="shared" si="16"/>
        <v>328.02649600000001</v>
      </c>
      <c r="L240" s="1"/>
    </row>
    <row r="241" spans="1:12" s="35" customFormat="1" ht="15" hidden="1" customHeight="1">
      <c r="A241" s="284"/>
      <c r="B241" s="105" t="s">
        <v>87</v>
      </c>
      <c r="C241" s="38" t="s">
        <v>29</v>
      </c>
      <c r="D241" s="70" t="s">
        <v>58</v>
      </c>
      <c r="E241" s="64"/>
      <c r="F241" s="37">
        <f>F234</f>
        <v>122.15</v>
      </c>
      <c r="G241" s="32"/>
      <c r="H241" s="244"/>
      <c r="I241" s="33">
        <v>7.0979999999999999</v>
      </c>
      <c r="J241" s="73">
        <f t="shared" si="18"/>
        <v>867.02070000000003</v>
      </c>
      <c r="K241" s="263">
        <f t="shared" si="16"/>
        <v>867.02070000000003</v>
      </c>
      <c r="L241" s="1"/>
    </row>
    <row r="242" spans="1:12" ht="15" hidden="1" customHeight="1">
      <c r="A242" s="284"/>
      <c r="B242" s="105"/>
      <c r="C242" s="75"/>
      <c r="D242" s="70"/>
      <c r="E242" s="64"/>
      <c r="F242" s="37"/>
      <c r="G242" s="32"/>
      <c r="H242" s="110"/>
      <c r="I242" s="33"/>
      <c r="J242" s="73"/>
      <c r="K242" s="263"/>
    </row>
    <row r="243" spans="1:12" ht="15" hidden="1" customHeight="1">
      <c r="A243" s="282"/>
      <c r="B243" s="53" t="s">
        <v>114</v>
      </c>
      <c r="C243" s="291"/>
      <c r="D243" s="292"/>
      <c r="E243" s="293"/>
      <c r="F243" s="292"/>
      <c r="G243" s="57"/>
      <c r="H243" s="292"/>
      <c r="I243" s="59"/>
      <c r="J243" s="294"/>
      <c r="K243" s="295"/>
    </row>
    <row r="244" spans="1:12" ht="15" hidden="1" customHeight="1">
      <c r="A244" s="288">
        <f>A234+1</f>
        <v>16</v>
      </c>
      <c r="B244" s="61" t="s">
        <v>77</v>
      </c>
      <c r="C244" s="38" t="s">
        <v>23</v>
      </c>
      <c r="D244" s="38" t="s">
        <v>30</v>
      </c>
      <c r="E244" s="109"/>
      <c r="F244" s="97">
        <v>75.489999999999995</v>
      </c>
      <c r="G244" s="32">
        <v>670</v>
      </c>
      <c r="H244" s="235">
        <f>F244*G244</f>
        <v>50578.299999999996</v>
      </c>
      <c r="I244" s="33"/>
      <c r="J244" s="66"/>
      <c r="K244" s="260">
        <f t="shared" ref="K244:K260" si="19">H244+J244</f>
        <v>50578.299999999996</v>
      </c>
    </row>
    <row r="245" spans="1:12" ht="15" hidden="1" customHeight="1">
      <c r="A245" s="284"/>
      <c r="B245" s="105" t="s">
        <v>24</v>
      </c>
      <c r="C245" s="38" t="s">
        <v>23</v>
      </c>
      <c r="D245" s="70" t="s">
        <v>41</v>
      </c>
      <c r="E245" s="109">
        <v>1.1000000000000001</v>
      </c>
      <c r="F245" s="37">
        <f>F244*E245</f>
        <v>83.039000000000001</v>
      </c>
      <c r="G245" s="32"/>
      <c r="H245" s="110"/>
      <c r="I245" s="33">
        <v>401.24249999999995</v>
      </c>
      <c r="J245" s="73">
        <f>F245*I245</f>
        <v>33318.775957499995</v>
      </c>
      <c r="K245" s="263">
        <f t="shared" si="19"/>
        <v>33318.775957499995</v>
      </c>
    </row>
    <row r="246" spans="1:12" s="35" customFormat="1" ht="15" hidden="1" customHeight="1">
      <c r="A246" s="284"/>
      <c r="B246" s="105" t="s">
        <v>34</v>
      </c>
      <c r="C246" s="38" t="s">
        <v>23</v>
      </c>
      <c r="D246" s="70" t="s">
        <v>21</v>
      </c>
      <c r="E246" s="109">
        <v>0.2</v>
      </c>
      <c r="F246" s="37">
        <f>F244*E246</f>
        <v>15.097999999999999</v>
      </c>
      <c r="G246" s="32"/>
      <c r="H246" s="244"/>
      <c r="I246" s="33">
        <v>37.450000000000003</v>
      </c>
      <c r="J246" s="73">
        <f>F246*I246</f>
        <v>565.42010000000005</v>
      </c>
      <c r="K246" s="263">
        <f t="shared" si="19"/>
        <v>565.42010000000005</v>
      </c>
      <c r="L246" s="1"/>
    </row>
    <row r="247" spans="1:12" s="35" customFormat="1" ht="15" hidden="1" customHeight="1">
      <c r="A247" s="284"/>
      <c r="B247" s="105" t="s">
        <v>71</v>
      </c>
      <c r="C247" s="38" t="s">
        <v>23</v>
      </c>
      <c r="D247" s="70" t="s">
        <v>19</v>
      </c>
      <c r="E247" s="109">
        <v>7.6</v>
      </c>
      <c r="F247" s="37">
        <f>F244*E247</f>
        <v>573.72399999999993</v>
      </c>
      <c r="G247" s="32"/>
      <c r="H247" s="244"/>
      <c r="I247" s="33">
        <v>7.6</v>
      </c>
      <c r="J247" s="73">
        <f>F247*I247</f>
        <v>4360.3023999999996</v>
      </c>
      <c r="K247" s="263">
        <f t="shared" si="19"/>
        <v>4360.3023999999996</v>
      </c>
      <c r="L247" s="1"/>
    </row>
    <row r="248" spans="1:12" ht="15" hidden="1" customHeight="1">
      <c r="A248" s="284"/>
      <c r="B248" s="105" t="s">
        <v>72</v>
      </c>
      <c r="C248" s="38" t="s">
        <v>23</v>
      </c>
      <c r="D248" s="70" t="s">
        <v>56</v>
      </c>
      <c r="E248" s="109">
        <v>11</v>
      </c>
      <c r="F248" s="37">
        <f>F244*E248</f>
        <v>830.39</v>
      </c>
      <c r="G248" s="32"/>
      <c r="H248" s="110"/>
      <c r="I248" s="33">
        <v>1.3007599999999999</v>
      </c>
      <c r="J248" s="73">
        <f>F248*I248</f>
        <v>1080.1380964</v>
      </c>
      <c r="K248" s="263">
        <f t="shared" si="19"/>
        <v>1080.1380964</v>
      </c>
    </row>
    <row r="249" spans="1:12" s="35" customFormat="1" ht="15" hidden="1" customHeight="1">
      <c r="A249" s="284"/>
      <c r="B249" s="105" t="s">
        <v>73</v>
      </c>
      <c r="C249" s="38" t="s">
        <v>23</v>
      </c>
      <c r="D249" s="70" t="s">
        <v>19</v>
      </c>
      <c r="E249" s="109">
        <v>0.4</v>
      </c>
      <c r="F249" s="37">
        <f>F244*E249</f>
        <v>30.195999999999998</v>
      </c>
      <c r="G249" s="32"/>
      <c r="H249" s="244"/>
      <c r="I249" s="33">
        <v>123.5</v>
      </c>
      <c r="J249" s="73">
        <f>F249*I249</f>
        <v>3729.2059999999997</v>
      </c>
      <c r="K249" s="263">
        <f t="shared" si="19"/>
        <v>3729.2059999999997</v>
      </c>
      <c r="L249" s="1"/>
    </row>
    <row r="250" spans="1:12" ht="25.5" hidden="1" customHeight="1">
      <c r="A250" s="288">
        <f>A244+1</f>
        <v>17</v>
      </c>
      <c r="B250" s="61" t="s">
        <v>115</v>
      </c>
      <c r="C250" s="38" t="s">
        <v>29</v>
      </c>
      <c r="D250" s="38" t="s">
        <v>30</v>
      </c>
      <c r="E250" s="109"/>
      <c r="F250" s="97">
        <f>F244</f>
        <v>75.489999999999995</v>
      </c>
      <c r="G250" s="32">
        <v>250</v>
      </c>
      <c r="H250" s="235">
        <f>F250*G250</f>
        <v>18872.5</v>
      </c>
      <c r="I250" s="33"/>
      <c r="J250" s="66"/>
      <c r="K250" s="260">
        <f t="shared" si="19"/>
        <v>18872.5</v>
      </c>
    </row>
    <row r="251" spans="1:12" s="35" customFormat="1" ht="15" hidden="1" customHeight="1">
      <c r="A251" s="284"/>
      <c r="B251" s="105" t="s">
        <v>80</v>
      </c>
      <c r="C251" s="38" t="s">
        <v>29</v>
      </c>
      <c r="D251" s="70" t="s">
        <v>81</v>
      </c>
      <c r="E251" s="109">
        <f>(499*0.075*1.02)/1000</f>
        <v>3.8173499999999999E-2</v>
      </c>
      <c r="F251" s="37">
        <f>F250*E251</f>
        <v>2.8817175149999996</v>
      </c>
      <c r="G251" s="32"/>
      <c r="H251" s="244"/>
      <c r="I251" s="33">
        <v>5473.05</v>
      </c>
      <c r="J251" s="73">
        <f t="shared" ref="J251:J257" si="20">F251*I251</f>
        <v>15771.784045470749</v>
      </c>
      <c r="K251" s="263">
        <f t="shared" si="19"/>
        <v>15771.784045470749</v>
      </c>
      <c r="L251" s="1"/>
    </row>
    <row r="252" spans="1:12" s="35" customFormat="1" ht="15" hidden="1" customHeight="1">
      <c r="A252" s="284"/>
      <c r="B252" s="105" t="s">
        <v>82</v>
      </c>
      <c r="C252" s="38" t="s">
        <v>29</v>
      </c>
      <c r="D252" s="70" t="s">
        <v>81</v>
      </c>
      <c r="E252" s="109">
        <f>(1792*0.8*0.075*1.02)/1000</f>
        <v>0.10967040000000002</v>
      </c>
      <c r="F252" s="37">
        <f>F250*E252</f>
        <v>8.2790184960000008</v>
      </c>
      <c r="G252" s="32"/>
      <c r="H252" s="244"/>
      <c r="I252" s="33">
        <v>823.63</v>
      </c>
      <c r="J252" s="73">
        <f t="shared" si="20"/>
        <v>6818.8480038604803</v>
      </c>
      <c r="K252" s="263">
        <f t="shared" si="19"/>
        <v>6818.8480038604803</v>
      </c>
      <c r="L252" s="1"/>
    </row>
    <row r="253" spans="1:12" ht="15" hidden="1" customHeight="1">
      <c r="A253" s="297"/>
      <c r="B253" s="105" t="s">
        <v>83</v>
      </c>
      <c r="C253" s="38" t="s">
        <v>29</v>
      </c>
      <c r="D253" s="70" t="s">
        <v>81</v>
      </c>
      <c r="E253" s="109">
        <f>(1792*0.2*0.075*1.02)/1000</f>
        <v>2.7417600000000004E-2</v>
      </c>
      <c r="F253" s="37">
        <f>F250*E253</f>
        <v>2.0697546240000002</v>
      </c>
      <c r="G253" s="32"/>
      <c r="H253" s="110"/>
      <c r="I253" s="33">
        <v>374.49299999999999</v>
      </c>
      <c r="J253" s="73">
        <f t="shared" si="20"/>
        <v>775.10861840563211</v>
      </c>
      <c r="K253" s="263">
        <f t="shared" si="19"/>
        <v>775.10861840563211</v>
      </c>
    </row>
    <row r="254" spans="1:12" ht="15" hidden="1" customHeight="1">
      <c r="A254" s="284"/>
      <c r="B254" s="105" t="s">
        <v>84</v>
      </c>
      <c r="C254" s="38" t="s">
        <v>29</v>
      </c>
      <c r="D254" s="70" t="s">
        <v>41</v>
      </c>
      <c r="E254" s="109">
        <v>1.1000000000000001</v>
      </c>
      <c r="F254" s="37">
        <f>F250*E254</f>
        <v>83.039000000000001</v>
      </c>
      <c r="G254" s="32"/>
      <c r="H254" s="110"/>
      <c r="I254" s="33">
        <v>115.91449999999999</v>
      </c>
      <c r="J254" s="73">
        <f t="shared" si="20"/>
        <v>9625.4241654999987</v>
      </c>
      <c r="K254" s="263">
        <f t="shared" si="19"/>
        <v>9625.4241654999987</v>
      </c>
    </row>
    <row r="255" spans="1:12" s="35" customFormat="1" ht="15" hidden="1" customHeight="1">
      <c r="A255" s="284"/>
      <c r="B255" s="105" t="s">
        <v>85</v>
      </c>
      <c r="C255" s="38" t="s">
        <v>29</v>
      </c>
      <c r="D255" s="70" t="s">
        <v>81</v>
      </c>
      <c r="E255" s="109">
        <f>0.21/1000</f>
        <v>2.0999999999999998E-4</v>
      </c>
      <c r="F255" s="37">
        <f>F250*E255</f>
        <v>1.5852899999999996E-2</v>
      </c>
      <c r="G255" s="32"/>
      <c r="H255" s="244"/>
      <c r="I255" s="33">
        <v>56431.8</v>
      </c>
      <c r="J255" s="73">
        <f t="shared" si="20"/>
        <v>894.60768221999979</v>
      </c>
      <c r="K255" s="263">
        <f t="shared" si="19"/>
        <v>894.60768221999979</v>
      </c>
      <c r="L255" s="1"/>
    </row>
    <row r="256" spans="1:12" ht="15" hidden="1" customHeight="1">
      <c r="A256" s="284"/>
      <c r="B256" s="105" t="s">
        <v>86</v>
      </c>
      <c r="C256" s="38" t="s">
        <v>29</v>
      </c>
      <c r="D256" s="70" t="s">
        <v>56</v>
      </c>
      <c r="E256" s="109">
        <v>4</v>
      </c>
      <c r="F256" s="37">
        <f>F250*E256</f>
        <v>301.95999999999998</v>
      </c>
      <c r="G256" s="32"/>
      <c r="H256" s="110"/>
      <c r="I256" s="33">
        <v>0.67135999999999996</v>
      </c>
      <c r="J256" s="73">
        <f t="shared" si="20"/>
        <v>202.72386559999998</v>
      </c>
      <c r="K256" s="263">
        <f t="shared" si="19"/>
        <v>202.72386559999998</v>
      </c>
    </row>
    <row r="257" spans="1:12" s="44" customFormat="1" ht="15" hidden="1" customHeight="1">
      <c r="A257" s="284"/>
      <c r="B257" s="105" t="s">
        <v>87</v>
      </c>
      <c r="C257" s="38" t="s">
        <v>29</v>
      </c>
      <c r="D257" s="70" t="s">
        <v>58</v>
      </c>
      <c r="E257" s="109"/>
      <c r="F257" s="37">
        <f>F250</f>
        <v>75.489999999999995</v>
      </c>
      <c r="G257" s="32"/>
      <c r="H257" s="244"/>
      <c r="I257" s="33">
        <v>7.0979999999999999</v>
      </c>
      <c r="J257" s="73">
        <f t="shared" si="20"/>
        <v>535.82801999999992</v>
      </c>
      <c r="K257" s="263">
        <f t="shared" si="19"/>
        <v>535.82801999999992</v>
      </c>
      <c r="L257" s="1"/>
    </row>
    <row r="258" spans="1:12" s="45" customFormat="1" ht="25.5" hidden="1" customHeight="1">
      <c r="A258" s="288">
        <f>A250+1</f>
        <v>18</v>
      </c>
      <c r="B258" s="61" t="s">
        <v>98</v>
      </c>
      <c r="C258" s="38" t="s">
        <v>29</v>
      </c>
      <c r="D258" s="38" t="s">
        <v>30</v>
      </c>
      <c r="E258" s="109"/>
      <c r="F258" s="97">
        <f>F244</f>
        <v>75.489999999999995</v>
      </c>
      <c r="G258" s="32">
        <v>120</v>
      </c>
      <c r="H258" s="235">
        <f>F258*G258</f>
        <v>9058.7999999999993</v>
      </c>
      <c r="I258" s="33"/>
      <c r="J258" s="66"/>
      <c r="K258" s="260">
        <f t="shared" si="19"/>
        <v>9058.7999999999993</v>
      </c>
      <c r="L258" s="1"/>
    </row>
    <row r="259" spans="1:12" s="44" customFormat="1" ht="15" hidden="1" customHeight="1">
      <c r="A259" s="284"/>
      <c r="B259" s="105" t="s">
        <v>99</v>
      </c>
      <c r="C259" s="38" t="s">
        <v>29</v>
      </c>
      <c r="D259" s="70" t="s">
        <v>41</v>
      </c>
      <c r="E259" s="109">
        <v>1.1499999999999999</v>
      </c>
      <c r="F259" s="37">
        <f>F258*E259</f>
        <v>86.813499999999991</v>
      </c>
      <c r="G259" s="32"/>
      <c r="H259" s="244"/>
      <c r="I259" s="33">
        <v>161.51</v>
      </c>
      <c r="J259" s="73">
        <f>F259*I259</f>
        <v>14021.248384999997</v>
      </c>
      <c r="K259" s="263">
        <f t="shared" si="19"/>
        <v>14021.248384999997</v>
      </c>
      <c r="L259" s="1"/>
    </row>
    <row r="260" spans="1:12" s="45" customFormat="1" ht="15" hidden="1" customHeight="1">
      <c r="A260" s="284"/>
      <c r="B260" s="105" t="s">
        <v>100</v>
      </c>
      <c r="C260" s="38" t="s">
        <v>29</v>
      </c>
      <c r="D260" s="70" t="s">
        <v>58</v>
      </c>
      <c r="E260" s="109"/>
      <c r="F260" s="37">
        <f>F258</f>
        <v>75.489999999999995</v>
      </c>
      <c r="G260" s="32"/>
      <c r="H260" s="110"/>
      <c r="I260" s="33">
        <v>0.90213999999999994</v>
      </c>
      <c r="J260" s="73">
        <f>F260*I260</f>
        <v>68.102548599999992</v>
      </c>
      <c r="K260" s="263">
        <f t="shared" si="19"/>
        <v>68.102548599999992</v>
      </c>
      <c r="L260" s="1"/>
    </row>
    <row r="261" spans="1:12" s="45" customFormat="1" ht="15" hidden="1" customHeight="1">
      <c r="A261" s="284"/>
      <c r="B261" s="105"/>
      <c r="C261" s="75"/>
      <c r="D261" s="70"/>
      <c r="E261" s="64"/>
      <c r="F261" s="37"/>
      <c r="G261" s="32"/>
      <c r="H261" s="110"/>
      <c r="I261" s="33"/>
      <c r="J261" s="73"/>
      <c r="K261" s="263"/>
      <c r="L261" s="1"/>
    </row>
    <row r="262" spans="1:12" s="45" customFormat="1" ht="15" hidden="1" customHeight="1">
      <c r="A262" s="282"/>
      <c r="B262" s="120" t="s">
        <v>116</v>
      </c>
      <c r="C262" s="291"/>
      <c r="D262" s="292"/>
      <c r="E262" s="293"/>
      <c r="F262" s="292"/>
      <c r="G262" s="57"/>
      <c r="H262" s="292"/>
      <c r="I262" s="59"/>
      <c r="J262" s="294"/>
      <c r="K262" s="295"/>
      <c r="L262" s="1"/>
    </row>
    <row r="263" spans="1:12" s="45" customFormat="1" ht="15" hidden="1" customHeight="1">
      <c r="A263" s="288">
        <f>A258+1</f>
        <v>19</v>
      </c>
      <c r="B263" s="61" t="s">
        <v>77</v>
      </c>
      <c r="C263" s="38" t="s">
        <v>23</v>
      </c>
      <c r="D263" s="38" t="s">
        <v>30</v>
      </c>
      <c r="E263" s="109"/>
      <c r="F263" s="97">
        <v>50.1</v>
      </c>
      <c r="G263" s="32">
        <v>670</v>
      </c>
      <c r="H263" s="235">
        <f>F263*G263</f>
        <v>33567</v>
      </c>
      <c r="I263" s="33"/>
      <c r="J263" s="66"/>
      <c r="K263" s="260">
        <f t="shared" ref="K263:K283" si="21">H263+J263</f>
        <v>33567</v>
      </c>
      <c r="L263" s="1"/>
    </row>
    <row r="264" spans="1:12" s="45" customFormat="1" ht="15" hidden="1" customHeight="1">
      <c r="A264" s="284"/>
      <c r="B264" s="105" t="s">
        <v>24</v>
      </c>
      <c r="C264" s="38" t="s">
        <v>23</v>
      </c>
      <c r="D264" s="70" t="s">
        <v>41</v>
      </c>
      <c r="E264" s="109">
        <v>1.1000000000000001</v>
      </c>
      <c r="F264" s="37">
        <f>F263*E264</f>
        <v>55.110000000000007</v>
      </c>
      <c r="G264" s="32"/>
      <c r="H264" s="110"/>
      <c r="I264" s="33">
        <v>401.24249999999995</v>
      </c>
      <c r="J264" s="73">
        <f>F264*I264</f>
        <v>22112.474174999999</v>
      </c>
      <c r="K264" s="263">
        <f t="shared" si="21"/>
        <v>22112.474174999999</v>
      </c>
      <c r="L264" s="1"/>
    </row>
    <row r="265" spans="1:12" s="44" customFormat="1" ht="15" hidden="1" customHeight="1">
      <c r="A265" s="284"/>
      <c r="B265" s="105" t="s">
        <v>34</v>
      </c>
      <c r="C265" s="38" t="s">
        <v>23</v>
      </c>
      <c r="D265" s="70" t="s">
        <v>21</v>
      </c>
      <c r="E265" s="109">
        <v>0.2</v>
      </c>
      <c r="F265" s="37">
        <f>F263*E265</f>
        <v>10.020000000000001</v>
      </c>
      <c r="G265" s="32"/>
      <c r="H265" s="244"/>
      <c r="I265" s="33">
        <v>37.450000000000003</v>
      </c>
      <c r="J265" s="73">
        <f>F265*I265</f>
        <v>375.24900000000008</v>
      </c>
      <c r="K265" s="263">
        <f t="shared" si="21"/>
        <v>375.24900000000008</v>
      </c>
      <c r="L265" s="1"/>
    </row>
    <row r="266" spans="1:12" s="44" customFormat="1" ht="15" hidden="1" customHeight="1">
      <c r="A266" s="284"/>
      <c r="B266" s="105" t="s">
        <v>71</v>
      </c>
      <c r="C266" s="38" t="s">
        <v>23</v>
      </c>
      <c r="D266" s="70" t="s">
        <v>19</v>
      </c>
      <c r="E266" s="109">
        <v>7.6</v>
      </c>
      <c r="F266" s="37">
        <f>F263*E266</f>
        <v>380.76</v>
      </c>
      <c r="G266" s="32"/>
      <c r="H266" s="244"/>
      <c r="I266" s="33">
        <v>7.6</v>
      </c>
      <c r="J266" s="73">
        <f>F266*I266</f>
        <v>2893.7759999999998</v>
      </c>
      <c r="K266" s="263">
        <f t="shared" si="21"/>
        <v>2893.7759999999998</v>
      </c>
      <c r="L266" s="1"/>
    </row>
    <row r="267" spans="1:12" s="45" customFormat="1" ht="15" hidden="1" customHeight="1">
      <c r="A267" s="284"/>
      <c r="B267" s="105" t="s">
        <v>72</v>
      </c>
      <c r="C267" s="38" t="s">
        <v>23</v>
      </c>
      <c r="D267" s="70" t="s">
        <v>56</v>
      </c>
      <c r="E267" s="109">
        <v>11</v>
      </c>
      <c r="F267" s="37">
        <f>F263*E267</f>
        <v>551.1</v>
      </c>
      <c r="G267" s="32"/>
      <c r="H267" s="110"/>
      <c r="I267" s="33">
        <v>1.3007599999999999</v>
      </c>
      <c r="J267" s="73">
        <f>F267*I267</f>
        <v>716.84883600000001</v>
      </c>
      <c r="K267" s="263">
        <f t="shared" si="21"/>
        <v>716.84883600000001</v>
      </c>
      <c r="L267" s="1"/>
    </row>
    <row r="268" spans="1:12" s="44" customFormat="1" ht="15" hidden="1" customHeight="1">
      <c r="A268" s="284"/>
      <c r="B268" s="105" t="s">
        <v>73</v>
      </c>
      <c r="C268" s="38" t="s">
        <v>23</v>
      </c>
      <c r="D268" s="70" t="s">
        <v>19</v>
      </c>
      <c r="E268" s="109">
        <v>0.4</v>
      </c>
      <c r="F268" s="37">
        <f>F263*E268</f>
        <v>20.040000000000003</v>
      </c>
      <c r="G268" s="32"/>
      <c r="H268" s="244"/>
      <c r="I268" s="33">
        <v>123.5</v>
      </c>
      <c r="J268" s="73">
        <f>F268*I268</f>
        <v>2474.9400000000005</v>
      </c>
      <c r="K268" s="263">
        <f t="shared" si="21"/>
        <v>2474.9400000000005</v>
      </c>
      <c r="L268" s="1"/>
    </row>
    <row r="269" spans="1:12" s="45" customFormat="1" ht="15" hidden="1" customHeight="1">
      <c r="A269" s="288">
        <f>A263+1</f>
        <v>20</v>
      </c>
      <c r="B269" s="61" t="s">
        <v>89</v>
      </c>
      <c r="C269" s="38" t="s">
        <v>29</v>
      </c>
      <c r="D269" s="38" t="s">
        <v>30</v>
      </c>
      <c r="E269" s="109"/>
      <c r="F269" s="97">
        <f>F263</f>
        <v>50.1</v>
      </c>
      <c r="G269" s="32">
        <v>100</v>
      </c>
      <c r="H269" s="235">
        <f>F269*G269</f>
        <v>5010</v>
      </c>
      <c r="I269" s="33"/>
      <c r="J269" s="66"/>
      <c r="K269" s="260">
        <f t="shared" si="21"/>
        <v>5010</v>
      </c>
      <c r="L269" s="1"/>
    </row>
    <row r="270" spans="1:12" s="44" customFormat="1" ht="15" hidden="1" customHeight="1">
      <c r="A270" s="284"/>
      <c r="B270" s="105" t="s">
        <v>34</v>
      </c>
      <c r="C270" s="38" t="s">
        <v>29</v>
      </c>
      <c r="D270" s="70" t="s">
        <v>21</v>
      </c>
      <c r="E270" s="109">
        <v>0.2</v>
      </c>
      <c r="F270" s="37">
        <f>F269*E270</f>
        <v>10.020000000000001</v>
      </c>
      <c r="G270" s="32"/>
      <c r="H270" s="244"/>
      <c r="I270" s="33">
        <v>37.450000000000003</v>
      </c>
      <c r="J270" s="73">
        <f>F270*I270</f>
        <v>375.24900000000008</v>
      </c>
      <c r="K270" s="263">
        <f t="shared" si="21"/>
        <v>375.24900000000008</v>
      </c>
      <c r="L270" s="1"/>
    </row>
    <row r="271" spans="1:12" s="44" customFormat="1" ht="15" hidden="1" customHeight="1">
      <c r="A271" s="284"/>
      <c r="B271" s="105" t="s">
        <v>90</v>
      </c>
      <c r="C271" s="38" t="s">
        <v>29</v>
      </c>
      <c r="D271" s="70" t="s">
        <v>19</v>
      </c>
      <c r="E271" s="109">
        <v>4.8</v>
      </c>
      <c r="F271" s="37">
        <f>F269*E271</f>
        <v>240.48</v>
      </c>
      <c r="G271" s="32"/>
      <c r="H271" s="244"/>
      <c r="I271" s="33">
        <v>20.329999999999998</v>
      </c>
      <c r="J271" s="73">
        <f>F271*I271</f>
        <v>4888.9583999999995</v>
      </c>
      <c r="K271" s="263">
        <f t="shared" si="21"/>
        <v>4888.9583999999995</v>
      </c>
      <c r="L271" s="1"/>
    </row>
    <row r="272" spans="1:12" s="45" customFormat="1" ht="25.5" hidden="1" customHeight="1">
      <c r="A272" s="288">
        <f>A269+1</f>
        <v>21</v>
      </c>
      <c r="B272" s="61" t="s">
        <v>185</v>
      </c>
      <c r="C272" s="38" t="s">
        <v>29</v>
      </c>
      <c r="D272" s="38" t="s">
        <v>30</v>
      </c>
      <c r="E272" s="109"/>
      <c r="F272" s="97">
        <f>F263</f>
        <v>50.1</v>
      </c>
      <c r="G272" s="32">
        <v>250</v>
      </c>
      <c r="H272" s="235">
        <f>F272*G272</f>
        <v>12525</v>
      </c>
      <c r="I272" s="33"/>
      <c r="J272" s="66"/>
      <c r="K272" s="260">
        <f t="shared" si="21"/>
        <v>12525</v>
      </c>
      <c r="L272" s="1"/>
    </row>
    <row r="273" spans="1:12" s="44" customFormat="1" ht="15" hidden="1" customHeight="1">
      <c r="A273" s="284"/>
      <c r="B273" s="105" t="s">
        <v>80</v>
      </c>
      <c r="C273" s="38" t="s">
        <v>29</v>
      </c>
      <c r="D273" s="70" t="s">
        <v>81</v>
      </c>
      <c r="E273" s="109">
        <f>(499*0.08*1.02)/1000</f>
        <v>4.0718400000000002E-2</v>
      </c>
      <c r="F273" s="37">
        <f>F272*E273</f>
        <v>2.0399918400000003</v>
      </c>
      <c r="G273" s="32"/>
      <c r="H273" s="244"/>
      <c r="I273" s="33">
        <v>5473.05</v>
      </c>
      <c r="J273" s="73">
        <f t="shared" ref="J273:J279" si="22">F273*I273</f>
        <v>11164.977339912002</v>
      </c>
      <c r="K273" s="263">
        <f t="shared" si="21"/>
        <v>11164.977339912002</v>
      </c>
      <c r="L273" s="1"/>
    </row>
    <row r="274" spans="1:12" s="44" customFormat="1" ht="15" hidden="1" customHeight="1">
      <c r="A274" s="284"/>
      <c r="B274" s="105" t="s">
        <v>82</v>
      </c>
      <c r="C274" s="38" t="s">
        <v>29</v>
      </c>
      <c r="D274" s="70" t="s">
        <v>81</v>
      </c>
      <c r="E274" s="109">
        <f>(1792*0.8*0.08*1.02)/1000</f>
        <v>0.11698176000000002</v>
      </c>
      <c r="F274" s="37">
        <f>F272*E274</f>
        <v>5.8607861760000013</v>
      </c>
      <c r="G274" s="32"/>
      <c r="H274" s="244"/>
      <c r="I274" s="33">
        <v>823.63</v>
      </c>
      <c r="J274" s="73">
        <f t="shared" si="22"/>
        <v>4827.1193181388808</v>
      </c>
      <c r="K274" s="263">
        <f t="shared" si="21"/>
        <v>4827.1193181388808</v>
      </c>
      <c r="L274" s="1"/>
    </row>
    <row r="275" spans="1:12" s="45" customFormat="1" ht="15" hidden="1" customHeight="1">
      <c r="A275" s="297"/>
      <c r="B275" s="105" t="s">
        <v>83</v>
      </c>
      <c r="C275" s="38" t="s">
        <v>29</v>
      </c>
      <c r="D275" s="70" t="s">
        <v>81</v>
      </c>
      <c r="E275" s="109">
        <f>(1792*0.2*0.08*1.02)/1000</f>
        <v>2.9245440000000004E-2</v>
      </c>
      <c r="F275" s="37">
        <f>F272*E275</f>
        <v>1.4651965440000003</v>
      </c>
      <c r="G275" s="32"/>
      <c r="H275" s="110"/>
      <c r="I275" s="33">
        <v>374.49299999999999</v>
      </c>
      <c r="J275" s="73">
        <f t="shared" si="22"/>
        <v>548.7058493521921</v>
      </c>
      <c r="K275" s="263">
        <f t="shared" si="21"/>
        <v>548.7058493521921</v>
      </c>
      <c r="L275" s="1"/>
    </row>
    <row r="276" spans="1:12" s="45" customFormat="1" ht="15" hidden="1" customHeight="1">
      <c r="A276" s="284"/>
      <c r="B276" s="105" t="s">
        <v>84</v>
      </c>
      <c r="C276" s="38" t="s">
        <v>29</v>
      </c>
      <c r="D276" s="70" t="s">
        <v>41</v>
      </c>
      <c r="E276" s="109">
        <v>1.1000000000000001</v>
      </c>
      <c r="F276" s="37">
        <f>F272*E276</f>
        <v>55.110000000000007</v>
      </c>
      <c r="G276" s="32"/>
      <c r="H276" s="110"/>
      <c r="I276" s="33">
        <v>115.91449999999999</v>
      </c>
      <c r="J276" s="73">
        <f t="shared" si="22"/>
        <v>6388.0480950000001</v>
      </c>
      <c r="K276" s="263">
        <f t="shared" si="21"/>
        <v>6388.0480950000001</v>
      </c>
      <c r="L276" s="1"/>
    </row>
    <row r="277" spans="1:12" s="44" customFormat="1" ht="15" hidden="1" customHeight="1">
      <c r="A277" s="284"/>
      <c r="B277" s="105" t="s">
        <v>85</v>
      </c>
      <c r="C277" s="38" t="s">
        <v>29</v>
      </c>
      <c r="D277" s="70" t="s">
        <v>81</v>
      </c>
      <c r="E277" s="109">
        <f>0.21/1000</f>
        <v>2.0999999999999998E-4</v>
      </c>
      <c r="F277" s="37">
        <f>F272*E277</f>
        <v>1.0520999999999999E-2</v>
      </c>
      <c r="G277" s="32"/>
      <c r="H277" s="244"/>
      <c r="I277" s="33">
        <v>56431.8</v>
      </c>
      <c r="J277" s="73">
        <f t="shared" si="22"/>
        <v>593.71896779999997</v>
      </c>
      <c r="K277" s="263">
        <f t="shared" si="21"/>
        <v>593.71896779999997</v>
      </c>
      <c r="L277" s="1"/>
    </row>
    <row r="278" spans="1:12" s="45" customFormat="1" ht="15" hidden="1" customHeight="1">
      <c r="A278" s="284"/>
      <c r="B278" s="105" t="s">
        <v>86</v>
      </c>
      <c r="C278" s="38" t="s">
        <v>29</v>
      </c>
      <c r="D278" s="70" t="s">
        <v>56</v>
      </c>
      <c r="E278" s="109">
        <v>4</v>
      </c>
      <c r="F278" s="37">
        <f>F272*E278</f>
        <v>200.4</v>
      </c>
      <c r="G278" s="32"/>
      <c r="H278" s="110"/>
      <c r="I278" s="33">
        <v>0.67135999999999996</v>
      </c>
      <c r="J278" s="73">
        <f t="shared" si="22"/>
        <v>134.54054399999998</v>
      </c>
      <c r="K278" s="263">
        <f t="shared" si="21"/>
        <v>134.54054399999998</v>
      </c>
      <c r="L278" s="1"/>
    </row>
    <row r="279" spans="1:12" s="44" customFormat="1" ht="15" hidden="1" customHeight="1">
      <c r="A279" s="284"/>
      <c r="B279" s="105" t="s">
        <v>87</v>
      </c>
      <c r="C279" s="38" t="s">
        <v>29</v>
      </c>
      <c r="D279" s="70" t="s">
        <v>58</v>
      </c>
      <c r="E279" s="109"/>
      <c r="F279" s="37">
        <f>F272</f>
        <v>50.1</v>
      </c>
      <c r="G279" s="32"/>
      <c r="H279" s="244"/>
      <c r="I279" s="33">
        <v>7.0979999999999999</v>
      </c>
      <c r="J279" s="73">
        <f t="shared" si="22"/>
        <v>355.60980000000001</v>
      </c>
      <c r="K279" s="263">
        <f t="shared" si="21"/>
        <v>355.60980000000001</v>
      </c>
      <c r="L279" s="1"/>
    </row>
    <row r="280" spans="1:12" s="45" customFormat="1" ht="15" hidden="1" customHeight="1">
      <c r="A280" s="288">
        <f>A272+1</f>
        <v>22</v>
      </c>
      <c r="B280" s="61" t="s">
        <v>101</v>
      </c>
      <c r="C280" s="38" t="s">
        <v>29</v>
      </c>
      <c r="D280" s="38" t="s">
        <v>30</v>
      </c>
      <c r="E280" s="109"/>
      <c r="F280" s="97">
        <f>F263</f>
        <v>50.1</v>
      </c>
      <c r="G280" s="32">
        <v>150</v>
      </c>
      <c r="H280" s="235">
        <f>F280*G280</f>
        <v>7515</v>
      </c>
      <c r="I280" s="33"/>
      <c r="J280" s="66"/>
      <c r="K280" s="260">
        <f t="shared" si="21"/>
        <v>7515</v>
      </c>
      <c r="L280" s="1"/>
    </row>
    <row r="281" spans="1:12" s="45" customFormat="1" ht="15" hidden="1" customHeight="1">
      <c r="A281" s="284"/>
      <c r="B281" s="105" t="s">
        <v>102</v>
      </c>
      <c r="C281" s="38" t="s">
        <v>29</v>
      </c>
      <c r="D281" s="70" t="s">
        <v>41</v>
      </c>
      <c r="E281" s="109">
        <f>1.15</f>
        <v>1.1499999999999999</v>
      </c>
      <c r="F281" s="37">
        <f>F280*E281</f>
        <v>57.614999999999995</v>
      </c>
      <c r="G281" s="32"/>
      <c r="H281" s="110"/>
      <c r="I281" s="33">
        <v>38.708099999999995</v>
      </c>
      <c r="J281" s="73">
        <f>F281*I281</f>
        <v>2230.1671814999995</v>
      </c>
      <c r="K281" s="263">
        <f t="shared" si="21"/>
        <v>2230.1671814999995</v>
      </c>
      <c r="L281" s="1"/>
    </row>
    <row r="282" spans="1:12" s="44" customFormat="1" ht="15" hidden="1" customHeight="1">
      <c r="A282" s="284"/>
      <c r="B282" s="105" t="s">
        <v>103</v>
      </c>
      <c r="C282" s="38" t="s">
        <v>29</v>
      </c>
      <c r="D282" s="70" t="s">
        <v>19</v>
      </c>
      <c r="E282" s="109">
        <v>0.3</v>
      </c>
      <c r="F282" s="37">
        <f>F280*E282</f>
        <v>15.03</v>
      </c>
      <c r="G282" s="32"/>
      <c r="H282" s="244"/>
      <c r="I282" s="33">
        <v>60.6</v>
      </c>
      <c r="J282" s="73">
        <f>F282*I282</f>
        <v>910.81799999999998</v>
      </c>
      <c r="K282" s="263">
        <f t="shared" si="21"/>
        <v>910.81799999999998</v>
      </c>
      <c r="L282" s="1"/>
    </row>
    <row r="283" spans="1:12" s="45" customFormat="1" ht="15" hidden="1" customHeight="1">
      <c r="A283" s="288"/>
      <c r="B283" s="105" t="s">
        <v>104</v>
      </c>
      <c r="C283" s="38" t="s">
        <v>29</v>
      </c>
      <c r="D283" s="70" t="s">
        <v>21</v>
      </c>
      <c r="E283" s="64">
        <v>1</v>
      </c>
      <c r="F283" s="37">
        <f>E283*F280</f>
        <v>50.1</v>
      </c>
      <c r="G283" s="32"/>
      <c r="H283" s="110"/>
      <c r="I283" s="33">
        <v>35</v>
      </c>
      <c r="J283" s="73">
        <f>F283*I283</f>
        <v>1753.5</v>
      </c>
      <c r="K283" s="263">
        <f t="shared" si="21"/>
        <v>1753.5</v>
      </c>
      <c r="L283" s="1"/>
    </row>
    <row r="284" spans="1:12" s="45" customFormat="1" ht="15" hidden="1" customHeight="1">
      <c r="A284" s="282"/>
      <c r="B284" s="120" t="s">
        <v>117</v>
      </c>
      <c r="C284" s="291"/>
      <c r="D284" s="292"/>
      <c r="E284" s="293"/>
      <c r="F284" s="292"/>
      <c r="G284" s="57"/>
      <c r="H284" s="292"/>
      <c r="I284" s="59"/>
      <c r="J284" s="294"/>
      <c r="K284" s="295"/>
      <c r="L284" s="1"/>
    </row>
    <row r="285" spans="1:12" s="45" customFormat="1" ht="15" hidden="1" customHeight="1">
      <c r="A285" s="288">
        <f>A280+1</f>
        <v>23</v>
      </c>
      <c r="B285" s="61" t="s">
        <v>77</v>
      </c>
      <c r="C285" s="38" t="s">
        <v>23</v>
      </c>
      <c r="D285" s="38" t="s">
        <v>30</v>
      </c>
      <c r="E285" s="109"/>
      <c r="F285" s="97">
        <v>58.62</v>
      </c>
      <c r="G285" s="32">
        <v>670</v>
      </c>
      <c r="H285" s="235">
        <f>F285*G285</f>
        <v>39275.4</v>
      </c>
      <c r="I285" s="33"/>
      <c r="J285" s="66"/>
      <c r="K285" s="260">
        <f t="shared" ref="K285:K298" si="23">H285+J285</f>
        <v>39275.4</v>
      </c>
      <c r="L285" s="1"/>
    </row>
    <row r="286" spans="1:12" s="45" customFormat="1" ht="15" hidden="1" customHeight="1">
      <c r="A286" s="284"/>
      <c r="B286" s="105" t="s">
        <v>24</v>
      </c>
      <c r="C286" s="38" t="s">
        <v>23</v>
      </c>
      <c r="D286" s="70" t="s">
        <v>41</v>
      </c>
      <c r="E286" s="109">
        <v>1.1000000000000001</v>
      </c>
      <c r="F286" s="37">
        <f>F285*E286</f>
        <v>64.481999999999999</v>
      </c>
      <c r="G286" s="32"/>
      <c r="H286" s="110"/>
      <c r="I286" s="33">
        <v>401.24249999999995</v>
      </c>
      <c r="J286" s="73">
        <f>F286*I286</f>
        <v>25872.918884999995</v>
      </c>
      <c r="K286" s="263">
        <f t="shared" si="23"/>
        <v>25872.918884999995</v>
      </c>
      <c r="L286" s="1"/>
    </row>
    <row r="287" spans="1:12" s="44" customFormat="1" ht="15" hidden="1" customHeight="1">
      <c r="A287" s="284"/>
      <c r="B287" s="105" t="s">
        <v>34</v>
      </c>
      <c r="C287" s="38" t="s">
        <v>23</v>
      </c>
      <c r="D287" s="70" t="s">
        <v>21</v>
      </c>
      <c r="E287" s="109">
        <v>0.2</v>
      </c>
      <c r="F287" s="37">
        <f>F285*E287</f>
        <v>11.724</v>
      </c>
      <c r="G287" s="32"/>
      <c r="H287" s="244"/>
      <c r="I287" s="33">
        <v>37.450000000000003</v>
      </c>
      <c r="J287" s="73">
        <f>F287*I287</f>
        <v>439.06380000000001</v>
      </c>
      <c r="K287" s="263">
        <f t="shared" si="23"/>
        <v>439.06380000000001</v>
      </c>
      <c r="L287" s="1"/>
    </row>
    <row r="288" spans="1:12" s="44" customFormat="1" ht="15" hidden="1" customHeight="1">
      <c r="A288" s="284"/>
      <c r="B288" s="105" t="s">
        <v>71</v>
      </c>
      <c r="C288" s="38" t="s">
        <v>23</v>
      </c>
      <c r="D288" s="70" t="s">
        <v>19</v>
      </c>
      <c r="E288" s="109">
        <v>7.6</v>
      </c>
      <c r="F288" s="37">
        <f>F285*E288</f>
        <v>445.51199999999994</v>
      </c>
      <c r="G288" s="32"/>
      <c r="H288" s="244"/>
      <c r="I288" s="33">
        <v>7.6</v>
      </c>
      <c r="J288" s="73">
        <f>F288*I288</f>
        <v>3385.8911999999996</v>
      </c>
      <c r="K288" s="263">
        <f t="shared" si="23"/>
        <v>3385.8911999999996</v>
      </c>
      <c r="L288" s="1"/>
    </row>
    <row r="289" spans="1:12" s="45" customFormat="1" ht="15" hidden="1" customHeight="1">
      <c r="A289" s="284"/>
      <c r="B289" s="105" t="s">
        <v>72</v>
      </c>
      <c r="C289" s="38" t="s">
        <v>23</v>
      </c>
      <c r="D289" s="70" t="s">
        <v>56</v>
      </c>
      <c r="E289" s="109">
        <v>11</v>
      </c>
      <c r="F289" s="37">
        <f>F285*E289</f>
        <v>644.81999999999994</v>
      </c>
      <c r="G289" s="32"/>
      <c r="H289" s="110"/>
      <c r="I289" s="33">
        <v>1.3007599999999999</v>
      </c>
      <c r="J289" s="73">
        <f>F289*I289</f>
        <v>838.75606319999986</v>
      </c>
      <c r="K289" s="263">
        <f t="shared" si="23"/>
        <v>838.75606319999986</v>
      </c>
      <c r="L289" s="1"/>
    </row>
    <row r="290" spans="1:12" s="44" customFormat="1" ht="15" hidden="1" customHeight="1">
      <c r="A290" s="284"/>
      <c r="B290" s="105" t="s">
        <v>73</v>
      </c>
      <c r="C290" s="38" t="s">
        <v>23</v>
      </c>
      <c r="D290" s="70" t="s">
        <v>19</v>
      </c>
      <c r="E290" s="109">
        <v>0.4</v>
      </c>
      <c r="F290" s="37">
        <f>F285*E290</f>
        <v>23.448</v>
      </c>
      <c r="G290" s="32"/>
      <c r="H290" s="244"/>
      <c r="I290" s="33">
        <v>123.5</v>
      </c>
      <c r="J290" s="73">
        <f>F290*I290</f>
        <v>2895.828</v>
      </c>
      <c r="K290" s="263">
        <f t="shared" si="23"/>
        <v>2895.828</v>
      </c>
      <c r="L290" s="1"/>
    </row>
    <row r="291" spans="1:12" s="45" customFormat="1" ht="25.5" hidden="1" customHeight="1">
      <c r="A291" s="288">
        <f>A285+1</f>
        <v>24</v>
      </c>
      <c r="B291" s="61" t="s">
        <v>186</v>
      </c>
      <c r="C291" s="38" t="s">
        <v>29</v>
      </c>
      <c r="D291" s="38" t="s">
        <v>30</v>
      </c>
      <c r="E291" s="109"/>
      <c r="F291" s="97">
        <f>F285</f>
        <v>58.62</v>
      </c>
      <c r="G291" s="32">
        <v>250</v>
      </c>
      <c r="H291" s="235">
        <f>F291*G291</f>
        <v>14655</v>
      </c>
      <c r="I291" s="33"/>
      <c r="J291" s="66"/>
      <c r="K291" s="260">
        <f t="shared" si="23"/>
        <v>14655</v>
      </c>
      <c r="L291" s="1"/>
    </row>
    <row r="292" spans="1:12" s="44" customFormat="1" ht="15" hidden="1" customHeight="1">
      <c r="A292" s="284"/>
      <c r="B292" s="105" t="s">
        <v>80</v>
      </c>
      <c r="C292" s="38" t="s">
        <v>29</v>
      </c>
      <c r="D292" s="70" t="s">
        <v>81</v>
      </c>
      <c r="E292" s="109">
        <f>(499*0.1*1.02)/1000</f>
        <v>5.0898000000000006E-2</v>
      </c>
      <c r="F292" s="37">
        <f>F291*E292</f>
        <v>2.9836407600000001</v>
      </c>
      <c r="G292" s="32"/>
      <c r="H292" s="244"/>
      <c r="I292" s="33">
        <v>5473.05</v>
      </c>
      <c r="J292" s="73">
        <f t="shared" ref="J292:J298" si="24">F292*I292</f>
        <v>16329.615061518001</v>
      </c>
      <c r="K292" s="263">
        <f t="shared" si="23"/>
        <v>16329.615061518001</v>
      </c>
      <c r="L292" s="1"/>
    </row>
    <row r="293" spans="1:12" s="44" customFormat="1" ht="15" hidden="1" customHeight="1">
      <c r="A293" s="284"/>
      <c r="B293" s="105" t="s">
        <v>82</v>
      </c>
      <c r="C293" s="38" t="s">
        <v>29</v>
      </c>
      <c r="D293" s="70" t="s">
        <v>81</v>
      </c>
      <c r="E293" s="109">
        <f>(1792*0.8*0.1*1.02)/1000</f>
        <v>0.1462272</v>
      </c>
      <c r="F293" s="37">
        <f>F291*E293</f>
        <v>8.5718384639999989</v>
      </c>
      <c r="G293" s="32"/>
      <c r="H293" s="244"/>
      <c r="I293" s="33">
        <v>823.63</v>
      </c>
      <c r="J293" s="73">
        <f t="shared" si="24"/>
        <v>7060.0233141043191</v>
      </c>
      <c r="K293" s="263">
        <f t="shared" si="23"/>
        <v>7060.0233141043191</v>
      </c>
      <c r="L293" s="1"/>
    </row>
    <row r="294" spans="1:12" s="45" customFormat="1" ht="15" hidden="1" customHeight="1">
      <c r="A294" s="297"/>
      <c r="B294" s="105" t="s">
        <v>83</v>
      </c>
      <c r="C294" s="38" t="s">
        <v>29</v>
      </c>
      <c r="D294" s="70" t="s">
        <v>81</v>
      </c>
      <c r="E294" s="109">
        <f>(1792*0.2*0.1*1.02)/1000</f>
        <v>3.65568E-2</v>
      </c>
      <c r="F294" s="37">
        <f>F291*E294</f>
        <v>2.1429596159999997</v>
      </c>
      <c r="G294" s="32"/>
      <c r="H294" s="110"/>
      <c r="I294" s="33">
        <v>374.49299999999999</v>
      </c>
      <c r="J294" s="73">
        <f t="shared" si="24"/>
        <v>802.5233754746879</v>
      </c>
      <c r="K294" s="263">
        <f t="shared" si="23"/>
        <v>802.5233754746879</v>
      </c>
      <c r="L294" s="1"/>
    </row>
    <row r="295" spans="1:12" s="45" customFormat="1" ht="15" hidden="1" customHeight="1">
      <c r="A295" s="284"/>
      <c r="B295" s="105" t="s">
        <v>84</v>
      </c>
      <c r="C295" s="38" t="s">
        <v>29</v>
      </c>
      <c r="D295" s="70" t="s">
        <v>41</v>
      </c>
      <c r="E295" s="109">
        <v>1.1000000000000001</v>
      </c>
      <c r="F295" s="37">
        <f>F291*E295</f>
        <v>64.481999999999999</v>
      </c>
      <c r="G295" s="32"/>
      <c r="H295" s="110"/>
      <c r="I295" s="33">
        <v>115.91449999999999</v>
      </c>
      <c r="J295" s="73">
        <f t="shared" si="24"/>
        <v>7474.3987889999989</v>
      </c>
      <c r="K295" s="263">
        <f t="shared" si="23"/>
        <v>7474.3987889999989</v>
      </c>
      <c r="L295" s="1"/>
    </row>
    <row r="296" spans="1:12" s="44" customFormat="1" ht="15" hidden="1" customHeight="1">
      <c r="A296" s="284"/>
      <c r="B296" s="105" t="s">
        <v>85</v>
      </c>
      <c r="C296" s="38" t="s">
        <v>29</v>
      </c>
      <c r="D296" s="70" t="s">
        <v>81</v>
      </c>
      <c r="E296" s="109">
        <f>0.21/1000</f>
        <v>2.0999999999999998E-4</v>
      </c>
      <c r="F296" s="37">
        <f>F291*E296</f>
        <v>1.2310199999999999E-2</v>
      </c>
      <c r="G296" s="32"/>
      <c r="H296" s="244"/>
      <c r="I296" s="33">
        <v>56431.8</v>
      </c>
      <c r="J296" s="73">
        <f t="shared" si="24"/>
        <v>694.68674435999992</v>
      </c>
      <c r="K296" s="263">
        <f t="shared" si="23"/>
        <v>694.68674435999992</v>
      </c>
      <c r="L296" s="1"/>
    </row>
    <row r="297" spans="1:12" s="45" customFormat="1" ht="15" hidden="1" customHeight="1">
      <c r="A297" s="284"/>
      <c r="B297" s="105" t="s">
        <v>86</v>
      </c>
      <c r="C297" s="38" t="s">
        <v>29</v>
      </c>
      <c r="D297" s="70" t="s">
        <v>56</v>
      </c>
      <c r="E297" s="109">
        <v>4</v>
      </c>
      <c r="F297" s="37">
        <f>F291*E297</f>
        <v>234.48</v>
      </c>
      <c r="G297" s="32"/>
      <c r="H297" s="110"/>
      <c r="I297" s="33">
        <v>0.67135999999999996</v>
      </c>
      <c r="J297" s="73">
        <f t="shared" si="24"/>
        <v>157.42049279999998</v>
      </c>
      <c r="K297" s="263">
        <f t="shared" si="23"/>
        <v>157.42049279999998</v>
      </c>
      <c r="L297" s="1"/>
    </row>
    <row r="298" spans="1:12" s="44" customFormat="1" ht="15" hidden="1" customHeight="1">
      <c r="A298" s="284"/>
      <c r="B298" s="105" t="s">
        <v>87</v>
      </c>
      <c r="C298" s="38" t="s">
        <v>29</v>
      </c>
      <c r="D298" s="70" t="s">
        <v>58</v>
      </c>
      <c r="E298" s="109"/>
      <c r="F298" s="37">
        <f>F291</f>
        <v>58.62</v>
      </c>
      <c r="G298" s="32"/>
      <c r="H298" s="244"/>
      <c r="I298" s="33">
        <v>7.0979999999999999</v>
      </c>
      <c r="J298" s="73">
        <f t="shared" si="24"/>
        <v>416.08475999999996</v>
      </c>
      <c r="K298" s="263">
        <f t="shared" si="23"/>
        <v>416.08475999999996</v>
      </c>
      <c r="L298" s="1"/>
    </row>
    <row r="299" spans="1:12" s="45" customFormat="1" ht="15" hidden="1" customHeight="1">
      <c r="A299" s="284"/>
      <c r="B299" s="105"/>
      <c r="C299" s="75"/>
      <c r="D299" s="70"/>
      <c r="E299" s="109"/>
      <c r="F299" s="37"/>
      <c r="G299" s="32"/>
      <c r="H299" s="110"/>
      <c r="I299" s="33"/>
      <c r="J299" s="73"/>
      <c r="K299" s="263"/>
      <c r="L299" s="1"/>
    </row>
    <row r="300" spans="1:12" s="45" customFormat="1" ht="15" hidden="1" customHeight="1">
      <c r="A300" s="282"/>
      <c r="B300" s="120" t="s">
        <v>118</v>
      </c>
      <c r="C300" s="291"/>
      <c r="D300" s="292"/>
      <c r="E300" s="293"/>
      <c r="F300" s="292"/>
      <c r="G300" s="57"/>
      <c r="H300" s="292"/>
      <c r="I300" s="59"/>
      <c r="J300" s="294"/>
      <c r="K300" s="295"/>
      <c r="L300" s="1"/>
    </row>
    <row r="301" spans="1:12" s="45" customFormat="1" ht="15" hidden="1" customHeight="1">
      <c r="A301" s="288">
        <f>A291+1</f>
        <v>25</v>
      </c>
      <c r="B301" s="61" t="s">
        <v>77</v>
      </c>
      <c r="C301" s="38" t="s">
        <v>23</v>
      </c>
      <c r="D301" s="38" t="s">
        <v>30</v>
      </c>
      <c r="E301" s="109"/>
      <c r="F301" s="97">
        <v>77.849999999999994</v>
      </c>
      <c r="G301" s="32">
        <v>670</v>
      </c>
      <c r="H301" s="235">
        <f>F301*G301</f>
        <v>52159.499999999993</v>
      </c>
      <c r="I301" s="33"/>
      <c r="J301" s="66"/>
      <c r="K301" s="260">
        <f t="shared" ref="K301:K322" si="25">H301+J301</f>
        <v>52159.499999999993</v>
      </c>
      <c r="L301" s="1"/>
    </row>
    <row r="302" spans="1:12" s="45" customFormat="1" ht="15" hidden="1" customHeight="1">
      <c r="A302" s="284"/>
      <c r="B302" s="105" t="s">
        <v>24</v>
      </c>
      <c r="C302" s="38" t="s">
        <v>23</v>
      </c>
      <c r="D302" s="70" t="s">
        <v>41</v>
      </c>
      <c r="E302" s="109">
        <v>1.1000000000000001</v>
      </c>
      <c r="F302" s="37">
        <f>F301*E302</f>
        <v>85.635000000000005</v>
      </c>
      <c r="G302" s="32"/>
      <c r="H302" s="110"/>
      <c r="I302" s="33">
        <v>401.24249999999995</v>
      </c>
      <c r="J302" s="73">
        <f>F302*I302</f>
        <v>34360.401487499999</v>
      </c>
      <c r="K302" s="263">
        <f t="shared" si="25"/>
        <v>34360.401487499999</v>
      </c>
      <c r="L302" s="1"/>
    </row>
    <row r="303" spans="1:12" s="44" customFormat="1" ht="15" hidden="1" customHeight="1">
      <c r="A303" s="284"/>
      <c r="B303" s="105" t="s">
        <v>34</v>
      </c>
      <c r="C303" s="38" t="s">
        <v>23</v>
      </c>
      <c r="D303" s="70" t="s">
        <v>21</v>
      </c>
      <c r="E303" s="109">
        <v>0.2</v>
      </c>
      <c r="F303" s="37">
        <f>F301*E303</f>
        <v>15.57</v>
      </c>
      <c r="G303" s="32"/>
      <c r="H303" s="244"/>
      <c r="I303" s="33">
        <v>37.450000000000003</v>
      </c>
      <c r="J303" s="73">
        <f>F303*I303</f>
        <v>583.09650000000011</v>
      </c>
      <c r="K303" s="263">
        <f t="shared" si="25"/>
        <v>583.09650000000011</v>
      </c>
      <c r="L303" s="1"/>
    </row>
    <row r="304" spans="1:12" s="44" customFormat="1" ht="15" hidden="1" customHeight="1">
      <c r="A304" s="284"/>
      <c r="B304" s="105" t="s">
        <v>71</v>
      </c>
      <c r="C304" s="38" t="s">
        <v>23</v>
      </c>
      <c r="D304" s="70" t="s">
        <v>19</v>
      </c>
      <c r="E304" s="109">
        <v>7.6</v>
      </c>
      <c r="F304" s="37">
        <f>F301*E304</f>
        <v>591.66</v>
      </c>
      <c r="G304" s="32"/>
      <c r="H304" s="244"/>
      <c r="I304" s="33">
        <v>7.6</v>
      </c>
      <c r="J304" s="73">
        <f>F304*I304</f>
        <v>4496.616</v>
      </c>
      <c r="K304" s="263">
        <f t="shared" si="25"/>
        <v>4496.616</v>
      </c>
      <c r="L304" s="1"/>
    </row>
    <row r="305" spans="1:12" s="45" customFormat="1" ht="15" hidden="1" customHeight="1">
      <c r="A305" s="284"/>
      <c r="B305" s="105" t="s">
        <v>72</v>
      </c>
      <c r="C305" s="38" t="s">
        <v>23</v>
      </c>
      <c r="D305" s="70" t="s">
        <v>56</v>
      </c>
      <c r="E305" s="109">
        <v>11</v>
      </c>
      <c r="F305" s="37">
        <f>F301*E305</f>
        <v>856.34999999999991</v>
      </c>
      <c r="G305" s="32"/>
      <c r="H305" s="110"/>
      <c r="I305" s="33">
        <v>1.3007599999999999</v>
      </c>
      <c r="J305" s="73">
        <f>F305*I305</f>
        <v>1113.9058259999997</v>
      </c>
      <c r="K305" s="263">
        <f t="shared" si="25"/>
        <v>1113.9058259999997</v>
      </c>
      <c r="L305" s="1"/>
    </row>
    <row r="306" spans="1:12" s="44" customFormat="1" ht="15" hidden="1" customHeight="1">
      <c r="A306" s="284"/>
      <c r="B306" s="105" t="s">
        <v>73</v>
      </c>
      <c r="C306" s="38" t="s">
        <v>23</v>
      </c>
      <c r="D306" s="70" t="s">
        <v>19</v>
      </c>
      <c r="E306" s="109">
        <v>0.4</v>
      </c>
      <c r="F306" s="37">
        <f>F301*E306</f>
        <v>31.14</v>
      </c>
      <c r="G306" s="32"/>
      <c r="H306" s="244"/>
      <c r="I306" s="33">
        <v>123.5</v>
      </c>
      <c r="J306" s="73">
        <f>F306*I306</f>
        <v>3845.79</v>
      </c>
      <c r="K306" s="263">
        <f t="shared" si="25"/>
        <v>3845.79</v>
      </c>
      <c r="L306" s="1"/>
    </row>
    <row r="307" spans="1:12" s="45" customFormat="1" ht="25.5" hidden="1" customHeight="1">
      <c r="A307" s="288">
        <f>A301+1</f>
        <v>26</v>
      </c>
      <c r="B307" s="61" t="s">
        <v>119</v>
      </c>
      <c r="C307" s="38" t="s">
        <v>29</v>
      </c>
      <c r="D307" s="38" t="s">
        <v>30</v>
      </c>
      <c r="E307" s="109"/>
      <c r="F307" s="97">
        <f>F301</f>
        <v>77.849999999999994</v>
      </c>
      <c r="G307" s="32">
        <v>250</v>
      </c>
      <c r="H307" s="235">
        <f>F307*G307</f>
        <v>19462.5</v>
      </c>
      <c r="I307" s="33"/>
      <c r="J307" s="66"/>
      <c r="K307" s="260">
        <f t="shared" si="25"/>
        <v>19462.5</v>
      </c>
      <c r="L307" s="1"/>
    </row>
    <row r="308" spans="1:12" s="44" customFormat="1" ht="15" hidden="1" customHeight="1">
      <c r="A308" s="284"/>
      <c r="B308" s="105" t="s">
        <v>80</v>
      </c>
      <c r="C308" s="38" t="s">
        <v>29</v>
      </c>
      <c r="D308" s="70" t="s">
        <v>81</v>
      </c>
      <c r="E308" s="109">
        <f>(499*0.075*1.02)/1000</f>
        <v>3.8173499999999999E-2</v>
      </c>
      <c r="F308" s="37">
        <f>F307*E308</f>
        <v>2.9718069749999998</v>
      </c>
      <c r="G308" s="32"/>
      <c r="H308" s="244"/>
      <c r="I308" s="33">
        <v>5473.05</v>
      </c>
      <c r="J308" s="73">
        <f t="shared" ref="J308:J314" si="26">F308*I308</f>
        <v>16264.84816452375</v>
      </c>
      <c r="K308" s="263">
        <f t="shared" si="25"/>
        <v>16264.84816452375</v>
      </c>
      <c r="L308" s="1"/>
    </row>
    <row r="309" spans="1:12" s="44" customFormat="1" ht="15" hidden="1" customHeight="1">
      <c r="A309" s="284"/>
      <c r="B309" s="105" t="s">
        <v>82</v>
      </c>
      <c r="C309" s="38" t="s">
        <v>29</v>
      </c>
      <c r="D309" s="70" t="s">
        <v>81</v>
      </c>
      <c r="E309" s="109">
        <f>(1792*0.8*0.075*1.02)/1000</f>
        <v>0.10967040000000002</v>
      </c>
      <c r="F309" s="37">
        <f>F307*E309</f>
        <v>8.5378406400000006</v>
      </c>
      <c r="G309" s="32"/>
      <c r="H309" s="244"/>
      <c r="I309" s="33">
        <v>823.63</v>
      </c>
      <c r="J309" s="73">
        <f t="shared" si="26"/>
        <v>7032.0216863232008</v>
      </c>
      <c r="K309" s="263">
        <f t="shared" si="25"/>
        <v>7032.0216863232008</v>
      </c>
      <c r="L309" s="1"/>
    </row>
    <row r="310" spans="1:12" s="45" customFormat="1" ht="15" hidden="1" customHeight="1">
      <c r="A310" s="284"/>
      <c r="B310" s="105" t="s">
        <v>83</v>
      </c>
      <c r="C310" s="38" t="s">
        <v>29</v>
      </c>
      <c r="D310" s="70" t="s">
        <v>81</v>
      </c>
      <c r="E310" s="109">
        <f>(1792*0.2*0.075*1.02)/1000</f>
        <v>2.7417600000000004E-2</v>
      </c>
      <c r="F310" s="37">
        <f>F307*E310</f>
        <v>2.1344601600000002</v>
      </c>
      <c r="G310" s="32"/>
      <c r="H310" s="110"/>
      <c r="I310" s="33">
        <v>374.49299999999999</v>
      </c>
      <c r="J310" s="73">
        <f t="shared" si="26"/>
        <v>799.34038869888002</v>
      </c>
      <c r="K310" s="263">
        <f t="shared" si="25"/>
        <v>799.34038869888002</v>
      </c>
      <c r="L310" s="1"/>
    </row>
    <row r="311" spans="1:12" s="45" customFormat="1" ht="15" hidden="1" customHeight="1">
      <c r="A311" s="284"/>
      <c r="B311" s="105" t="s">
        <v>84</v>
      </c>
      <c r="C311" s="38" t="s">
        <v>29</v>
      </c>
      <c r="D311" s="70" t="s">
        <v>41</v>
      </c>
      <c r="E311" s="109">
        <v>1.1000000000000001</v>
      </c>
      <c r="F311" s="37">
        <f>F307*E311</f>
        <v>85.635000000000005</v>
      </c>
      <c r="G311" s="32"/>
      <c r="H311" s="110"/>
      <c r="I311" s="33">
        <v>115.91449999999999</v>
      </c>
      <c r="J311" s="73">
        <f t="shared" si="26"/>
        <v>9926.338207499999</v>
      </c>
      <c r="K311" s="263">
        <f t="shared" si="25"/>
        <v>9926.338207499999</v>
      </c>
      <c r="L311" s="1"/>
    </row>
    <row r="312" spans="1:12" s="44" customFormat="1" ht="15" hidden="1" customHeight="1">
      <c r="A312" s="284"/>
      <c r="B312" s="105" t="s">
        <v>85</v>
      </c>
      <c r="C312" s="38" t="s">
        <v>29</v>
      </c>
      <c r="D312" s="70" t="s">
        <v>81</v>
      </c>
      <c r="E312" s="109">
        <f>0.21/1000</f>
        <v>2.0999999999999998E-4</v>
      </c>
      <c r="F312" s="37">
        <f>F307*E312</f>
        <v>1.6348499999999998E-2</v>
      </c>
      <c r="G312" s="32"/>
      <c r="H312" s="244"/>
      <c r="I312" s="33">
        <v>56431.8</v>
      </c>
      <c r="J312" s="73">
        <f t="shared" si="26"/>
        <v>922.57528229999991</v>
      </c>
      <c r="K312" s="263">
        <f t="shared" si="25"/>
        <v>922.57528229999991</v>
      </c>
      <c r="L312" s="1"/>
    </row>
    <row r="313" spans="1:12" s="45" customFormat="1" ht="15" hidden="1" customHeight="1">
      <c r="A313" s="284"/>
      <c r="B313" s="105" t="s">
        <v>86</v>
      </c>
      <c r="C313" s="38" t="s">
        <v>29</v>
      </c>
      <c r="D313" s="70" t="s">
        <v>56</v>
      </c>
      <c r="E313" s="109">
        <v>4</v>
      </c>
      <c r="F313" s="37">
        <f>F307*E313</f>
        <v>311.39999999999998</v>
      </c>
      <c r="G313" s="32"/>
      <c r="H313" s="110"/>
      <c r="I313" s="33">
        <v>0.67135999999999996</v>
      </c>
      <c r="J313" s="73">
        <f t="shared" si="26"/>
        <v>209.06150399999999</v>
      </c>
      <c r="K313" s="263">
        <f t="shared" si="25"/>
        <v>209.06150399999999</v>
      </c>
      <c r="L313" s="1"/>
    </row>
    <row r="314" spans="1:12" s="44" customFormat="1" ht="15" hidden="1" customHeight="1">
      <c r="A314" s="284"/>
      <c r="B314" s="105" t="s">
        <v>87</v>
      </c>
      <c r="C314" s="38" t="s">
        <v>29</v>
      </c>
      <c r="D314" s="70" t="s">
        <v>58</v>
      </c>
      <c r="E314" s="109"/>
      <c r="F314" s="37">
        <f>F307</f>
        <v>77.849999999999994</v>
      </c>
      <c r="G314" s="32"/>
      <c r="H314" s="244"/>
      <c r="I314" s="33">
        <v>7.0979999999999999</v>
      </c>
      <c r="J314" s="73">
        <f t="shared" si="26"/>
        <v>552.57929999999999</v>
      </c>
      <c r="K314" s="263">
        <f t="shared" si="25"/>
        <v>552.57929999999999</v>
      </c>
      <c r="L314" s="1"/>
    </row>
    <row r="315" spans="1:12" s="45" customFormat="1" ht="25.5" hidden="1" customHeight="1">
      <c r="A315" s="288">
        <f>A307+1</f>
        <v>27</v>
      </c>
      <c r="B315" s="61" t="s">
        <v>98</v>
      </c>
      <c r="C315" s="38" t="s">
        <v>29</v>
      </c>
      <c r="D315" s="38" t="s">
        <v>30</v>
      </c>
      <c r="E315" s="109"/>
      <c r="F315" s="97">
        <f>F301</f>
        <v>77.849999999999994</v>
      </c>
      <c r="G315" s="32">
        <v>120</v>
      </c>
      <c r="H315" s="235">
        <f>F315*G315</f>
        <v>9342</v>
      </c>
      <c r="I315" s="33"/>
      <c r="J315" s="66"/>
      <c r="K315" s="260">
        <f t="shared" si="25"/>
        <v>9342</v>
      </c>
      <c r="L315" s="1"/>
    </row>
    <row r="316" spans="1:12" s="44" customFormat="1" ht="15" hidden="1" customHeight="1">
      <c r="A316" s="284"/>
      <c r="B316" s="105" t="s">
        <v>99</v>
      </c>
      <c r="C316" s="38" t="s">
        <v>29</v>
      </c>
      <c r="D316" s="70" t="s">
        <v>41</v>
      </c>
      <c r="E316" s="109">
        <v>1.1499999999999999</v>
      </c>
      <c r="F316" s="37">
        <f>F315*E316</f>
        <v>89.527499999999989</v>
      </c>
      <c r="G316" s="32"/>
      <c r="H316" s="244"/>
      <c r="I316" s="33">
        <v>161.51</v>
      </c>
      <c r="J316" s="73">
        <f>F316*I316</f>
        <v>14459.586524999997</v>
      </c>
      <c r="K316" s="263">
        <f t="shared" si="25"/>
        <v>14459.586524999997</v>
      </c>
      <c r="L316" s="1"/>
    </row>
    <row r="317" spans="1:12" s="45" customFormat="1" ht="15" hidden="1" customHeight="1">
      <c r="A317" s="284"/>
      <c r="B317" s="105" t="s">
        <v>100</v>
      </c>
      <c r="C317" s="38" t="s">
        <v>29</v>
      </c>
      <c r="D317" s="70" t="s">
        <v>58</v>
      </c>
      <c r="E317" s="109"/>
      <c r="F317" s="37">
        <f>F315</f>
        <v>77.849999999999994</v>
      </c>
      <c r="G317" s="32"/>
      <c r="H317" s="110"/>
      <c r="I317" s="33">
        <v>0.90213999999999994</v>
      </c>
      <c r="J317" s="73">
        <f>F317*I317</f>
        <v>70.231598999999989</v>
      </c>
      <c r="K317" s="263">
        <f t="shared" si="25"/>
        <v>70.231598999999989</v>
      </c>
      <c r="L317" s="1"/>
    </row>
    <row r="318" spans="1:12" s="45" customFormat="1" ht="15" hidden="1" customHeight="1">
      <c r="A318" s="288">
        <f>A315+1</f>
        <v>28</v>
      </c>
      <c r="B318" s="61" t="s">
        <v>91</v>
      </c>
      <c r="C318" s="38" t="s">
        <v>29</v>
      </c>
      <c r="D318" s="38" t="s">
        <v>30</v>
      </c>
      <c r="E318" s="109"/>
      <c r="F318" s="97">
        <f>F301</f>
        <v>77.849999999999994</v>
      </c>
      <c r="G318" s="32">
        <v>50</v>
      </c>
      <c r="H318" s="235">
        <f>F318*G318</f>
        <v>3892.4999999999995</v>
      </c>
      <c r="I318" s="33"/>
      <c r="J318" s="66"/>
      <c r="K318" s="260">
        <f t="shared" si="25"/>
        <v>3892.4999999999995</v>
      </c>
      <c r="L318" s="1"/>
    </row>
    <row r="319" spans="1:12" s="45" customFormat="1" ht="15" hidden="1" customHeight="1">
      <c r="A319" s="284"/>
      <c r="B319" s="105" t="s">
        <v>92</v>
      </c>
      <c r="C319" s="38" t="s">
        <v>29</v>
      </c>
      <c r="D319" s="70" t="s">
        <v>41</v>
      </c>
      <c r="E319" s="109">
        <v>1.1000000000000001</v>
      </c>
      <c r="F319" s="37">
        <f>F318*E319</f>
        <v>85.635000000000005</v>
      </c>
      <c r="G319" s="32"/>
      <c r="H319" s="110"/>
      <c r="I319" s="33">
        <v>14.05</v>
      </c>
      <c r="J319" s="73">
        <f>F319*I319</f>
        <v>1203.1717500000002</v>
      </c>
      <c r="K319" s="263">
        <f t="shared" si="25"/>
        <v>1203.1717500000002</v>
      </c>
      <c r="L319" s="1"/>
    </row>
    <row r="320" spans="1:12" s="44" customFormat="1" ht="15" hidden="1" customHeight="1">
      <c r="A320" s="284"/>
      <c r="B320" s="105" t="s">
        <v>93</v>
      </c>
      <c r="C320" s="38" t="s">
        <v>29</v>
      </c>
      <c r="D320" s="70" t="s">
        <v>58</v>
      </c>
      <c r="E320" s="109"/>
      <c r="F320" s="37">
        <f>F318*E320</f>
        <v>0</v>
      </c>
      <c r="G320" s="32"/>
      <c r="H320" s="244"/>
      <c r="I320" s="33">
        <v>4.96</v>
      </c>
      <c r="J320" s="73">
        <f>F320*I320</f>
        <v>0</v>
      </c>
      <c r="K320" s="263">
        <f t="shared" si="25"/>
        <v>0</v>
      </c>
      <c r="L320" s="1"/>
    </row>
    <row r="321" spans="1:12" s="45" customFormat="1" ht="15" hidden="1" customHeight="1">
      <c r="A321" s="288">
        <f>A318+1</f>
        <v>29</v>
      </c>
      <c r="B321" s="61" t="s">
        <v>120</v>
      </c>
      <c r="C321" s="38" t="s">
        <v>29</v>
      </c>
      <c r="D321" s="38" t="s">
        <v>30</v>
      </c>
      <c r="E321" s="109"/>
      <c r="F321" s="97">
        <f>F301</f>
        <v>77.849999999999994</v>
      </c>
      <c r="G321" s="32">
        <v>350</v>
      </c>
      <c r="H321" s="235">
        <f>F321*G321</f>
        <v>27247.499999999996</v>
      </c>
      <c r="I321" s="33"/>
      <c r="J321" s="66"/>
      <c r="K321" s="260">
        <f t="shared" si="25"/>
        <v>27247.499999999996</v>
      </c>
      <c r="L321" s="1"/>
    </row>
    <row r="322" spans="1:12" s="45" customFormat="1" ht="15" hidden="1" customHeight="1">
      <c r="A322" s="284"/>
      <c r="B322" s="105" t="s">
        <v>95</v>
      </c>
      <c r="C322" s="38" t="s">
        <v>29</v>
      </c>
      <c r="D322" s="70" t="s">
        <v>96</v>
      </c>
      <c r="E322" s="109">
        <f>0.3*1.02</f>
        <v>0.30599999999999999</v>
      </c>
      <c r="F322" s="37">
        <f>F321*E322</f>
        <v>23.822099999999999</v>
      </c>
      <c r="G322" s="32"/>
      <c r="H322" s="110"/>
      <c r="I322" s="33">
        <v>2448.1561999999999</v>
      </c>
      <c r="J322" s="73">
        <f>F322*I322</f>
        <v>58320.221812019998</v>
      </c>
      <c r="K322" s="263">
        <f t="shared" si="25"/>
        <v>58320.221812019998</v>
      </c>
      <c r="L322" s="1"/>
    </row>
    <row r="323" spans="1:12" s="45" customFormat="1" ht="15" hidden="1" customHeight="1">
      <c r="A323" s="284"/>
      <c r="B323" s="105"/>
      <c r="C323" s="75"/>
      <c r="D323" s="70"/>
      <c r="E323" s="64"/>
      <c r="F323" s="37"/>
      <c r="G323" s="32"/>
      <c r="H323" s="110"/>
      <c r="I323" s="33"/>
      <c r="J323" s="73"/>
      <c r="K323" s="263"/>
      <c r="L323" s="1"/>
    </row>
    <row r="324" spans="1:12" s="45" customFormat="1" ht="15" hidden="1" customHeight="1">
      <c r="A324" s="282"/>
      <c r="B324" s="120" t="s">
        <v>121</v>
      </c>
      <c r="C324" s="291"/>
      <c r="D324" s="292"/>
      <c r="E324" s="293"/>
      <c r="F324" s="292"/>
      <c r="G324" s="57"/>
      <c r="H324" s="292"/>
      <c r="I324" s="59"/>
      <c r="J324" s="294"/>
      <c r="K324" s="295"/>
      <c r="L324" s="1"/>
    </row>
    <row r="325" spans="1:12" s="45" customFormat="1" ht="15" hidden="1" customHeight="1">
      <c r="A325" s="288">
        <f>A321+1</f>
        <v>30</v>
      </c>
      <c r="B325" s="61" t="s">
        <v>77</v>
      </c>
      <c r="C325" s="38" t="s">
        <v>23</v>
      </c>
      <c r="D325" s="38" t="s">
        <v>30</v>
      </c>
      <c r="E325" s="109"/>
      <c r="F325" s="97">
        <v>120.5</v>
      </c>
      <c r="G325" s="32">
        <v>670</v>
      </c>
      <c r="H325" s="235">
        <f>F325*G325</f>
        <v>80735</v>
      </c>
      <c r="I325" s="33"/>
      <c r="J325" s="66"/>
      <c r="K325" s="260">
        <f t="shared" ref="K325:K356" si="27">H325+J325</f>
        <v>80735</v>
      </c>
      <c r="L325" s="1"/>
    </row>
    <row r="326" spans="1:12" s="45" customFormat="1" ht="15" hidden="1" customHeight="1">
      <c r="A326" s="284"/>
      <c r="B326" s="105" t="s">
        <v>24</v>
      </c>
      <c r="C326" s="38" t="s">
        <v>23</v>
      </c>
      <c r="D326" s="70" t="s">
        <v>41</v>
      </c>
      <c r="E326" s="109">
        <v>1.1000000000000001</v>
      </c>
      <c r="F326" s="37">
        <f>F325*E326</f>
        <v>132.55000000000001</v>
      </c>
      <c r="G326" s="32"/>
      <c r="H326" s="110"/>
      <c r="I326" s="33">
        <v>401.24249999999995</v>
      </c>
      <c r="J326" s="73">
        <f>F326*I326</f>
        <v>53184.693374999995</v>
      </c>
      <c r="K326" s="263">
        <f t="shared" si="27"/>
        <v>53184.693374999995</v>
      </c>
      <c r="L326" s="1"/>
    </row>
    <row r="327" spans="1:12" s="44" customFormat="1" ht="15" hidden="1" customHeight="1">
      <c r="A327" s="284"/>
      <c r="B327" s="105" t="s">
        <v>34</v>
      </c>
      <c r="C327" s="38" t="s">
        <v>23</v>
      </c>
      <c r="D327" s="70" t="s">
        <v>21</v>
      </c>
      <c r="E327" s="109">
        <v>0.2</v>
      </c>
      <c r="F327" s="37">
        <f>F325*E327</f>
        <v>24.1</v>
      </c>
      <c r="G327" s="32"/>
      <c r="H327" s="244"/>
      <c r="I327" s="33">
        <v>37.450000000000003</v>
      </c>
      <c r="J327" s="73">
        <f>F327*I327</f>
        <v>902.54500000000007</v>
      </c>
      <c r="K327" s="263">
        <f t="shared" si="27"/>
        <v>902.54500000000007</v>
      </c>
      <c r="L327" s="1"/>
    </row>
    <row r="328" spans="1:12" s="44" customFormat="1" ht="15" hidden="1" customHeight="1">
      <c r="A328" s="284"/>
      <c r="B328" s="105" t="s">
        <v>71</v>
      </c>
      <c r="C328" s="38" t="s">
        <v>23</v>
      </c>
      <c r="D328" s="70" t="s">
        <v>19</v>
      </c>
      <c r="E328" s="109">
        <v>7.6</v>
      </c>
      <c r="F328" s="37">
        <f>F325*E328</f>
        <v>915.8</v>
      </c>
      <c r="G328" s="32"/>
      <c r="H328" s="244"/>
      <c r="I328" s="33">
        <v>7.6</v>
      </c>
      <c r="J328" s="73">
        <f>F328*I328</f>
        <v>6960.079999999999</v>
      </c>
      <c r="K328" s="263">
        <f t="shared" si="27"/>
        <v>6960.079999999999</v>
      </c>
      <c r="L328" s="1"/>
    </row>
    <row r="329" spans="1:12" s="45" customFormat="1" ht="15" hidden="1" customHeight="1">
      <c r="A329" s="284"/>
      <c r="B329" s="105" t="s">
        <v>72</v>
      </c>
      <c r="C329" s="38" t="s">
        <v>23</v>
      </c>
      <c r="D329" s="70" t="s">
        <v>56</v>
      </c>
      <c r="E329" s="109">
        <v>11</v>
      </c>
      <c r="F329" s="37">
        <f>F325*E329</f>
        <v>1325.5</v>
      </c>
      <c r="G329" s="32"/>
      <c r="H329" s="110"/>
      <c r="I329" s="33">
        <v>1.3007599999999999</v>
      </c>
      <c r="J329" s="73">
        <f>F329*I329</f>
        <v>1724.1573799999999</v>
      </c>
      <c r="K329" s="263">
        <f t="shared" si="27"/>
        <v>1724.1573799999999</v>
      </c>
      <c r="L329" s="1"/>
    </row>
    <row r="330" spans="1:12" s="44" customFormat="1" ht="15" hidden="1" customHeight="1">
      <c r="A330" s="284"/>
      <c r="B330" s="105" t="s">
        <v>73</v>
      </c>
      <c r="C330" s="38" t="s">
        <v>23</v>
      </c>
      <c r="D330" s="70" t="s">
        <v>19</v>
      </c>
      <c r="E330" s="109">
        <v>0.4</v>
      </c>
      <c r="F330" s="37">
        <f>F325*E330</f>
        <v>48.2</v>
      </c>
      <c r="G330" s="32"/>
      <c r="H330" s="244"/>
      <c r="I330" s="33">
        <v>123.5</v>
      </c>
      <c r="J330" s="73">
        <f>F330*I330</f>
        <v>5952.7000000000007</v>
      </c>
      <c r="K330" s="263">
        <f t="shared" si="27"/>
        <v>5952.7000000000007</v>
      </c>
      <c r="L330" s="1"/>
    </row>
    <row r="331" spans="1:12" s="45" customFormat="1" ht="15" hidden="1" customHeight="1">
      <c r="A331" s="288">
        <f>A325+1</f>
        <v>31</v>
      </c>
      <c r="B331" s="61" t="s">
        <v>89</v>
      </c>
      <c r="C331" s="38" t="s">
        <v>29</v>
      </c>
      <c r="D331" s="38" t="s">
        <v>30</v>
      </c>
      <c r="E331" s="109"/>
      <c r="F331" s="97">
        <f>F325</f>
        <v>120.5</v>
      </c>
      <c r="G331" s="32">
        <v>100</v>
      </c>
      <c r="H331" s="235">
        <f>F331*G331</f>
        <v>12050</v>
      </c>
      <c r="I331" s="33"/>
      <c r="J331" s="66"/>
      <c r="K331" s="260">
        <f t="shared" si="27"/>
        <v>12050</v>
      </c>
      <c r="L331" s="1"/>
    </row>
    <row r="332" spans="1:12" s="44" customFormat="1" ht="15" hidden="1" customHeight="1">
      <c r="A332" s="284"/>
      <c r="B332" s="105" t="s">
        <v>34</v>
      </c>
      <c r="C332" s="38" t="s">
        <v>29</v>
      </c>
      <c r="D332" s="70" t="s">
        <v>21</v>
      </c>
      <c r="E332" s="109">
        <v>0.2</v>
      </c>
      <c r="F332" s="37">
        <f>F331*E332</f>
        <v>24.1</v>
      </c>
      <c r="G332" s="32"/>
      <c r="H332" s="244"/>
      <c r="I332" s="33">
        <v>37.450000000000003</v>
      </c>
      <c r="J332" s="73">
        <f>F332*I332</f>
        <v>902.54500000000007</v>
      </c>
      <c r="K332" s="263">
        <f t="shared" si="27"/>
        <v>902.54500000000007</v>
      </c>
      <c r="L332" s="1"/>
    </row>
    <row r="333" spans="1:12" s="44" customFormat="1" ht="15" hidden="1" customHeight="1">
      <c r="A333" s="284"/>
      <c r="B333" s="105" t="s">
        <v>90</v>
      </c>
      <c r="C333" s="38" t="s">
        <v>29</v>
      </c>
      <c r="D333" s="70" t="s">
        <v>19</v>
      </c>
      <c r="E333" s="109">
        <v>4.8</v>
      </c>
      <c r="F333" s="37">
        <f>F331*E333</f>
        <v>578.4</v>
      </c>
      <c r="G333" s="32"/>
      <c r="H333" s="244"/>
      <c r="I333" s="33">
        <v>20.329999999999998</v>
      </c>
      <c r="J333" s="73">
        <f>F333*I333</f>
        <v>11758.871999999999</v>
      </c>
      <c r="K333" s="263">
        <f t="shared" si="27"/>
        <v>11758.871999999999</v>
      </c>
      <c r="L333" s="1"/>
    </row>
    <row r="334" spans="1:12" s="45" customFormat="1" ht="25.5" hidden="1" customHeight="1">
      <c r="A334" s="288">
        <f>A331+1</f>
        <v>32</v>
      </c>
      <c r="B334" s="61" t="s">
        <v>122</v>
      </c>
      <c r="C334" s="38" t="s">
        <v>29</v>
      </c>
      <c r="D334" s="38" t="s">
        <v>30</v>
      </c>
      <c r="E334" s="109"/>
      <c r="F334" s="97">
        <f>F325</f>
        <v>120.5</v>
      </c>
      <c r="G334" s="32">
        <v>250</v>
      </c>
      <c r="H334" s="235">
        <f>F334*G334</f>
        <v>30125</v>
      </c>
      <c r="I334" s="33"/>
      <c r="J334" s="66"/>
      <c r="K334" s="260">
        <f t="shared" si="27"/>
        <v>30125</v>
      </c>
      <c r="L334" s="1"/>
    </row>
    <row r="335" spans="1:12" s="44" customFormat="1" ht="15" hidden="1" customHeight="1">
      <c r="A335" s="284"/>
      <c r="B335" s="105" t="s">
        <v>80</v>
      </c>
      <c r="C335" s="38" t="s">
        <v>29</v>
      </c>
      <c r="D335" s="70" t="s">
        <v>81</v>
      </c>
      <c r="E335" s="109">
        <f>(499*0.07*1.02)/1000</f>
        <v>3.5628600000000003E-2</v>
      </c>
      <c r="F335" s="37">
        <f>F334*E335</f>
        <v>4.2932463000000007</v>
      </c>
      <c r="G335" s="32"/>
      <c r="H335" s="244"/>
      <c r="I335" s="33">
        <v>5473.05</v>
      </c>
      <c r="J335" s="73">
        <f t="shared" ref="J335:J341" si="28">F335*I335</f>
        <v>23497.151662215005</v>
      </c>
      <c r="K335" s="263">
        <f t="shared" si="27"/>
        <v>23497.151662215005</v>
      </c>
      <c r="L335" s="1"/>
    </row>
    <row r="336" spans="1:12" s="44" customFormat="1" ht="15" hidden="1" customHeight="1">
      <c r="A336" s="284"/>
      <c r="B336" s="105" t="s">
        <v>82</v>
      </c>
      <c r="C336" s="38" t="s">
        <v>29</v>
      </c>
      <c r="D336" s="70" t="s">
        <v>81</v>
      </c>
      <c r="E336" s="109">
        <f>(1792*0.8*0.07*1.02)/1000</f>
        <v>0.10235904000000003</v>
      </c>
      <c r="F336" s="37">
        <f>F334*E336</f>
        <v>12.334264320000003</v>
      </c>
      <c r="G336" s="32"/>
      <c r="H336" s="244"/>
      <c r="I336" s="33">
        <v>823.63</v>
      </c>
      <c r="J336" s="73">
        <f t="shared" si="28"/>
        <v>10158.870121881602</v>
      </c>
      <c r="K336" s="263">
        <f t="shared" si="27"/>
        <v>10158.870121881602</v>
      </c>
      <c r="L336" s="1"/>
    </row>
    <row r="337" spans="1:12" s="45" customFormat="1" ht="15" hidden="1" customHeight="1">
      <c r="A337" s="284"/>
      <c r="B337" s="105" t="s">
        <v>83</v>
      </c>
      <c r="C337" s="38" t="s">
        <v>29</v>
      </c>
      <c r="D337" s="70" t="s">
        <v>81</v>
      </c>
      <c r="E337" s="109">
        <f>(1792*0.2*0.07*1.02)/1000</f>
        <v>2.5589760000000007E-2</v>
      </c>
      <c r="F337" s="37">
        <f>F334*E337</f>
        <v>3.0835660800000007</v>
      </c>
      <c r="G337" s="32"/>
      <c r="H337" s="110"/>
      <c r="I337" s="33">
        <v>374.49299999999999</v>
      </c>
      <c r="J337" s="73">
        <f t="shared" si="28"/>
        <v>1154.7739119974403</v>
      </c>
      <c r="K337" s="263">
        <f t="shared" si="27"/>
        <v>1154.7739119974403</v>
      </c>
      <c r="L337" s="1"/>
    </row>
    <row r="338" spans="1:12" s="45" customFormat="1" ht="15" hidden="1" customHeight="1">
      <c r="A338" s="284"/>
      <c r="B338" s="105" t="s">
        <v>84</v>
      </c>
      <c r="C338" s="38" t="s">
        <v>29</v>
      </c>
      <c r="D338" s="70" t="s">
        <v>41</v>
      </c>
      <c r="E338" s="109">
        <v>1.1000000000000001</v>
      </c>
      <c r="F338" s="37">
        <f>F334*E338</f>
        <v>132.55000000000001</v>
      </c>
      <c r="G338" s="32"/>
      <c r="H338" s="110"/>
      <c r="I338" s="33">
        <v>115.91449999999999</v>
      </c>
      <c r="J338" s="73">
        <f t="shared" si="28"/>
        <v>15364.466974999999</v>
      </c>
      <c r="K338" s="263">
        <f t="shared" si="27"/>
        <v>15364.466974999999</v>
      </c>
      <c r="L338" s="1"/>
    </row>
    <row r="339" spans="1:12" s="44" customFormat="1" ht="15" hidden="1" customHeight="1">
      <c r="A339" s="284"/>
      <c r="B339" s="105" t="s">
        <v>85</v>
      </c>
      <c r="C339" s="38" t="s">
        <v>29</v>
      </c>
      <c r="D339" s="70" t="s">
        <v>81</v>
      </c>
      <c r="E339" s="109">
        <f>0.21/1000</f>
        <v>2.0999999999999998E-4</v>
      </c>
      <c r="F339" s="37">
        <f>F334*E339</f>
        <v>2.5304999999999998E-2</v>
      </c>
      <c r="G339" s="32"/>
      <c r="H339" s="244"/>
      <c r="I339" s="33">
        <v>56431.8</v>
      </c>
      <c r="J339" s="73">
        <f t="shared" si="28"/>
        <v>1428.006699</v>
      </c>
      <c r="K339" s="263">
        <f t="shared" si="27"/>
        <v>1428.006699</v>
      </c>
      <c r="L339" s="1"/>
    </row>
    <row r="340" spans="1:12" s="45" customFormat="1" ht="15" hidden="1" customHeight="1">
      <c r="A340" s="284"/>
      <c r="B340" s="105" t="s">
        <v>86</v>
      </c>
      <c r="C340" s="38" t="s">
        <v>29</v>
      </c>
      <c r="D340" s="70" t="s">
        <v>56</v>
      </c>
      <c r="E340" s="109">
        <v>4</v>
      </c>
      <c r="F340" s="37">
        <f>F334*E340</f>
        <v>482</v>
      </c>
      <c r="G340" s="32"/>
      <c r="H340" s="110"/>
      <c r="I340" s="33">
        <v>0.67135999999999996</v>
      </c>
      <c r="J340" s="73">
        <f t="shared" si="28"/>
        <v>323.59551999999996</v>
      </c>
      <c r="K340" s="263">
        <f t="shared" si="27"/>
        <v>323.59551999999996</v>
      </c>
      <c r="L340" s="1"/>
    </row>
    <row r="341" spans="1:12" s="44" customFormat="1" ht="15" hidden="1" customHeight="1">
      <c r="A341" s="284"/>
      <c r="B341" s="105" t="s">
        <v>87</v>
      </c>
      <c r="C341" s="38" t="s">
        <v>29</v>
      </c>
      <c r="D341" s="70" t="s">
        <v>58</v>
      </c>
      <c r="E341" s="109"/>
      <c r="F341" s="37">
        <f>F334</f>
        <v>120.5</v>
      </c>
      <c r="G341" s="32"/>
      <c r="H341" s="244"/>
      <c r="I341" s="33">
        <v>7.0979999999999999</v>
      </c>
      <c r="J341" s="73">
        <f t="shared" si="28"/>
        <v>855.30899999999997</v>
      </c>
      <c r="K341" s="263">
        <f t="shared" si="27"/>
        <v>855.30899999999997</v>
      </c>
      <c r="L341" s="1"/>
    </row>
    <row r="342" spans="1:12" s="45" customFormat="1" ht="25.5" hidden="1" customHeight="1">
      <c r="A342" s="288">
        <f>A334+1</f>
        <v>33</v>
      </c>
      <c r="B342" s="61" t="s">
        <v>123</v>
      </c>
      <c r="C342" s="38" t="s">
        <v>29</v>
      </c>
      <c r="D342" s="38" t="s">
        <v>30</v>
      </c>
      <c r="E342" s="109"/>
      <c r="F342" s="97">
        <f>F325</f>
        <v>120.5</v>
      </c>
      <c r="G342" s="32">
        <v>120</v>
      </c>
      <c r="H342" s="235">
        <f>F342*G342</f>
        <v>14460</v>
      </c>
      <c r="I342" s="33"/>
      <c r="J342" s="66"/>
      <c r="K342" s="260">
        <f t="shared" si="27"/>
        <v>14460</v>
      </c>
      <c r="L342" s="1"/>
    </row>
    <row r="343" spans="1:12" s="44" customFormat="1" ht="15" hidden="1" customHeight="1">
      <c r="A343" s="284"/>
      <c r="B343" s="105" t="s">
        <v>99</v>
      </c>
      <c r="C343" s="38" t="s">
        <v>29</v>
      </c>
      <c r="D343" s="70" t="s">
        <v>41</v>
      </c>
      <c r="E343" s="109">
        <v>1.3</v>
      </c>
      <c r="F343" s="37">
        <f>F342*E343</f>
        <v>156.65</v>
      </c>
      <c r="G343" s="32"/>
      <c r="H343" s="244"/>
      <c r="I343" s="33">
        <v>161.51</v>
      </c>
      <c r="J343" s="73">
        <f>F343*I343</f>
        <v>25300.541499999999</v>
      </c>
      <c r="K343" s="263">
        <f t="shared" si="27"/>
        <v>25300.541499999999</v>
      </c>
      <c r="L343" s="1"/>
    </row>
    <row r="344" spans="1:12" s="45" customFormat="1" ht="15" hidden="1" customHeight="1">
      <c r="A344" s="284"/>
      <c r="B344" s="105" t="s">
        <v>100</v>
      </c>
      <c r="C344" s="38" t="s">
        <v>29</v>
      </c>
      <c r="D344" s="70" t="s">
        <v>58</v>
      </c>
      <c r="E344" s="109"/>
      <c r="F344" s="37">
        <f>F342</f>
        <v>120.5</v>
      </c>
      <c r="G344" s="32"/>
      <c r="H344" s="110"/>
      <c r="I344" s="33">
        <v>0.90213999999999994</v>
      </c>
      <c r="J344" s="73">
        <f>F344*I344</f>
        <v>108.70787</v>
      </c>
      <c r="K344" s="263">
        <f t="shared" si="27"/>
        <v>108.70787</v>
      </c>
      <c r="L344" s="1"/>
    </row>
    <row r="345" spans="1:12" s="45" customFormat="1" ht="15" hidden="1" customHeight="1">
      <c r="A345" s="288">
        <f>A342+1</f>
        <v>34</v>
      </c>
      <c r="B345" s="61" t="s">
        <v>101</v>
      </c>
      <c r="C345" s="38" t="s">
        <v>29</v>
      </c>
      <c r="D345" s="38" t="s">
        <v>30</v>
      </c>
      <c r="E345" s="109"/>
      <c r="F345" s="97">
        <f>F325</f>
        <v>120.5</v>
      </c>
      <c r="G345" s="32">
        <v>150</v>
      </c>
      <c r="H345" s="235">
        <f>F345*G345</f>
        <v>18075</v>
      </c>
      <c r="I345" s="33"/>
      <c r="J345" s="66"/>
      <c r="K345" s="260">
        <f t="shared" si="27"/>
        <v>18075</v>
      </c>
      <c r="L345" s="1"/>
    </row>
    <row r="346" spans="1:12" s="45" customFormat="1" ht="15" hidden="1" customHeight="1">
      <c r="A346" s="284"/>
      <c r="B346" s="105" t="s">
        <v>102</v>
      </c>
      <c r="C346" s="38" t="s">
        <v>29</v>
      </c>
      <c r="D346" s="70" t="s">
        <v>41</v>
      </c>
      <c r="E346" s="109">
        <f>1.15</f>
        <v>1.1499999999999999</v>
      </c>
      <c r="F346" s="37">
        <f>F345*E346</f>
        <v>138.57499999999999</v>
      </c>
      <c r="G346" s="32"/>
      <c r="H346" s="110"/>
      <c r="I346" s="33">
        <v>38.708099999999995</v>
      </c>
      <c r="J346" s="73">
        <f>F346*I346</f>
        <v>5363.9749574999987</v>
      </c>
      <c r="K346" s="263">
        <f t="shared" si="27"/>
        <v>5363.9749574999987</v>
      </c>
      <c r="L346" s="1"/>
    </row>
    <row r="347" spans="1:12" s="44" customFormat="1" ht="15" hidden="1" customHeight="1">
      <c r="A347" s="284"/>
      <c r="B347" s="105" t="s">
        <v>103</v>
      </c>
      <c r="C347" s="38" t="s">
        <v>29</v>
      </c>
      <c r="D347" s="70" t="s">
        <v>19</v>
      </c>
      <c r="E347" s="109">
        <v>0.3</v>
      </c>
      <c r="F347" s="37">
        <f>F345*E347</f>
        <v>36.15</v>
      </c>
      <c r="G347" s="32"/>
      <c r="H347" s="244"/>
      <c r="I347" s="33">
        <v>60.6</v>
      </c>
      <c r="J347" s="73">
        <f>F347*I347</f>
        <v>2190.69</v>
      </c>
      <c r="K347" s="263">
        <f t="shared" si="27"/>
        <v>2190.69</v>
      </c>
      <c r="L347" s="1"/>
    </row>
    <row r="348" spans="1:12" s="45" customFormat="1" ht="15" hidden="1" customHeight="1">
      <c r="A348" s="288"/>
      <c r="B348" s="105" t="s">
        <v>104</v>
      </c>
      <c r="C348" s="38" t="s">
        <v>29</v>
      </c>
      <c r="D348" s="70" t="s">
        <v>21</v>
      </c>
      <c r="E348" s="64">
        <v>1</v>
      </c>
      <c r="F348" s="37">
        <f>E348*F345</f>
        <v>120.5</v>
      </c>
      <c r="G348" s="32"/>
      <c r="H348" s="110"/>
      <c r="I348" s="33">
        <v>35</v>
      </c>
      <c r="J348" s="73">
        <f>F348*I348</f>
        <v>4217.5</v>
      </c>
      <c r="K348" s="263">
        <f t="shared" si="27"/>
        <v>4217.5</v>
      </c>
      <c r="L348" s="1"/>
    </row>
    <row r="349" spans="1:12" s="45" customFormat="1" ht="25.5" hidden="1" customHeight="1">
      <c r="A349" s="288">
        <f>A345+1</f>
        <v>35</v>
      </c>
      <c r="B349" s="121" t="s">
        <v>124</v>
      </c>
      <c r="C349" s="38" t="s">
        <v>29</v>
      </c>
      <c r="D349" s="38" t="s">
        <v>125</v>
      </c>
      <c r="E349" s="64"/>
      <c r="F349" s="91">
        <f>1.3*0.9*0.2</f>
        <v>0.23400000000000004</v>
      </c>
      <c r="G349" s="241">
        <v>12000</v>
      </c>
      <c r="H349" s="235">
        <f>F349*G349</f>
        <v>2808.0000000000005</v>
      </c>
      <c r="I349" s="33"/>
      <c r="J349" s="66"/>
      <c r="K349" s="260">
        <f t="shared" si="27"/>
        <v>2808.0000000000005</v>
      </c>
      <c r="L349" s="122"/>
    </row>
    <row r="350" spans="1:12" s="45" customFormat="1" ht="15" hidden="1" customHeight="1">
      <c r="A350" s="284"/>
      <c r="B350" s="123" t="s">
        <v>126</v>
      </c>
      <c r="C350" s="38" t="s">
        <v>29</v>
      </c>
      <c r="D350" s="70" t="s">
        <v>25</v>
      </c>
      <c r="E350" s="64"/>
      <c r="F350" s="37">
        <v>12</v>
      </c>
      <c r="G350" s="32"/>
      <c r="H350" s="110"/>
      <c r="I350" s="33">
        <v>251.07499999999999</v>
      </c>
      <c r="J350" s="73">
        <f t="shared" ref="J350:J356" si="29">F350*I350</f>
        <v>3012.8999999999996</v>
      </c>
      <c r="K350" s="263">
        <f t="shared" si="27"/>
        <v>3012.8999999999996</v>
      </c>
      <c r="L350" s="1"/>
    </row>
    <row r="351" spans="1:12" s="45" customFormat="1" ht="25.5" hidden="1" customHeight="1">
      <c r="A351" s="284"/>
      <c r="B351" s="123" t="s">
        <v>127</v>
      </c>
      <c r="C351" s="38" t="s">
        <v>29</v>
      </c>
      <c r="D351" s="70" t="s">
        <v>19</v>
      </c>
      <c r="E351" s="64"/>
      <c r="F351" s="37">
        <f>0.11*0.14*12</f>
        <v>0.18480000000000002</v>
      </c>
      <c r="G351" s="32"/>
      <c r="H351" s="110"/>
      <c r="I351" s="33">
        <v>472.04999999999995</v>
      </c>
      <c r="J351" s="73">
        <f t="shared" si="29"/>
        <v>87.234840000000005</v>
      </c>
      <c r="K351" s="263">
        <f t="shared" si="27"/>
        <v>87.234840000000005</v>
      </c>
      <c r="L351" s="1"/>
    </row>
    <row r="352" spans="1:12" s="45" customFormat="1" ht="15" hidden="1" customHeight="1">
      <c r="A352" s="284"/>
      <c r="B352" s="123" t="s">
        <v>128</v>
      </c>
      <c r="C352" s="38" t="s">
        <v>29</v>
      </c>
      <c r="D352" s="123" t="s">
        <v>125</v>
      </c>
      <c r="E352" s="124">
        <v>1.0149999999999999</v>
      </c>
      <c r="F352" s="125">
        <f>F349*E352</f>
        <v>0.23751000000000003</v>
      </c>
      <c r="G352" s="32"/>
      <c r="H352" s="110"/>
      <c r="I352" s="33"/>
      <c r="J352" s="73">
        <f t="shared" si="29"/>
        <v>0</v>
      </c>
      <c r="K352" s="263">
        <f t="shared" si="27"/>
        <v>0</v>
      </c>
      <c r="L352" s="1"/>
    </row>
    <row r="353" spans="1:12" s="44" customFormat="1" ht="15" hidden="1" customHeight="1">
      <c r="A353" s="284"/>
      <c r="B353" s="123" t="s">
        <v>129</v>
      </c>
      <c r="C353" s="38" t="s">
        <v>29</v>
      </c>
      <c r="D353" s="123" t="s">
        <v>18</v>
      </c>
      <c r="E353" s="124">
        <v>1.05</v>
      </c>
      <c r="F353" s="125">
        <f>1.3*0.9*E353</f>
        <v>1.2285000000000001</v>
      </c>
      <c r="G353" s="32"/>
      <c r="H353" s="244"/>
      <c r="I353" s="33">
        <v>330.99</v>
      </c>
      <c r="J353" s="73">
        <f t="shared" si="29"/>
        <v>406.62121500000006</v>
      </c>
      <c r="K353" s="263">
        <f t="shared" si="27"/>
        <v>406.62121500000006</v>
      </c>
      <c r="L353" s="1"/>
    </row>
    <row r="354" spans="1:12" s="44" customFormat="1" ht="15" hidden="1" customHeight="1">
      <c r="A354" s="284"/>
      <c r="B354" s="123" t="s">
        <v>130</v>
      </c>
      <c r="C354" s="38" t="s">
        <v>29</v>
      </c>
      <c r="D354" s="123" t="s">
        <v>18</v>
      </c>
      <c r="E354" s="124">
        <v>1.1000000000000001</v>
      </c>
      <c r="F354" s="125">
        <f>1.3*0.9*E354</f>
        <v>1.2870000000000004</v>
      </c>
      <c r="G354" s="32"/>
      <c r="H354" s="244"/>
      <c r="I354" s="33">
        <v>4.3099999999999996</v>
      </c>
      <c r="J354" s="73">
        <f t="shared" si="29"/>
        <v>5.5469700000000008</v>
      </c>
      <c r="K354" s="263">
        <f t="shared" si="27"/>
        <v>5.5469700000000008</v>
      </c>
      <c r="L354" s="1"/>
    </row>
    <row r="355" spans="1:12" s="44" customFormat="1" ht="15" hidden="1" customHeight="1">
      <c r="A355" s="284"/>
      <c r="B355" s="98" t="s">
        <v>131</v>
      </c>
      <c r="C355" s="38" t="s">
        <v>29</v>
      </c>
      <c r="D355" s="41" t="s">
        <v>19</v>
      </c>
      <c r="E355" s="21">
        <v>0.15</v>
      </c>
      <c r="F355" s="68">
        <f>E355*((1.3*2+0.9*2)*0.15+1.3*0.9)</f>
        <v>0.27450000000000002</v>
      </c>
      <c r="G355" s="32"/>
      <c r="H355" s="244"/>
      <c r="I355" s="33">
        <v>37.81</v>
      </c>
      <c r="J355" s="73">
        <f t="shared" si="29"/>
        <v>10.378845000000002</v>
      </c>
      <c r="K355" s="263">
        <f t="shared" si="27"/>
        <v>10.378845000000002</v>
      </c>
      <c r="L355" s="1"/>
    </row>
    <row r="356" spans="1:12" s="44" customFormat="1" ht="15" hidden="1" customHeight="1">
      <c r="A356" s="284"/>
      <c r="B356" s="105" t="s">
        <v>132</v>
      </c>
      <c r="C356" s="38" t="s">
        <v>29</v>
      </c>
      <c r="D356" s="70" t="s">
        <v>19</v>
      </c>
      <c r="E356" s="64">
        <v>0.3</v>
      </c>
      <c r="F356" s="68">
        <f>E356*((1.3*2+0.9*2)*0.15+1.3*0.9)</f>
        <v>0.54900000000000004</v>
      </c>
      <c r="G356" s="32"/>
      <c r="H356" s="244"/>
      <c r="I356" s="33">
        <v>199.53</v>
      </c>
      <c r="J356" s="73">
        <f t="shared" si="29"/>
        <v>109.54197000000001</v>
      </c>
      <c r="K356" s="263">
        <f t="shared" si="27"/>
        <v>109.54197000000001</v>
      </c>
      <c r="L356" s="1"/>
    </row>
    <row r="357" spans="1:12" s="45" customFormat="1" ht="15" hidden="1" customHeight="1">
      <c r="A357" s="284"/>
      <c r="B357" s="126"/>
      <c r="C357" s="38" t="s">
        <v>29</v>
      </c>
      <c r="D357" s="123"/>
      <c r="E357" s="124"/>
      <c r="F357" s="125"/>
      <c r="G357" s="32"/>
      <c r="H357" s="110"/>
      <c r="I357" s="33"/>
      <c r="J357" s="73"/>
      <c r="K357" s="263"/>
      <c r="L357" s="1"/>
    </row>
    <row r="358" spans="1:12" s="45" customFormat="1" ht="25.5" hidden="1" customHeight="1">
      <c r="A358" s="288">
        <f>A349+1</f>
        <v>36</v>
      </c>
      <c r="B358" s="121" t="s">
        <v>133</v>
      </c>
      <c r="C358" s="38" t="s">
        <v>29</v>
      </c>
      <c r="D358" s="38" t="s">
        <v>125</v>
      </c>
      <c r="E358" s="64"/>
      <c r="F358" s="91">
        <f>1.23*0.87*0.2</f>
        <v>0.21402000000000002</v>
      </c>
      <c r="G358" s="241">
        <v>12000</v>
      </c>
      <c r="H358" s="235">
        <f>F358*G358</f>
        <v>2568.2400000000002</v>
      </c>
      <c r="I358" s="33"/>
      <c r="J358" s="66"/>
      <c r="K358" s="260">
        <f t="shared" ref="K358:K365" si="30">H358+J358</f>
        <v>2568.2400000000002</v>
      </c>
      <c r="L358" s="122"/>
    </row>
    <row r="359" spans="1:12" s="45" customFormat="1" ht="15" hidden="1" customHeight="1">
      <c r="A359" s="284"/>
      <c r="B359" s="123" t="s">
        <v>126</v>
      </c>
      <c r="C359" s="38" t="s">
        <v>29</v>
      </c>
      <c r="D359" s="70" t="s">
        <v>25</v>
      </c>
      <c r="E359" s="64"/>
      <c r="F359" s="37">
        <v>12</v>
      </c>
      <c r="G359" s="32"/>
      <c r="H359" s="110"/>
      <c r="I359" s="33">
        <v>251.07499999999999</v>
      </c>
      <c r="J359" s="73">
        <f t="shared" ref="J359:J365" si="31">F359*I359</f>
        <v>3012.8999999999996</v>
      </c>
      <c r="K359" s="263">
        <f t="shared" si="30"/>
        <v>3012.8999999999996</v>
      </c>
      <c r="L359" s="1"/>
    </row>
    <row r="360" spans="1:12" s="45" customFormat="1" ht="25.5" hidden="1" customHeight="1">
      <c r="A360" s="284"/>
      <c r="B360" s="123" t="s">
        <v>127</v>
      </c>
      <c r="C360" s="38" t="s">
        <v>29</v>
      </c>
      <c r="D360" s="70" t="s">
        <v>19</v>
      </c>
      <c r="E360" s="64"/>
      <c r="F360" s="37">
        <f>0.11*0.14*12</f>
        <v>0.18480000000000002</v>
      </c>
      <c r="G360" s="32"/>
      <c r="H360" s="110"/>
      <c r="I360" s="33">
        <v>472.04999999999995</v>
      </c>
      <c r="J360" s="73">
        <f t="shared" si="31"/>
        <v>87.234840000000005</v>
      </c>
      <c r="K360" s="263">
        <f t="shared" si="30"/>
        <v>87.234840000000005</v>
      </c>
      <c r="L360" s="1"/>
    </row>
    <row r="361" spans="1:12" s="45" customFormat="1" ht="15" hidden="1" customHeight="1">
      <c r="A361" s="284"/>
      <c r="B361" s="123" t="s">
        <v>128</v>
      </c>
      <c r="C361" s="38" t="s">
        <v>29</v>
      </c>
      <c r="D361" s="123" t="s">
        <v>125</v>
      </c>
      <c r="E361" s="124">
        <v>1.0149999999999999</v>
      </c>
      <c r="F361" s="125">
        <f>F358*E361</f>
        <v>0.21723029999999999</v>
      </c>
      <c r="G361" s="32"/>
      <c r="H361" s="110"/>
      <c r="I361" s="33"/>
      <c r="J361" s="73">
        <f t="shared" si="31"/>
        <v>0</v>
      </c>
      <c r="K361" s="263">
        <f t="shared" si="30"/>
        <v>0</v>
      </c>
      <c r="L361" s="1"/>
    </row>
    <row r="362" spans="1:12" s="44" customFormat="1" ht="15" hidden="1" customHeight="1">
      <c r="A362" s="284"/>
      <c r="B362" s="123" t="s">
        <v>129</v>
      </c>
      <c r="C362" s="38" t="s">
        <v>29</v>
      </c>
      <c r="D362" s="123" t="s">
        <v>18</v>
      </c>
      <c r="E362" s="124">
        <v>1.05</v>
      </c>
      <c r="F362" s="125">
        <f>1.23*0.87*E362</f>
        <v>1.1236050000000002</v>
      </c>
      <c r="G362" s="32"/>
      <c r="H362" s="244"/>
      <c r="I362" s="33">
        <v>330.99</v>
      </c>
      <c r="J362" s="73">
        <f t="shared" si="31"/>
        <v>371.90201895000007</v>
      </c>
      <c r="K362" s="263">
        <f t="shared" si="30"/>
        <v>371.90201895000007</v>
      </c>
      <c r="L362" s="1"/>
    </row>
    <row r="363" spans="1:12" s="44" customFormat="1" ht="15" hidden="1" customHeight="1">
      <c r="A363" s="284"/>
      <c r="B363" s="123" t="s">
        <v>130</v>
      </c>
      <c r="C363" s="38" t="s">
        <v>29</v>
      </c>
      <c r="D363" s="123" t="s">
        <v>18</v>
      </c>
      <c r="E363" s="124">
        <v>1.1000000000000001</v>
      </c>
      <c r="F363" s="125">
        <f>1.23*0.87*E363</f>
        <v>1.1771100000000001</v>
      </c>
      <c r="G363" s="32"/>
      <c r="H363" s="244"/>
      <c r="I363" s="33">
        <v>4.3099999999999996</v>
      </c>
      <c r="J363" s="73">
        <f t="shared" si="31"/>
        <v>5.0733440999999999</v>
      </c>
      <c r="K363" s="263">
        <f t="shared" si="30"/>
        <v>5.0733440999999999</v>
      </c>
      <c r="L363" s="1"/>
    </row>
    <row r="364" spans="1:12" s="44" customFormat="1" ht="15" hidden="1" customHeight="1">
      <c r="A364" s="284"/>
      <c r="B364" s="98" t="s">
        <v>131</v>
      </c>
      <c r="C364" s="38" t="s">
        <v>29</v>
      </c>
      <c r="D364" s="41" t="s">
        <v>19</v>
      </c>
      <c r="E364" s="21">
        <v>0.15</v>
      </c>
      <c r="F364" s="68">
        <f>E364*((1.23*2+0.87*2)*0.15+1.23*0.87)</f>
        <v>0.25501499999999999</v>
      </c>
      <c r="G364" s="32"/>
      <c r="H364" s="244"/>
      <c r="I364" s="33">
        <v>37.81</v>
      </c>
      <c r="J364" s="73">
        <f t="shared" si="31"/>
        <v>9.6421171500000007</v>
      </c>
      <c r="K364" s="263">
        <f t="shared" si="30"/>
        <v>9.6421171500000007</v>
      </c>
      <c r="L364" s="1"/>
    </row>
    <row r="365" spans="1:12" s="44" customFormat="1" ht="15" hidden="1" customHeight="1">
      <c r="A365" s="284"/>
      <c r="B365" s="105" t="s">
        <v>132</v>
      </c>
      <c r="C365" s="38" t="s">
        <v>29</v>
      </c>
      <c r="D365" s="70" t="s">
        <v>19</v>
      </c>
      <c r="E365" s="64">
        <v>0.3</v>
      </c>
      <c r="F365" s="68">
        <f>E365*((1.23*2+0.87*2)*0.15+1.23*0.87)</f>
        <v>0.51002999999999998</v>
      </c>
      <c r="G365" s="32"/>
      <c r="H365" s="244"/>
      <c r="I365" s="33">
        <v>199.53</v>
      </c>
      <c r="J365" s="73">
        <f t="shared" si="31"/>
        <v>101.7662859</v>
      </c>
      <c r="K365" s="263">
        <f t="shared" si="30"/>
        <v>101.7662859</v>
      </c>
      <c r="L365" s="1"/>
    </row>
    <row r="366" spans="1:12" s="45" customFormat="1" ht="15" hidden="1" customHeight="1">
      <c r="A366" s="284"/>
      <c r="B366" s="127"/>
      <c r="C366" s="38" t="s">
        <v>29</v>
      </c>
      <c r="D366" s="123"/>
      <c r="E366" s="124"/>
      <c r="F366" s="125"/>
      <c r="G366" s="32"/>
      <c r="H366" s="110"/>
      <c r="I366" s="33"/>
      <c r="J366" s="73"/>
      <c r="K366" s="263"/>
      <c r="L366" s="1"/>
    </row>
    <row r="367" spans="1:12" s="45" customFormat="1" ht="25.5" hidden="1" customHeight="1">
      <c r="A367" s="288">
        <f>A358+1</f>
        <v>37</v>
      </c>
      <c r="B367" s="121" t="s">
        <v>134</v>
      </c>
      <c r="C367" s="38" t="s">
        <v>29</v>
      </c>
      <c r="D367" s="38" t="s">
        <v>125</v>
      </c>
      <c r="E367" s="64"/>
      <c r="F367" s="91">
        <f>0.8*0.5*0.2</f>
        <v>8.0000000000000016E-2</v>
      </c>
      <c r="G367" s="241">
        <v>12000</v>
      </c>
      <c r="H367" s="235">
        <f>F367*G367</f>
        <v>960.00000000000023</v>
      </c>
      <c r="I367" s="33"/>
      <c r="J367" s="66"/>
      <c r="K367" s="260">
        <f t="shared" ref="K367:K374" si="32">H367+J367</f>
        <v>960.00000000000023</v>
      </c>
      <c r="L367" s="122"/>
    </row>
    <row r="368" spans="1:12" s="45" customFormat="1" ht="15" hidden="1" customHeight="1">
      <c r="A368" s="284"/>
      <c r="B368" s="123" t="s">
        <v>126</v>
      </c>
      <c r="C368" s="38" t="s">
        <v>29</v>
      </c>
      <c r="D368" s="70" t="s">
        <v>25</v>
      </c>
      <c r="E368" s="64"/>
      <c r="F368" s="37">
        <v>6</v>
      </c>
      <c r="G368" s="32"/>
      <c r="H368" s="110"/>
      <c r="I368" s="33">
        <v>251.07499999999999</v>
      </c>
      <c r="J368" s="73">
        <f t="shared" ref="J368:J374" si="33">F368*I368</f>
        <v>1506.4499999999998</v>
      </c>
      <c r="K368" s="263">
        <f t="shared" si="32"/>
        <v>1506.4499999999998</v>
      </c>
      <c r="L368" s="1"/>
    </row>
    <row r="369" spans="1:12" s="45" customFormat="1" ht="25.5" hidden="1" customHeight="1">
      <c r="A369" s="284"/>
      <c r="B369" s="123" t="s">
        <v>127</v>
      </c>
      <c r="C369" s="38" t="s">
        <v>29</v>
      </c>
      <c r="D369" s="70" t="s">
        <v>19</v>
      </c>
      <c r="E369" s="64"/>
      <c r="F369" s="37">
        <f>0.14*0.14*6</f>
        <v>0.11760000000000001</v>
      </c>
      <c r="G369" s="32"/>
      <c r="H369" s="110"/>
      <c r="I369" s="33">
        <v>472.04999999999995</v>
      </c>
      <c r="J369" s="73">
        <f t="shared" si="33"/>
        <v>55.513080000000002</v>
      </c>
      <c r="K369" s="263">
        <f t="shared" si="32"/>
        <v>55.513080000000002</v>
      </c>
      <c r="L369" s="1"/>
    </row>
    <row r="370" spans="1:12" s="45" customFormat="1" ht="15" hidden="1" customHeight="1">
      <c r="A370" s="284"/>
      <c r="B370" s="123" t="s">
        <v>128</v>
      </c>
      <c r="C370" s="38" t="s">
        <v>29</v>
      </c>
      <c r="D370" s="123" t="s">
        <v>125</v>
      </c>
      <c r="E370" s="124">
        <v>1.0149999999999999</v>
      </c>
      <c r="F370" s="125">
        <f>F367*E370</f>
        <v>8.1200000000000008E-2</v>
      </c>
      <c r="G370" s="32"/>
      <c r="H370" s="110"/>
      <c r="I370" s="33"/>
      <c r="J370" s="73">
        <f t="shared" si="33"/>
        <v>0</v>
      </c>
      <c r="K370" s="263">
        <f t="shared" si="32"/>
        <v>0</v>
      </c>
      <c r="L370" s="1"/>
    </row>
    <row r="371" spans="1:12" s="44" customFormat="1" ht="15" hidden="1" customHeight="1">
      <c r="A371" s="284"/>
      <c r="B371" s="123" t="s">
        <v>129</v>
      </c>
      <c r="C371" s="38" t="s">
        <v>29</v>
      </c>
      <c r="D371" s="123" t="s">
        <v>18</v>
      </c>
      <c r="E371" s="124">
        <v>1.05</v>
      </c>
      <c r="F371" s="125">
        <f>0.5*0.8*E371</f>
        <v>0.42000000000000004</v>
      </c>
      <c r="G371" s="32"/>
      <c r="H371" s="244"/>
      <c r="I371" s="33">
        <v>330.99</v>
      </c>
      <c r="J371" s="73">
        <f t="shared" si="33"/>
        <v>139.01580000000001</v>
      </c>
      <c r="K371" s="263">
        <f t="shared" si="32"/>
        <v>139.01580000000001</v>
      </c>
      <c r="L371" s="1"/>
    </row>
    <row r="372" spans="1:12" s="44" customFormat="1" ht="15" hidden="1" customHeight="1">
      <c r="A372" s="284"/>
      <c r="B372" s="123" t="s">
        <v>130</v>
      </c>
      <c r="C372" s="38" t="s">
        <v>29</v>
      </c>
      <c r="D372" s="123" t="s">
        <v>18</v>
      </c>
      <c r="E372" s="124">
        <v>1.1000000000000001</v>
      </c>
      <c r="F372" s="125">
        <f>0.5*0.8*E372</f>
        <v>0.44000000000000006</v>
      </c>
      <c r="G372" s="32"/>
      <c r="H372" s="244"/>
      <c r="I372" s="33">
        <v>4.3099999999999996</v>
      </c>
      <c r="J372" s="73">
        <f t="shared" si="33"/>
        <v>1.8964000000000001</v>
      </c>
      <c r="K372" s="263">
        <f t="shared" si="32"/>
        <v>1.8964000000000001</v>
      </c>
      <c r="L372" s="1"/>
    </row>
    <row r="373" spans="1:12" s="44" customFormat="1" ht="15" hidden="1" customHeight="1">
      <c r="A373" s="284"/>
      <c r="B373" s="98" t="s">
        <v>131</v>
      </c>
      <c r="C373" s="38" t="s">
        <v>29</v>
      </c>
      <c r="D373" s="41" t="s">
        <v>19</v>
      </c>
      <c r="E373" s="21">
        <v>0.15</v>
      </c>
      <c r="F373" s="68">
        <f>E373*((0.8*2+0.5*2)*0.15+0.8*0.5)</f>
        <v>0.11849999999999999</v>
      </c>
      <c r="G373" s="32"/>
      <c r="H373" s="244"/>
      <c r="I373" s="33">
        <v>37.81</v>
      </c>
      <c r="J373" s="73">
        <f t="shared" si="33"/>
        <v>4.4804849999999998</v>
      </c>
      <c r="K373" s="263">
        <f t="shared" si="32"/>
        <v>4.4804849999999998</v>
      </c>
      <c r="L373" s="1"/>
    </row>
    <row r="374" spans="1:12" s="44" customFormat="1" ht="15" hidden="1" customHeight="1">
      <c r="A374" s="284"/>
      <c r="B374" s="105" t="s">
        <v>132</v>
      </c>
      <c r="C374" s="38" t="s">
        <v>29</v>
      </c>
      <c r="D374" s="70" t="s">
        <v>19</v>
      </c>
      <c r="E374" s="64">
        <v>0.3</v>
      </c>
      <c r="F374" s="68">
        <f>E374*((0.8*2+0.5*2)*0.15+0.8*0.5)</f>
        <v>0.23699999999999999</v>
      </c>
      <c r="G374" s="32"/>
      <c r="H374" s="244"/>
      <c r="I374" s="33">
        <v>199.53</v>
      </c>
      <c r="J374" s="73">
        <f t="shared" si="33"/>
        <v>47.288609999999998</v>
      </c>
      <c r="K374" s="263">
        <f t="shared" si="32"/>
        <v>47.288609999999998</v>
      </c>
      <c r="L374" s="1"/>
    </row>
    <row r="375" spans="1:12" s="45" customFormat="1" ht="15" hidden="1" customHeight="1">
      <c r="A375" s="284"/>
      <c r="B375" s="127"/>
      <c r="C375" s="38" t="s">
        <v>29</v>
      </c>
      <c r="D375" s="123"/>
      <c r="E375" s="124"/>
      <c r="F375" s="125"/>
      <c r="G375" s="32"/>
      <c r="H375" s="110"/>
      <c r="I375" s="33"/>
      <c r="J375" s="73"/>
      <c r="K375" s="263"/>
      <c r="L375" s="1"/>
    </row>
    <row r="376" spans="1:12" s="45" customFormat="1" ht="25.5" hidden="1" customHeight="1">
      <c r="A376" s="288">
        <f>A367+1</f>
        <v>38</v>
      </c>
      <c r="B376" s="121" t="s">
        <v>135</v>
      </c>
      <c r="C376" s="38" t="s">
        <v>29</v>
      </c>
      <c r="D376" s="38" t="s">
        <v>125</v>
      </c>
      <c r="E376" s="64"/>
      <c r="F376" s="91">
        <f>2.2*1.1*0.15</f>
        <v>0.36300000000000004</v>
      </c>
      <c r="G376" s="241">
        <v>12000</v>
      </c>
      <c r="H376" s="235">
        <f>F376*G376</f>
        <v>4356.0000000000009</v>
      </c>
      <c r="I376" s="33"/>
      <c r="J376" s="66"/>
      <c r="K376" s="260">
        <f t="shared" ref="K376:K383" si="34">H376+J376</f>
        <v>4356.0000000000009</v>
      </c>
      <c r="L376" s="22"/>
    </row>
    <row r="377" spans="1:12" s="45" customFormat="1" ht="15" hidden="1" customHeight="1">
      <c r="A377" s="284"/>
      <c r="B377" s="123" t="s">
        <v>126</v>
      </c>
      <c r="C377" s="38" t="s">
        <v>29</v>
      </c>
      <c r="D377" s="70" t="s">
        <v>25</v>
      </c>
      <c r="E377" s="64"/>
      <c r="F377" s="37">
        <v>14</v>
      </c>
      <c r="G377" s="32"/>
      <c r="H377" s="110"/>
      <c r="I377" s="33">
        <v>251.07499999999999</v>
      </c>
      <c r="J377" s="73">
        <f t="shared" ref="J377:J383" si="35">F377*I377</f>
        <v>3515.0499999999997</v>
      </c>
      <c r="K377" s="263">
        <f t="shared" si="34"/>
        <v>3515.0499999999997</v>
      </c>
      <c r="L377" s="1"/>
    </row>
    <row r="378" spans="1:12" s="45" customFormat="1" ht="25.5" hidden="1" customHeight="1">
      <c r="A378" s="284"/>
      <c r="B378" s="123" t="s">
        <v>127</v>
      </c>
      <c r="C378" s="38" t="s">
        <v>29</v>
      </c>
      <c r="D378" s="70" t="s">
        <v>19</v>
      </c>
      <c r="E378" s="64"/>
      <c r="F378" s="37">
        <f>0.14*0.14*14</f>
        <v>0.27440000000000003</v>
      </c>
      <c r="G378" s="32"/>
      <c r="H378" s="110"/>
      <c r="I378" s="33">
        <v>472.04999999999995</v>
      </c>
      <c r="J378" s="73">
        <f t="shared" si="35"/>
        <v>129.53052</v>
      </c>
      <c r="K378" s="263">
        <f t="shared" si="34"/>
        <v>129.53052</v>
      </c>
      <c r="L378" s="1"/>
    </row>
    <row r="379" spans="1:12" s="45" customFormat="1" ht="15" hidden="1" customHeight="1">
      <c r="A379" s="284"/>
      <c r="B379" s="302" t="s">
        <v>128</v>
      </c>
      <c r="C379" s="38" t="s">
        <v>29</v>
      </c>
      <c r="D379" s="304" t="s">
        <v>125</v>
      </c>
      <c r="E379" s="124">
        <v>1.0149999999999999</v>
      </c>
      <c r="F379" s="125">
        <f>F376*E379</f>
        <v>0.36844500000000002</v>
      </c>
      <c r="G379" s="32"/>
      <c r="H379" s="110"/>
      <c r="I379" s="33"/>
      <c r="J379" s="73">
        <f t="shared" si="35"/>
        <v>0</v>
      </c>
      <c r="K379" s="263">
        <f t="shared" si="34"/>
        <v>0</v>
      </c>
      <c r="L379" s="1"/>
    </row>
    <row r="380" spans="1:12" s="44" customFormat="1" ht="15" hidden="1" customHeight="1">
      <c r="A380" s="284"/>
      <c r="B380" s="302" t="s">
        <v>129</v>
      </c>
      <c r="C380" s="38" t="s">
        <v>29</v>
      </c>
      <c r="D380" s="304" t="s">
        <v>18</v>
      </c>
      <c r="E380" s="124">
        <v>1.05</v>
      </c>
      <c r="F380" s="125">
        <f>2.2*1.1*0.87*E380</f>
        <v>2.2106700000000004</v>
      </c>
      <c r="G380" s="32"/>
      <c r="H380" s="244"/>
      <c r="I380" s="33">
        <v>330.99</v>
      </c>
      <c r="J380" s="73">
        <f t="shared" si="35"/>
        <v>731.7096633000001</v>
      </c>
      <c r="K380" s="263">
        <f t="shared" si="34"/>
        <v>731.7096633000001</v>
      </c>
      <c r="L380" s="1"/>
    </row>
    <row r="381" spans="1:12" s="44" customFormat="1" ht="15" hidden="1" customHeight="1">
      <c r="A381" s="284"/>
      <c r="B381" s="302" t="s">
        <v>130</v>
      </c>
      <c r="C381" s="38" t="s">
        <v>29</v>
      </c>
      <c r="D381" s="304" t="s">
        <v>18</v>
      </c>
      <c r="E381" s="124">
        <v>1.1000000000000001</v>
      </c>
      <c r="F381" s="125">
        <f>2.2*1.1*E381</f>
        <v>2.6620000000000008</v>
      </c>
      <c r="G381" s="32"/>
      <c r="H381" s="244"/>
      <c r="I381" s="33">
        <v>4.3099999999999996</v>
      </c>
      <c r="J381" s="73">
        <f t="shared" si="35"/>
        <v>11.473220000000003</v>
      </c>
      <c r="K381" s="263">
        <f t="shared" si="34"/>
        <v>11.473220000000003</v>
      </c>
      <c r="L381" s="1"/>
    </row>
    <row r="382" spans="1:12" s="44" customFormat="1" ht="15" hidden="1" customHeight="1">
      <c r="A382" s="284"/>
      <c r="B382" s="303" t="s">
        <v>131</v>
      </c>
      <c r="C382" s="38" t="s">
        <v>29</v>
      </c>
      <c r="D382" s="305" t="s">
        <v>19</v>
      </c>
      <c r="E382" s="21">
        <v>0.15</v>
      </c>
      <c r="F382" s="68">
        <f>E382*((2.2*2+1.1*2)*0.15+2.2*1.1)</f>
        <v>0.51149999999999995</v>
      </c>
      <c r="G382" s="32"/>
      <c r="H382" s="244"/>
      <c r="I382" s="33">
        <v>37.81</v>
      </c>
      <c r="J382" s="73">
        <f t="shared" si="35"/>
        <v>19.339814999999998</v>
      </c>
      <c r="K382" s="263">
        <f t="shared" si="34"/>
        <v>19.339814999999998</v>
      </c>
      <c r="L382" s="1"/>
    </row>
    <row r="383" spans="1:12" s="44" customFormat="1" ht="15" hidden="1" customHeight="1">
      <c r="A383" s="284"/>
      <c r="B383" s="105" t="s">
        <v>132</v>
      </c>
      <c r="C383" s="38" t="s">
        <v>29</v>
      </c>
      <c r="D383" s="70" t="s">
        <v>19</v>
      </c>
      <c r="E383" s="64">
        <v>0.3</v>
      </c>
      <c r="F383" s="68">
        <f>E383*((2.2*2+1.1*2)*0.15+2.2*1.1)</f>
        <v>1.0229999999999999</v>
      </c>
      <c r="G383" s="32"/>
      <c r="H383" s="244"/>
      <c r="I383" s="33">
        <v>199.53</v>
      </c>
      <c r="J383" s="73">
        <f t="shared" si="35"/>
        <v>204.11918999999997</v>
      </c>
      <c r="K383" s="263">
        <f t="shared" si="34"/>
        <v>204.11918999999997</v>
      </c>
      <c r="L383" s="1"/>
    </row>
    <row r="384" spans="1:12" s="45" customFormat="1" ht="15" hidden="1" customHeight="1">
      <c r="A384" s="284"/>
      <c r="B384" s="105"/>
      <c r="C384" s="75"/>
      <c r="D384" s="70"/>
      <c r="E384" s="64"/>
      <c r="F384" s="37"/>
      <c r="G384" s="32"/>
      <c r="H384" s="110"/>
      <c r="I384" s="33"/>
      <c r="J384" s="73"/>
      <c r="K384" s="263"/>
      <c r="L384" s="1"/>
    </row>
    <row r="385" spans="1:12" s="45" customFormat="1" ht="15" hidden="1" customHeight="1">
      <c r="A385" s="282"/>
      <c r="B385" s="117" t="s">
        <v>105</v>
      </c>
      <c r="C385" s="291"/>
      <c r="D385" s="292"/>
      <c r="E385" s="293"/>
      <c r="F385" s="292"/>
      <c r="G385" s="57"/>
      <c r="H385" s="292"/>
      <c r="I385" s="59"/>
      <c r="J385" s="294"/>
      <c r="K385" s="295"/>
      <c r="L385" s="1"/>
    </row>
    <row r="386" spans="1:12" s="45" customFormat="1" ht="25.5" hidden="1" customHeight="1">
      <c r="A386" s="288">
        <f>A376+1</f>
        <v>39</v>
      </c>
      <c r="B386" s="61" t="s">
        <v>106</v>
      </c>
      <c r="C386" s="38" t="s">
        <v>23</v>
      </c>
      <c r="D386" s="38" t="s">
        <v>58</v>
      </c>
      <c r="E386" s="64"/>
      <c r="F386" s="97">
        <f>671.6+95.2+133.06</f>
        <v>899.86000000000013</v>
      </c>
      <c r="G386" s="32">
        <v>200</v>
      </c>
      <c r="H386" s="235">
        <f>F386*G386</f>
        <v>179972.00000000003</v>
      </c>
      <c r="I386" s="33"/>
      <c r="J386" s="66"/>
      <c r="K386" s="260">
        <f>H386+J386</f>
        <v>179972.00000000003</v>
      </c>
      <c r="L386" s="1"/>
    </row>
    <row r="387" spans="1:12" s="45" customFormat="1" ht="15" hidden="1" customHeight="1">
      <c r="A387" s="284"/>
      <c r="B387" s="105" t="s">
        <v>24</v>
      </c>
      <c r="C387" s="38" t="s">
        <v>23</v>
      </c>
      <c r="D387" s="70" t="s">
        <v>41</v>
      </c>
      <c r="E387" s="64">
        <f>1.1*0.1</f>
        <v>0.11000000000000001</v>
      </c>
      <c r="F387" s="37">
        <f>F386*E387</f>
        <v>98.984600000000029</v>
      </c>
      <c r="G387" s="32"/>
      <c r="H387" s="110"/>
      <c r="I387" s="33">
        <v>401.24249999999995</v>
      </c>
      <c r="J387" s="73">
        <f>F387*I387</f>
        <v>39716.828365500005</v>
      </c>
      <c r="K387" s="263">
        <f>H387+J387</f>
        <v>39716.828365500005</v>
      </c>
      <c r="L387" s="1"/>
    </row>
    <row r="388" spans="1:12" s="44" customFormat="1" ht="15" hidden="1" customHeight="1">
      <c r="A388" s="284"/>
      <c r="B388" s="105" t="s">
        <v>34</v>
      </c>
      <c r="C388" s="38" t="s">
        <v>23</v>
      </c>
      <c r="D388" s="70" t="s">
        <v>21</v>
      </c>
      <c r="E388" s="64">
        <f>0.15*0.1</f>
        <v>1.4999999999999999E-2</v>
      </c>
      <c r="F388" s="37">
        <f>F386*E388</f>
        <v>13.497900000000001</v>
      </c>
      <c r="G388" s="32"/>
      <c r="H388" s="244"/>
      <c r="I388" s="33">
        <v>37.450000000000003</v>
      </c>
      <c r="J388" s="73">
        <f>F388*I388</f>
        <v>505.49635500000011</v>
      </c>
      <c r="K388" s="263">
        <f>H388+J388</f>
        <v>505.49635500000011</v>
      </c>
      <c r="L388" s="1"/>
    </row>
    <row r="389" spans="1:12" s="44" customFormat="1" ht="15" hidden="1" customHeight="1">
      <c r="A389" s="284"/>
      <c r="B389" s="105" t="s">
        <v>71</v>
      </c>
      <c r="C389" s="38" t="s">
        <v>23</v>
      </c>
      <c r="D389" s="70" t="s">
        <v>19</v>
      </c>
      <c r="E389" s="64">
        <f>7.6*0.1</f>
        <v>0.76</v>
      </c>
      <c r="F389" s="37">
        <f>F386*E389</f>
        <v>683.89360000000011</v>
      </c>
      <c r="G389" s="32"/>
      <c r="H389" s="244"/>
      <c r="I389" s="33">
        <v>7.6</v>
      </c>
      <c r="J389" s="73">
        <f>F389*I389</f>
        <v>5197.5913600000003</v>
      </c>
      <c r="K389" s="263">
        <f>H389+J389</f>
        <v>5197.5913600000003</v>
      </c>
      <c r="L389" s="1"/>
    </row>
    <row r="390" spans="1:12" s="44" customFormat="1" ht="15" hidden="1" customHeight="1" thickBot="1">
      <c r="A390" s="284"/>
      <c r="B390" s="105" t="s">
        <v>73</v>
      </c>
      <c r="C390" s="38" t="s">
        <v>23</v>
      </c>
      <c r="D390" s="70" t="s">
        <v>19</v>
      </c>
      <c r="E390" s="64">
        <f>0.4*0.1</f>
        <v>4.0000000000000008E-2</v>
      </c>
      <c r="F390" s="37">
        <f>F386*E390</f>
        <v>35.994400000000013</v>
      </c>
      <c r="G390" s="32"/>
      <c r="H390" s="244"/>
      <c r="I390" s="33">
        <v>123.5</v>
      </c>
      <c r="J390" s="73">
        <f>F390*I390</f>
        <v>4445.3084000000017</v>
      </c>
      <c r="K390" s="263">
        <f>H390+J390</f>
        <v>4445.3084000000017</v>
      </c>
      <c r="L390" s="1"/>
    </row>
    <row r="391" spans="1:12" ht="15" hidden="1" customHeight="1" thickBot="1">
      <c r="A391" s="298"/>
      <c r="B391" s="185"/>
      <c r="C391" s="186"/>
      <c r="D391" s="187"/>
      <c r="E391" s="128"/>
      <c r="F391" s="188"/>
      <c r="G391" s="130"/>
      <c r="H391" s="189"/>
      <c r="I391" s="129"/>
      <c r="J391" s="129"/>
      <c r="K391" s="299"/>
    </row>
    <row r="392" spans="1:12" ht="14.4">
      <c r="A392" s="190"/>
      <c r="B392" s="191" t="s">
        <v>136</v>
      </c>
      <c r="C392" s="192"/>
      <c r="D392" s="193" t="s">
        <v>137</v>
      </c>
      <c r="E392" s="194"/>
      <c r="F392" s="193"/>
      <c r="G392" s="195"/>
      <c r="H392" s="196">
        <f>SUBTOTAL(9,H18:H223)</f>
        <v>1473222</v>
      </c>
      <c r="I392" s="197"/>
      <c r="J392" s="198">
        <f>SUBTOTAL(9,J18:J223)</f>
        <v>0</v>
      </c>
      <c r="K392" s="199">
        <f>SUBTOTAL(9,K18:K223)</f>
        <v>1473222</v>
      </c>
    </row>
    <row r="393" spans="1:12" ht="14.4">
      <c r="A393" s="228"/>
      <c r="B393" s="229"/>
      <c r="C393" s="38"/>
      <c r="D393" s="230"/>
      <c r="E393" s="64"/>
      <c r="F393" s="230"/>
      <c r="G393" s="231"/>
      <c r="H393" s="232"/>
      <c r="I393" s="233"/>
      <c r="J393" s="233"/>
      <c r="K393" s="234"/>
    </row>
    <row r="394" spans="1:12" ht="14.4">
      <c r="A394" s="200"/>
      <c r="B394" s="201" t="s">
        <v>138</v>
      </c>
      <c r="C394" s="202"/>
      <c r="D394" s="207"/>
      <c r="E394" s="208"/>
      <c r="F394" s="207"/>
      <c r="G394" s="245">
        <v>1.4999999999999999E-2</v>
      </c>
      <c r="H394" s="209">
        <f>H392*G394</f>
        <v>22098.329999999998</v>
      </c>
      <c r="I394" s="210"/>
      <c r="J394" s="210"/>
      <c r="K394" s="211">
        <f>H394+J394</f>
        <v>22098.329999999998</v>
      </c>
    </row>
    <row r="395" spans="1:12" ht="14.4">
      <c r="A395" s="200"/>
      <c r="B395" s="212" t="s">
        <v>139</v>
      </c>
      <c r="C395" s="202"/>
      <c r="D395" s="207"/>
      <c r="E395" s="208"/>
      <c r="F395" s="207"/>
      <c r="G395" s="246">
        <v>0.02</v>
      </c>
      <c r="H395" s="205"/>
      <c r="I395" s="210"/>
      <c r="J395" s="213">
        <f>J392*G395</f>
        <v>0</v>
      </c>
      <c r="K395" s="211">
        <f>H395+J395</f>
        <v>0</v>
      </c>
    </row>
    <row r="396" spans="1:12" ht="14.4">
      <c r="A396" s="200"/>
      <c r="B396" s="214" t="s">
        <v>140</v>
      </c>
      <c r="C396" s="207"/>
      <c r="D396" s="203" t="s">
        <v>137</v>
      </c>
      <c r="E396" s="204"/>
      <c r="F396" s="203"/>
      <c r="G396" s="215"/>
      <c r="H396" s="216">
        <f>H392+H394</f>
        <v>1495320.33</v>
      </c>
      <c r="I396" s="206"/>
      <c r="J396" s="206">
        <f>J392+J395</f>
        <v>0</v>
      </c>
      <c r="K396" s="217">
        <f>K392+K394+K395</f>
        <v>1495320.33</v>
      </c>
    </row>
    <row r="397" spans="1:12" ht="14.4">
      <c r="A397" s="200"/>
      <c r="B397" s="214" t="s">
        <v>141</v>
      </c>
      <c r="C397" s="207"/>
      <c r="D397" s="203" t="s">
        <v>137</v>
      </c>
      <c r="E397" s="204"/>
      <c r="F397" s="203"/>
      <c r="G397" s="218"/>
      <c r="H397" s="219">
        <f>H396/5</f>
        <v>299064.06599999999</v>
      </c>
      <c r="I397" s="206"/>
      <c r="J397" s="206"/>
      <c r="K397" s="217">
        <f>K396*0.2</f>
        <v>299064.06600000005</v>
      </c>
    </row>
    <row r="398" spans="1:12" s="131" customFormat="1" ht="14.4" thickBot="1">
      <c r="A398" s="220"/>
      <c r="B398" s="221" t="s">
        <v>142</v>
      </c>
      <c r="C398" s="222"/>
      <c r="D398" s="222" t="s">
        <v>137</v>
      </c>
      <c r="E398" s="223"/>
      <c r="F398" s="223"/>
      <c r="G398" s="224"/>
      <c r="H398" s="225">
        <f>H396*1.2</f>
        <v>1794384.3959999999</v>
      </c>
      <c r="I398" s="226"/>
      <c r="J398" s="226"/>
      <c r="K398" s="227">
        <f>K396+K397</f>
        <v>1794384.3960000002</v>
      </c>
      <c r="L398" s="134">
        <v>1794384.3959999999</v>
      </c>
    </row>
    <row r="399" spans="1:12" s="149" customFormat="1" ht="16.5" customHeight="1">
      <c r="A399" s="142"/>
      <c r="B399" s="143"/>
      <c r="C399" s="144"/>
      <c r="D399" s="145"/>
      <c r="E399" s="146"/>
      <c r="F399" s="147"/>
      <c r="G399" s="148"/>
      <c r="I399" s="150"/>
      <c r="J399" s="150"/>
      <c r="K399" s="151"/>
    </row>
    <row r="400" spans="1:12" ht="15" customHeight="1">
      <c r="K400" s="151"/>
    </row>
    <row r="401" spans="1:11" ht="15.75" customHeight="1">
      <c r="A401" s="152" t="s">
        <v>143</v>
      </c>
      <c r="B401" s="153"/>
      <c r="C401" s="154"/>
      <c r="D401" s="153"/>
      <c r="E401" s="155"/>
      <c r="F401" s="153"/>
      <c r="G401" s="156"/>
      <c r="H401" s="153"/>
      <c r="I401" s="157"/>
      <c r="J401" s="157"/>
      <c r="K401" s="158"/>
    </row>
    <row r="402" spans="1:11" s="45" customFormat="1" ht="15" customHeight="1">
      <c r="A402" s="160" t="s">
        <v>144</v>
      </c>
      <c r="B402" s="161"/>
      <c r="C402" s="162"/>
      <c r="D402" s="161"/>
      <c r="E402" s="163"/>
      <c r="F402" s="161"/>
      <c r="G402" s="164"/>
      <c r="H402" s="161"/>
      <c r="I402" s="165"/>
      <c r="J402" s="165"/>
      <c r="K402" s="159"/>
    </row>
    <row r="403" spans="1:11" s="45" customFormat="1" ht="15" customHeight="1">
      <c r="A403" s="160" t="s">
        <v>145</v>
      </c>
      <c r="B403" s="161"/>
      <c r="C403" s="162"/>
      <c r="D403" s="161"/>
      <c r="E403" s="163"/>
      <c r="F403" s="161"/>
      <c r="G403" s="164"/>
      <c r="H403" s="161"/>
      <c r="I403" s="165"/>
      <c r="J403" s="165"/>
      <c r="K403" s="159"/>
    </row>
    <row r="404" spans="1:11" s="45" customFormat="1" ht="15" customHeight="1">
      <c r="A404" s="160"/>
      <c r="B404" s="161"/>
      <c r="C404" s="162"/>
      <c r="D404" s="161"/>
      <c r="E404" s="163"/>
      <c r="F404" s="161"/>
      <c r="G404" s="164"/>
      <c r="H404" s="161"/>
      <c r="I404" s="165"/>
      <c r="J404" s="165"/>
      <c r="K404" s="159"/>
    </row>
    <row r="405" spans="1:11" s="45" customFormat="1" ht="15" customHeight="1">
      <c r="A405" s="160" t="s">
        <v>146</v>
      </c>
      <c r="B405" s="161"/>
      <c r="C405" s="162"/>
      <c r="D405" s="161"/>
      <c r="E405" s="163"/>
      <c r="F405" s="161"/>
      <c r="G405" s="164"/>
      <c r="H405" s="161"/>
      <c r="I405" s="165"/>
      <c r="J405" s="165"/>
      <c r="K405" s="159"/>
    </row>
    <row r="406" spans="1:11" s="45" customFormat="1" ht="48.75" customHeight="1">
      <c r="A406" s="375" t="s">
        <v>147</v>
      </c>
      <c r="B406" s="375"/>
      <c r="C406" s="375"/>
      <c r="D406" s="375"/>
      <c r="E406" s="375"/>
      <c r="F406" s="375"/>
      <c r="G406" s="375"/>
      <c r="H406" s="375"/>
      <c r="I406" s="375"/>
      <c r="J406" s="375"/>
      <c r="K406" s="375"/>
    </row>
    <row r="407" spans="1:11" s="45" customFormat="1" ht="15" customHeight="1">
      <c r="A407" s="160" t="s">
        <v>148</v>
      </c>
      <c r="B407" s="161"/>
      <c r="C407" s="162"/>
      <c r="D407" s="161"/>
      <c r="E407" s="163"/>
      <c r="F407" s="161"/>
      <c r="G407" s="164"/>
      <c r="H407" s="161"/>
      <c r="I407" s="165"/>
      <c r="J407" s="165"/>
      <c r="K407" s="159"/>
    </row>
    <row r="408" spans="1:11" s="45" customFormat="1" ht="15" customHeight="1">
      <c r="A408" s="160" t="s">
        <v>149</v>
      </c>
      <c r="B408" s="161"/>
      <c r="C408" s="162"/>
      <c r="D408" s="161"/>
      <c r="E408" s="163"/>
      <c r="F408" s="161"/>
      <c r="G408" s="164"/>
      <c r="H408" s="161"/>
      <c r="I408" s="165"/>
      <c r="J408" s="165"/>
      <c r="K408" s="159"/>
    </row>
    <row r="409" spans="1:11" s="45" customFormat="1" ht="15" customHeight="1">
      <c r="A409" s="160" t="s">
        <v>150</v>
      </c>
      <c r="B409" s="161"/>
      <c r="C409" s="162"/>
      <c r="D409" s="161"/>
      <c r="E409" s="163"/>
      <c r="F409" s="161"/>
      <c r="G409" s="164"/>
      <c r="H409" s="161"/>
      <c r="I409" s="165"/>
      <c r="J409" s="165"/>
      <c r="K409" s="159"/>
    </row>
    <row r="410" spans="1:11" s="45" customFormat="1" ht="15" customHeight="1">
      <c r="A410" s="160" t="s">
        <v>151</v>
      </c>
      <c r="B410" s="161"/>
      <c r="C410" s="162"/>
      <c r="D410" s="161"/>
      <c r="E410" s="163"/>
      <c r="F410" s="161"/>
      <c r="G410" s="164"/>
      <c r="H410" s="161"/>
      <c r="I410" s="165"/>
      <c r="J410" s="165"/>
      <c r="K410" s="159"/>
    </row>
    <row r="411" spans="1:11" s="45" customFormat="1" ht="15" customHeight="1">
      <c r="A411" s="160" t="s">
        <v>152</v>
      </c>
      <c r="B411" s="161"/>
      <c r="C411" s="162"/>
      <c r="D411" s="161"/>
      <c r="E411" s="163"/>
      <c r="F411" s="161"/>
      <c r="G411" s="164"/>
      <c r="H411" s="161"/>
      <c r="I411" s="165"/>
      <c r="J411" s="165"/>
      <c r="K411" s="159"/>
    </row>
    <row r="412" spans="1:11" s="45" customFormat="1" ht="36" customHeight="1">
      <c r="A412" s="375" t="s">
        <v>153</v>
      </c>
      <c r="B412" s="375"/>
      <c r="C412" s="375"/>
      <c r="D412" s="375"/>
      <c r="E412" s="375"/>
      <c r="F412" s="375"/>
      <c r="G412" s="375"/>
      <c r="H412" s="375"/>
      <c r="I412" s="375"/>
      <c r="J412" s="375"/>
      <c r="K412" s="375"/>
    </row>
    <row r="413" spans="1:11" s="45" customFormat="1" ht="15" customHeight="1">
      <c r="A413" s="160" t="s">
        <v>154</v>
      </c>
      <c r="B413" s="161"/>
      <c r="C413" s="162"/>
      <c r="D413" s="161"/>
      <c r="E413" s="163"/>
      <c r="F413" s="161"/>
      <c r="G413" s="164"/>
      <c r="H413" s="161"/>
      <c r="I413" s="165"/>
      <c r="J413" s="165"/>
      <c r="K413" s="159"/>
    </row>
    <row r="414" spans="1:11" s="45" customFormat="1" ht="15" customHeight="1">
      <c r="A414" s="356" t="s">
        <v>155</v>
      </c>
      <c r="B414" s="356"/>
      <c r="C414" s="356"/>
      <c r="D414" s="356"/>
      <c r="E414" s="356"/>
      <c r="F414" s="356"/>
      <c r="G414" s="356"/>
      <c r="H414" s="356"/>
      <c r="I414" s="165"/>
      <c r="J414" s="165"/>
      <c r="K414" s="159"/>
    </row>
    <row r="415" spans="1:11" s="45" customFormat="1" ht="15" customHeight="1">
      <c r="A415" s="356" t="s">
        <v>156</v>
      </c>
      <c r="B415" s="356"/>
      <c r="C415" s="356"/>
      <c r="D415" s="356"/>
      <c r="E415" s="356"/>
      <c r="F415" s="356"/>
      <c r="G415" s="356"/>
      <c r="H415" s="356"/>
      <c r="I415" s="165"/>
      <c r="J415" s="165"/>
      <c r="K415" s="159"/>
    </row>
    <row r="416" spans="1:11" s="45" customFormat="1" ht="15" customHeight="1">
      <c r="A416" s="160" t="s">
        <v>157</v>
      </c>
      <c r="B416" s="161"/>
      <c r="C416" s="162"/>
      <c r="D416" s="161"/>
      <c r="E416" s="163"/>
      <c r="F416" s="161"/>
      <c r="G416" s="164"/>
      <c r="H416" s="161"/>
      <c r="I416" s="165"/>
      <c r="J416" s="165"/>
      <c r="K416" s="159"/>
    </row>
    <row r="417" spans="1:13" s="45" customFormat="1" ht="33" customHeight="1">
      <c r="A417" s="356" t="s">
        <v>158</v>
      </c>
      <c r="B417" s="356"/>
      <c r="C417" s="356"/>
      <c r="D417" s="356"/>
      <c r="E417" s="356"/>
      <c r="F417" s="356"/>
      <c r="G417" s="356"/>
      <c r="H417" s="356"/>
      <c r="I417" s="165"/>
      <c r="J417" s="165"/>
      <c r="K417" s="159"/>
    </row>
    <row r="418" spans="1:13" s="45" customFormat="1" ht="15" customHeight="1">
      <c r="A418" s="160" t="s">
        <v>159</v>
      </c>
      <c r="B418" s="161"/>
      <c r="C418" s="162"/>
      <c r="D418" s="161"/>
      <c r="E418" s="163"/>
      <c r="F418" s="161"/>
      <c r="G418" s="164"/>
      <c r="H418" s="161"/>
      <c r="I418" s="165"/>
      <c r="J418" s="165"/>
      <c r="K418" s="159"/>
    </row>
    <row r="419" spans="1:13" s="45" customFormat="1" ht="15" customHeight="1">
      <c r="A419" s="357" t="s">
        <v>160</v>
      </c>
      <c r="B419" s="357"/>
      <c r="C419" s="357"/>
      <c r="D419" s="357"/>
      <c r="E419" s="357"/>
      <c r="F419" s="357"/>
      <c r="G419" s="357"/>
      <c r="H419" s="357"/>
      <c r="I419" s="165"/>
      <c r="J419" s="165"/>
      <c r="K419" s="159"/>
    </row>
    <row r="420" spans="1:13" s="45" customFormat="1" ht="42.6" customHeight="1">
      <c r="A420" s="355" t="s">
        <v>161</v>
      </c>
      <c r="B420" s="355"/>
      <c r="C420" s="355"/>
      <c r="D420" s="355"/>
      <c r="E420" s="355"/>
      <c r="F420" s="355"/>
      <c r="G420" s="355"/>
      <c r="H420" s="355"/>
      <c r="I420" s="165"/>
      <c r="J420" s="165"/>
      <c r="K420" s="159"/>
    </row>
    <row r="421" spans="1:13" s="45" customFormat="1" ht="15" customHeight="1">
      <c r="A421" s="355" t="s">
        <v>162</v>
      </c>
      <c r="B421" s="355"/>
      <c r="C421" s="355"/>
      <c r="D421" s="355"/>
      <c r="E421" s="355"/>
      <c r="F421" s="355"/>
      <c r="G421" s="355"/>
      <c r="H421" s="355"/>
      <c r="I421" s="165"/>
      <c r="J421" s="165"/>
      <c r="K421" s="159"/>
    </row>
    <row r="422" spans="1:13" s="45" customFormat="1" ht="15" customHeight="1">
      <c r="A422" s="355" t="s">
        <v>163</v>
      </c>
      <c r="B422" s="355"/>
      <c r="C422" s="355"/>
      <c r="D422" s="355"/>
      <c r="E422" s="355"/>
      <c r="F422" s="355"/>
      <c r="G422" s="355"/>
      <c r="H422" s="355"/>
      <c r="I422" s="165"/>
      <c r="J422" s="165"/>
      <c r="K422" s="159"/>
    </row>
    <row r="423" spans="1:13" s="45" customFormat="1" ht="15" customHeight="1">
      <c r="A423" s="355" t="s">
        <v>164</v>
      </c>
      <c r="B423" s="355"/>
      <c r="C423" s="355"/>
      <c r="D423" s="355"/>
      <c r="E423" s="355"/>
      <c r="F423" s="355"/>
      <c r="G423" s="355"/>
      <c r="H423" s="355"/>
      <c r="I423" s="165"/>
      <c r="J423" s="165"/>
      <c r="K423" s="159"/>
    </row>
    <row r="424" spans="1:13" s="45" customFormat="1" ht="15" customHeight="1">
      <c r="A424" s="355" t="s">
        <v>165</v>
      </c>
      <c r="B424" s="355"/>
      <c r="C424" s="355"/>
      <c r="D424" s="355"/>
      <c r="E424" s="355"/>
      <c r="F424" s="355"/>
      <c r="G424" s="355"/>
      <c r="H424" s="355"/>
      <c r="I424" s="165"/>
      <c r="J424" s="165"/>
      <c r="K424" s="159"/>
    </row>
    <row r="425" spans="1:13" s="45" customFormat="1" ht="15" customHeight="1">
      <c r="A425" s="355" t="s">
        <v>166</v>
      </c>
      <c r="B425" s="355"/>
      <c r="C425" s="355"/>
      <c r="D425" s="355"/>
      <c r="E425" s="355"/>
      <c r="F425" s="355"/>
      <c r="G425" s="355"/>
      <c r="H425" s="355"/>
      <c r="I425" s="165"/>
      <c r="J425" s="165"/>
      <c r="K425" s="159"/>
    </row>
    <row r="426" spans="1:13" s="45" customFormat="1" ht="15" customHeight="1">
      <c r="A426" s="355" t="s">
        <v>167</v>
      </c>
      <c r="B426" s="355"/>
      <c r="C426" s="355"/>
      <c r="D426" s="355"/>
      <c r="E426" s="355"/>
      <c r="F426" s="355"/>
      <c r="G426" s="355"/>
      <c r="H426" s="355"/>
      <c r="I426" s="165"/>
      <c r="J426" s="165"/>
      <c r="K426" s="159"/>
    </row>
    <row r="427" spans="1:13" s="45" customFormat="1" ht="15" customHeight="1">
      <c r="A427" s="355" t="s">
        <v>168</v>
      </c>
      <c r="B427" s="355"/>
      <c r="C427" s="355"/>
      <c r="D427" s="355"/>
      <c r="E427" s="355"/>
      <c r="F427" s="355"/>
      <c r="G427" s="355"/>
      <c r="H427" s="355"/>
      <c r="I427" s="165"/>
      <c r="J427" s="165"/>
      <c r="K427" s="159"/>
    </row>
    <row r="428" spans="1:13" s="45" customFormat="1" ht="15" customHeight="1">
      <c r="A428" s="355" t="s">
        <v>169</v>
      </c>
      <c r="B428" s="355"/>
      <c r="C428" s="355"/>
      <c r="D428" s="355"/>
      <c r="E428" s="355"/>
      <c r="F428" s="355"/>
      <c r="G428" s="355"/>
      <c r="H428" s="355"/>
      <c r="I428" s="165"/>
      <c r="J428" s="165"/>
      <c r="K428" s="1"/>
      <c r="L428" s="1"/>
      <c r="M428" s="1"/>
    </row>
    <row r="429" spans="1:13" s="45" customFormat="1" ht="15" customHeight="1">
      <c r="A429" s="355" t="s">
        <v>170</v>
      </c>
      <c r="B429" s="355"/>
      <c r="C429" s="355"/>
      <c r="D429" s="355"/>
      <c r="E429" s="355"/>
      <c r="F429" s="355"/>
      <c r="G429" s="355"/>
      <c r="H429" s="355"/>
      <c r="I429" s="165"/>
      <c r="J429" s="165"/>
      <c r="K429" s="1"/>
      <c r="L429" s="1"/>
      <c r="M429" s="1"/>
    </row>
    <row r="430" spans="1:13" s="45" customFormat="1" ht="15" customHeight="1">
      <c r="A430" s="353" t="s">
        <v>171</v>
      </c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1"/>
      <c r="M430" s="1"/>
    </row>
    <row r="431" spans="1:13" s="135" customFormat="1" ht="15" customHeight="1">
      <c r="A431" s="136"/>
      <c r="C431" s="170"/>
      <c r="E431" s="171"/>
      <c r="I431" s="172"/>
      <c r="J431" s="172"/>
      <c r="K431" s="173"/>
    </row>
    <row r="432" spans="1:13" s="135" customFormat="1" ht="15" customHeight="1">
      <c r="A432" s="136"/>
      <c r="C432" s="170"/>
      <c r="E432" s="171"/>
      <c r="I432" s="172"/>
      <c r="J432" s="172"/>
      <c r="K432" s="173"/>
    </row>
    <row r="433" spans="1:17" s="135" customFormat="1" ht="15" customHeight="1">
      <c r="A433" s="174"/>
      <c r="C433" s="170"/>
      <c r="E433" s="175"/>
      <c r="G433" s="176"/>
      <c r="I433" s="172"/>
      <c r="J433" s="172"/>
      <c r="K433" s="173"/>
    </row>
    <row r="434" spans="1:17" s="181" customFormat="1" ht="15.6">
      <c r="A434" s="177"/>
      <c r="B434" s="350" t="s">
        <v>175</v>
      </c>
      <c r="C434" s="350"/>
      <c r="D434" s="179"/>
      <c r="E434" s="178"/>
      <c r="F434" s="178"/>
      <c r="G434" s="178"/>
      <c r="H434" s="354" t="s">
        <v>176</v>
      </c>
      <c r="I434" s="354"/>
      <c r="J434" s="180"/>
      <c r="K434" s="180"/>
      <c r="M434" s="182"/>
      <c r="N434" s="183"/>
      <c r="O434" s="183"/>
      <c r="P434" s="183"/>
      <c r="Q434" s="183"/>
    </row>
    <row r="435" spans="1:17" s="181" customFormat="1" ht="15.6">
      <c r="A435" s="177"/>
      <c r="B435" s="178" t="s">
        <v>177</v>
      </c>
      <c r="C435" s="178"/>
      <c r="D435" s="179"/>
      <c r="E435" s="178"/>
      <c r="F435" s="178"/>
      <c r="G435" s="178"/>
      <c r="H435" s="354" t="s">
        <v>178</v>
      </c>
      <c r="I435" s="354"/>
      <c r="J435" s="180"/>
      <c r="K435" s="180"/>
      <c r="M435" s="182"/>
      <c r="N435" s="183"/>
      <c r="O435" s="183"/>
      <c r="P435" s="183"/>
      <c r="Q435" s="183"/>
    </row>
    <row r="436" spans="1:17" s="181" customFormat="1" ht="15.6">
      <c r="A436" s="177"/>
      <c r="B436" s="178"/>
      <c r="C436" s="178"/>
      <c r="D436" s="179"/>
      <c r="E436" s="178"/>
      <c r="F436" s="178"/>
      <c r="G436" s="178"/>
      <c r="H436" s="180"/>
      <c r="I436" s="180"/>
      <c r="J436" s="180"/>
      <c r="K436" s="180"/>
      <c r="M436" s="182"/>
      <c r="N436" s="183"/>
      <c r="O436" s="183"/>
      <c r="P436" s="183"/>
      <c r="Q436" s="183"/>
    </row>
    <row r="437" spans="1:17" s="181" customFormat="1" ht="15.6">
      <c r="A437" s="177"/>
      <c r="B437" s="350" t="s">
        <v>179</v>
      </c>
      <c r="C437" s="350"/>
      <c r="D437" s="179"/>
      <c r="E437" s="178"/>
      <c r="F437" s="178"/>
      <c r="G437" s="178"/>
      <c r="H437" s="352" t="s">
        <v>179</v>
      </c>
      <c r="I437" s="352"/>
      <c r="J437" s="352"/>
      <c r="K437" s="352"/>
      <c r="M437" s="182"/>
      <c r="N437" s="183"/>
      <c r="O437" s="183"/>
      <c r="P437" s="183"/>
      <c r="Q437" s="183"/>
    </row>
    <row r="438" spans="1:17" s="181" customFormat="1" ht="15.6">
      <c r="A438" s="177"/>
      <c r="B438" s="178" t="s">
        <v>180</v>
      </c>
      <c r="C438" s="179"/>
      <c r="D438" s="179"/>
      <c r="E438" s="178"/>
      <c r="F438" s="178"/>
      <c r="G438" s="178"/>
      <c r="H438" s="180"/>
      <c r="I438" s="180"/>
      <c r="J438" s="180"/>
      <c r="K438" s="184"/>
      <c r="M438" s="182"/>
      <c r="N438" s="183"/>
      <c r="O438" s="183"/>
      <c r="P438" s="183"/>
      <c r="Q438" s="183"/>
    </row>
    <row r="439" spans="1:17" s="181" customFormat="1" ht="15.6">
      <c r="A439" s="177"/>
      <c r="B439" s="350" t="s">
        <v>181</v>
      </c>
      <c r="C439" s="350"/>
      <c r="D439" s="351"/>
      <c r="E439" s="350"/>
      <c r="F439" s="350"/>
      <c r="G439" s="350"/>
      <c r="H439" s="352" t="s">
        <v>182</v>
      </c>
      <c r="I439" s="352"/>
      <c r="J439" s="352"/>
      <c r="K439" s="352"/>
      <c r="M439" s="182"/>
      <c r="N439" s="183"/>
      <c r="O439" s="183"/>
      <c r="P439" s="183"/>
      <c r="Q439" s="183"/>
    </row>
    <row r="440" spans="1:17" s="135" customFormat="1" ht="6" customHeight="1">
      <c r="A440" s="174"/>
      <c r="C440" s="170"/>
      <c r="E440" s="175"/>
      <c r="G440" s="176"/>
      <c r="I440" s="172"/>
      <c r="J440" s="172"/>
      <c r="K440" s="173"/>
    </row>
  </sheetData>
  <autoFilter ref="A12:K398">
    <filterColumn colId="2">
      <filters>
        <filter val="43.34"/>
      </filters>
    </filterColumn>
  </autoFilter>
  <mergeCells count="44">
    <mergeCell ref="A4:F4"/>
    <mergeCell ref="G4:K4"/>
    <mergeCell ref="A1:F1"/>
    <mergeCell ref="G1:K1"/>
    <mergeCell ref="A2:F2"/>
    <mergeCell ref="G2:K2"/>
    <mergeCell ref="G3:K3"/>
    <mergeCell ref="A415:H415"/>
    <mergeCell ref="A6:K6"/>
    <mergeCell ref="A7:K7"/>
    <mergeCell ref="A8:K8"/>
    <mergeCell ref="A10:A11"/>
    <mergeCell ref="B10:B11"/>
    <mergeCell ref="C10:C11"/>
    <mergeCell ref="D10:D11"/>
    <mergeCell ref="E10:E11"/>
    <mergeCell ref="F10:F11"/>
    <mergeCell ref="G10:H10"/>
    <mergeCell ref="I10:J10"/>
    <mergeCell ref="K10:K11"/>
    <mergeCell ref="A406:K406"/>
    <mergeCell ref="A412:K412"/>
    <mergeCell ref="A414:H414"/>
    <mergeCell ref="A429:H429"/>
    <mergeCell ref="A417:H417"/>
    <mergeCell ref="A419:H419"/>
    <mergeCell ref="A420:H420"/>
    <mergeCell ref="A421:H421"/>
    <mergeCell ref="A422:H422"/>
    <mergeCell ref="A423:H423"/>
    <mergeCell ref="A424:H424"/>
    <mergeCell ref="A425:H425"/>
    <mergeCell ref="A426:H426"/>
    <mergeCell ref="A427:H427"/>
    <mergeCell ref="A428:H428"/>
    <mergeCell ref="B439:D439"/>
    <mergeCell ref="E439:G439"/>
    <mergeCell ref="H439:K439"/>
    <mergeCell ref="A430:K430"/>
    <mergeCell ref="B434:C434"/>
    <mergeCell ref="H434:I434"/>
    <mergeCell ref="H435:I435"/>
    <mergeCell ref="B437:C437"/>
    <mergeCell ref="H437:K437"/>
  </mergeCells>
  <pageMargins left="0.19685039370078741" right="0.19685039370078741" top="0.59055118110236227" bottom="0.19685039370078741" header="0" footer="0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440"/>
  <sheetViews>
    <sheetView view="pageBreakPreview" topLeftCell="A370" zoomScaleNormal="80" zoomScaleSheetLayoutView="100" workbookViewId="0">
      <selection activeCell="N406" sqref="N406"/>
    </sheetView>
  </sheetViews>
  <sheetFormatPr defaultColWidth="12.5546875" defaultRowHeight="15" customHeight="1"/>
  <cols>
    <col min="1" max="1" width="7.44140625" style="2" customWidth="1"/>
    <col min="2" max="2" width="53.44140625" style="1" customWidth="1"/>
    <col min="3" max="3" width="7.44140625" style="3" customWidth="1"/>
    <col min="4" max="4" width="7.5546875" style="1" customWidth="1"/>
    <col min="5" max="5" width="8.44140625" style="4" customWidth="1"/>
    <col min="6" max="6" width="11.109375" style="1" customWidth="1"/>
    <col min="7" max="7" width="11.44140625" style="132" customWidth="1"/>
    <col min="8" max="8" width="15.88671875" style="1" customWidth="1"/>
    <col min="9" max="9" width="11.88671875" style="133" customWidth="1"/>
    <col min="10" max="10" width="13.5546875" style="133" customWidth="1"/>
    <col min="11" max="11" width="19.88671875" style="1" customWidth="1"/>
    <col min="12" max="12" width="13.88671875" style="1" customWidth="1"/>
    <col min="13" max="13" width="17.88671875" style="1" customWidth="1"/>
    <col min="14" max="16384" width="12.5546875" style="1"/>
  </cols>
  <sheetData>
    <row r="1" spans="1:11" ht="15.6">
      <c r="A1" s="378" t="s">
        <v>0</v>
      </c>
      <c r="B1" s="379"/>
      <c r="C1" s="379"/>
      <c r="D1" s="379"/>
      <c r="E1" s="379"/>
      <c r="F1" s="379"/>
      <c r="G1" s="380" t="s">
        <v>189</v>
      </c>
      <c r="H1" s="380"/>
      <c r="I1" s="380"/>
      <c r="J1" s="380"/>
      <c r="K1" s="380"/>
    </row>
    <row r="2" spans="1:11" ht="15" customHeight="1">
      <c r="A2" s="378" t="s">
        <v>174</v>
      </c>
      <c r="B2" s="379"/>
      <c r="C2" s="379"/>
      <c r="D2" s="379"/>
      <c r="E2" s="379"/>
      <c r="F2" s="379"/>
      <c r="G2" s="381"/>
      <c r="H2" s="381"/>
      <c r="I2" s="381"/>
      <c r="J2" s="381"/>
      <c r="K2" s="381"/>
    </row>
    <row r="3" spans="1:11" ht="15" customHeight="1">
      <c r="G3" s="377"/>
      <c r="H3" s="377"/>
      <c r="I3" s="377"/>
      <c r="J3" s="377"/>
      <c r="K3" s="377"/>
    </row>
    <row r="4" spans="1:11" ht="15.75" customHeight="1">
      <c r="A4" s="376"/>
      <c r="B4" s="359"/>
      <c r="C4" s="359"/>
      <c r="D4" s="359"/>
      <c r="E4" s="359"/>
      <c r="F4" s="359"/>
      <c r="G4" s="377"/>
      <c r="H4" s="377"/>
      <c r="I4" s="377"/>
      <c r="J4" s="377"/>
      <c r="K4" s="377"/>
    </row>
    <row r="5" spans="1:11" ht="7.5" customHeight="1">
      <c r="A5" s="7"/>
      <c r="B5" s="5"/>
      <c r="C5" s="8"/>
      <c r="D5" s="5"/>
      <c r="E5" s="9"/>
      <c r="F5" s="5"/>
      <c r="G5" s="10"/>
      <c r="H5" s="11"/>
      <c r="I5" s="12"/>
      <c r="J5" s="12"/>
      <c r="K5" s="11"/>
    </row>
    <row r="6" spans="1:11" ht="18" customHeight="1">
      <c r="A6" s="358" t="s">
        <v>191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 ht="15" customHeight="1">
      <c r="A7" s="358" t="s">
        <v>1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30.75" customHeight="1">
      <c r="A8" s="360" t="s">
        <v>2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1" ht="15" customHeight="1" thickBot="1">
      <c r="A9" s="13"/>
      <c r="B9" s="6"/>
      <c r="C9" s="14"/>
      <c r="D9" s="6"/>
      <c r="F9" s="6"/>
      <c r="G9" s="15"/>
      <c r="H9" s="6"/>
      <c r="I9" s="16"/>
      <c r="J9" s="16"/>
      <c r="K9" s="17"/>
    </row>
    <row r="10" spans="1:11" ht="33.75" customHeight="1">
      <c r="A10" s="361" t="s">
        <v>3</v>
      </c>
      <c r="B10" s="363" t="s">
        <v>4</v>
      </c>
      <c r="C10" s="363" t="s">
        <v>5</v>
      </c>
      <c r="D10" s="366" t="s">
        <v>6</v>
      </c>
      <c r="E10" s="367" t="s">
        <v>7</v>
      </c>
      <c r="F10" s="363" t="s">
        <v>8</v>
      </c>
      <c r="G10" s="369" t="s">
        <v>9</v>
      </c>
      <c r="H10" s="370"/>
      <c r="I10" s="371" t="s">
        <v>10</v>
      </c>
      <c r="J10" s="372"/>
      <c r="K10" s="373" t="s">
        <v>11</v>
      </c>
    </row>
    <row r="11" spans="1:11" ht="25.5" customHeight="1" thickBot="1">
      <c r="A11" s="362"/>
      <c r="B11" s="364"/>
      <c r="C11" s="365"/>
      <c r="D11" s="364"/>
      <c r="E11" s="368"/>
      <c r="F11" s="364"/>
      <c r="G11" s="168" t="s">
        <v>12</v>
      </c>
      <c r="H11" s="168" t="s">
        <v>13</v>
      </c>
      <c r="I11" s="169" t="s">
        <v>12</v>
      </c>
      <c r="J11" s="169" t="s">
        <v>14</v>
      </c>
      <c r="K11" s="374"/>
    </row>
    <row r="12" spans="1:11" s="22" customFormat="1" ht="15" customHeight="1">
      <c r="A12" s="247" t="s">
        <v>15</v>
      </c>
      <c r="B12" s="300">
        <v>2</v>
      </c>
      <c r="C12" s="306"/>
      <c r="D12" s="307">
        <v>3</v>
      </c>
      <c r="E12" s="308"/>
      <c r="F12" s="300">
        <v>4</v>
      </c>
      <c r="G12" s="166">
        <v>5</v>
      </c>
      <c r="H12" s="166">
        <v>6</v>
      </c>
      <c r="I12" s="167">
        <v>7</v>
      </c>
      <c r="J12" s="167">
        <v>10</v>
      </c>
      <c r="K12" s="248">
        <v>11</v>
      </c>
    </row>
    <row r="13" spans="1:11" ht="15" hidden="1" customHeight="1">
      <c r="A13" s="249"/>
      <c r="B13" s="301" t="s">
        <v>26</v>
      </c>
      <c r="C13" s="301"/>
      <c r="D13" s="313"/>
      <c r="E13" s="314"/>
      <c r="F13" s="313"/>
      <c r="G13" s="39"/>
      <c r="H13" s="251"/>
      <c r="I13" s="40"/>
      <c r="J13" s="253"/>
      <c r="K13" s="254"/>
    </row>
    <row r="14" spans="1:11" ht="15" hidden="1" customHeight="1">
      <c r="A14" s="255"/>
      <c r="B14" s="24" t="s">
        <v>16</v>
      </c>
      <c r="C14" s="309"/>
      <c r="D14" s="310"/>
      <c r="E14" s="311"/>
      <c r="F14" s="312"/>
      <c r="G14" s="29"/>
      <c r="H14" s="51"/>
      <c r="I14" s="36"/>
      <c r="J14" s="52"/>
      <c r="K14" s="256"/>
    </row>
    <row r="15" spans="1:11" ht="25.5" hidden="1" customHeight="1">
      <c r="A15" s="257"/>
      <c r="B15" s="53" t="s">
        <v>27</v>
      </c>
      <c r="C15" s="53"/>
      <c r="D15" s="54"/>
      <c r="E15" s="55"/>
      <c r="F15" s="56"/>
      <c r="G15" s="57"/>
      <c r="H15" s="58"/>
      <c r="I15" s="59"/>
      <c r="J15" s="60"/>
      <c r="K15" s="258"/>
    </row>
    <row r="16" spans="1:11" ht="15" customHeight="1">
      <c r="A16" s="259" t="s">
        <v>15</v>
      </c>
      <c r="B16" s="61" t="s">
        <v>28</v>
      </c>
      <c r="C16" s="62" t="s">
        <v>29</v>
      </c>
      <c r="D16" s="63" t="s">
        <v>30</v>
      </c>
      <c r="E16" s="64"/>
      <c r="F16" s="65">
        <f>97.35+62.57+44.38</f>
        <v>204.29999999999998</v>
      </c>
      <c r="G16" s="32">
        <v>180</v>
      </c>
      <c r="H16" s="235">
        <f>F16*G16</f>
        <v>36774</v>
      </c>
      <c r="I16" s="33"/>
      <c r="J16" s="66"/>
      <c r="K16" s="260">
        <f>H16+J16</f>
        <v>36774</v>
      </c>
    </row>
    <row r="17" spans="1:12" s="45" customFormat="1" ht="15" customHeight="1">
      <c r="A17" s="259"/>
      <c r="B17" s="41" t="s">
        <v>31</v>
      </c>
      <c r="C17" s="62" t="s">
        <v>29</v>
      </c>
      <c r="D17" s="67" t="s">
        <v>25</v>
      </c>
      <c r="E17" s="64">
        <v>0.02</v>
      </c>
      <c r="F17" s="68">
        <f>E17*F16</f>
        <v>4.0859999999999994</v>
      </c>
      <c r="G17" s="32"/>
      <c r="H17" s="69"/>
      <c r="I17" s="33"/>
      <c r="J17" s="43">
        <f>F17*I17</f>
        <v>0</v>
      </c>
      <c r="K17" s="261">
        <f>H17+J17</f>
        <v>0</v>
      </c>
      <c r="L17" s="1"/>
    </row>
    <row r="18" spans="1:12" s="45" customFormat="1" ht="15" hidden="1" customHeight="1">
      <c r="A18" s="262">
        <f>A16+1</f>
        <v>2</v>
      </c>
      <c r="B18" s="61" t="s">
        <v>32</v>
      </c>
      <c r="C18" s="38" t="s">
        <v>20</v>
      </c>
      <c r="D18" s="63" t="s">
        <v>30</v>
      </c>
      <c r="E18" s="64"/>
      <c r="F18" s="65">
        <f>F16</f>
        <v>204.29999999999998</v>
      </c>
      <c r="G18" s="32">
        <v>200</v>
      </c>
      <c r="H18" s="235">
        <f>F18*G18</f>
        <v>40860</v>
      </c>
      <c r="I18" s="33"/>
      <c r="J18" s="66"/>
      <c r="K18" s="260">
        <f>H18+J18</f>
        <v>40860</v>
      </c>
      <c r="L18" s="1"/>
    </row>
    <row r="19" spans="1:12" s="44" customFormat="1" ht="25.5" hidden="1" customHeight="1">
      <c r="A19" s="259"/>
      <c r="B19" s="70" t="s">
        <v>172</v>
      </c>
      <c r="C19" s="38" t="s">
        <v>20</v>
      </c>
      <c r="D19" s="71" t="s">
        <v>21</v>
      </c>
      <c r="E19" s="64">
        <v>0.35</v>
      </c>
      <c r="F19" s="72">
        <f>F18*E19</f>
        <v>71.504999999999995</v>
      </c>
      <c r="G19" s="32"/>
      <c r="H19" s="236"/>
      <c r="I19" s="33">
        <v>122.50221999999999</v>
      </c>
      <c r="J19" s="73">
        <f>F19*I19</f>
        <v>8759.5212410999993</v>
      </c>
      <c r="K19" s="263">
        <f>H19+J19</f>
        <v>8759.5212410999993</v>
      </c>
      <c r="L19" s="1"/>
    </row>
    <row r="20" spans="1:12" s="44" customFormat="1" ht="15" hidden="1" customHeight="1">
      <c r="A20" s="259"/>
      <c r="B20" s="74" t="s">
        <v>34</v>
      </c>
      <c r="C20" s="38" t="s">
        <v>20</v>
      </c>
      <c r="D20" s="71" t="s">
        <v>21</v>
      </c>
      <c r="E20" s="64">
        <v>0.15</v>
      </c>
      <c r="F20" s="72">
        <f>F18*E20</f>
        <v>30.644999999999996</v>
      </c>
      <c r="G20" s="32"/>
      <c r="H20" s="236"/>
      <c r="I20" s="33">
        <v>37.450000000000003</v>
      </c>
      <c r="J20" s="73">
        <f>F20*I20</f>
        <v>1147.65525</v>
      </c>
      <c r="K20" s="263">
        <f>H20+J20</f>
        <v>1147.65525</v>
      </c>
      <c r="L20" s="1"/>
    </row>
    <row r="21" spans="1:12" s="45" customFormat="1" ht="15" hidden="1" customHeight="1">
      <c r="A21" s="257"/>
      <c r="B21" s="76"/>
      <c r="C21" s="77"/>
      <c r="D21" s="78"/>
      <c r="E21" s="79"/>
      <c r="F21" s="80"/>
      <c r="G21" s="32"/>
      <c r="H21" s="81"/>
      <c r="I21" s="33"/>
      <c r="J21" s="82"/>
      <c r="K21" s="264"/>
      <c r="L21" s="1"/>
    </row>
    <row r="22" spans="1:12" s="45" customFormat="1" ht="15" hidden="1" customHeight="1">
      <c r="A22" s="257"/>
      <c r="B22" s="53" t="s">
        <v>35</v>
      </c>
      <c r="C22" s="265"/>
      <c r="D22" s="266"/>
      <c r="E22" s="267"/>
      <c r="F22" s="266"/>
      <c r="G22" s="57"/>
      <c r="H22" s="266"/>
      <c r="I22" s="59"/>
      <c r="J22" s="268"/>
      <c r="K22" s="269"/>
      <c r="L22" s="1"/>
    </row>
    <row r="23" spans="1:12" s="45" customFormat="1" ht="15" hidden="1" customHeight="1">
      <c r="A23" s="270">
        <f>A18+1</f>
        <v>3</v>
      </c>
      <c r="B23" s="83" t="s">
        <v>36</v>
      </c>
      <c r="C23" s="19" t="s">
        <v>20</v>
      </c>
      <c r="D23" s="19" t="s">
        <v>30</v>
      </c>
      <c r="E23" s="69"/>
      <c r="F23" s="84">
        <v>199.95</v>
      </c>
      <c r="G23" s="32">
        <v>50</v>
      </c>
      <c r="H23" s="237">
        <f>F23*G23</f>
        <v>9997.5</v>
      </c>
      <c r="I23" s="33"/>
      <c r="J23" s="43"/>
      <c r="K23" s="271">
        <f t="shared" ref="K23:K30" si="0">H23+J23</f>
        <v>9997.5</v>
      </c>
      <c r="L23" s="1"/>
    </row>
    <row r="24" spans="1:12" s="44" customFormat="1" ht="15" hidden="1" customHeight="1">
      <c r="A24" s="272"/>
      <c r="B24" s="85" t="s">
        <v>37</v>
      </c>
      <c r="C24" s="19" t="s">
        <v>20</v>
      </c>
      <c r="D24" s="41" t="s">
        <v>19</v>
      </c>
      <c r="E24" s="21">
        <v>0.15</v>
      </c>
      <c r="F24" s="68">
        <f>E24*F23</f>
        <v>29.992499999999996</v>
      </c>
      <c r="G24" s="32"/>
      <c r="H24" s="238"/>
      <c r="I24" s="33">
        <v>37.81</v>
      </c>
      <c r="J24" s="43">
        <f>F24*I24</f>
        <v>1134.016425</v>
      </c>
      <c r="K24" s="273">
        <f t="shared" si="0"/>
        <v>1134.016425</v>
      </c>
      <c r="L24" s="1"/>
    </row>
    <row r="25" spans="1:12" s="45" customFormat="1" ht="15" hidden="1" customHeight="1">
      <c r="A25" s="274">
        <f>A23+1</f>
        <v>4</v>
      </c>
      <c r="B25" s="86" t="s">
        <v>38</v>
      </c>
      <c r="C25" s="69" t="s">
        <v>190</v>
      </c>
      <c r="D25" s="19" t="s">
        <v>30</v>
      </c>
      <c r="E25" s="69"/>
      <c r="F25" s="69">
        <f>F23</f>
        <v>199.95</v>
      </c>
      <c r="G25" s="32">
        <v>200</v>
      </c>
      <c r="H25" s="237">
        <f>F25*G25</f>
        <v>39990</v>
      </c>
      <c r="I25" s="33"/>
      <c r="J25" s="43"/>
      <c r="K25" s="271">
        <f t="shared" si="0"/>
        <v>39990</v>
      </c>
      <c r="L25" s="137"/>
    </row>
    <row r="26" spans="1:12" s="44" customFormat="1" ht="15" hidden="1" customHeight="1">
      <c r="A26" s="275"/>
      <c r="B26" s="87" t="s">
        <v>39</v>
      </c>
      <c r="C26" s="69" t="s">
        <v>190</v>
      </c>
      <c r="D26" s="41" t="s">
        <v>19</v>
      </c>
      <c r="E26" s="21">
        <v>5</v>
      </c>
      <c r="F26" s="34">
        <f>E26*F25</f>
        <v>999.75</v>
      </c>
      <c r="G26" s="32"/>
      <c r="H26" s="239"/>
      <c r="I26" s="33">
        <v>12.67</v>
      </c>
      <c r="J26" s="43">
        <f>F26*I26</f>
        <v>12666.8325</v>
      </c>
      <c r="K26" s="273">
        <f t="shared" si="0"/>
        <v>12666.8325</v>
      </c>
      <c r="L26" s="1"/>
    </row>
    <row r="27" spans="1:12" s="45" customFormat="1" ht="15" hidden="1" customHeight="1">
      <c r="A27" s="275"/>
      <c r="B27" s="88" t="s">
        <v>40</v>
      </c>
      <c r="C27" s="69" t="s">
        <v>190</v>
      </c>
      <c r="D27" s="88" t="s">
        <v>41</v>
      </c>
      <c r="E27" s="89">
        <v>1.05</v>
      </c>
      <c r="F27" s="34">
        <f>E27*F25</f>
        <v>209.94749999999999</v>
      </c>
      <c r="G27" s="32"/>
      <c r="H27" s="240"/>
      <c r="I27" s="33">
        <v>629.42999999999995</v>
      </c>
      <c r="J27" s="90">
        <f>F27*I27</f>
        <v>132147.25492499999</v>
      </c>
      <c r="K27" s="261">
        <f t="shared" si="0"/>
        <v>132147.25492499999</v>
      </c>
      <c r="L27" s="1"/>
    </row>
    <row r="28" spans="1:12" s="45" customFormat="1" ht="15" hidden="1" customHeight="1">
      <c r="A28" s="274">
        <f>A25+1</f>
        <v>5</v>
      </c>
      <c r="B28" s="61" t="s">
        <v>32</v>
      </c>
      <c r="C28" s="38" t="s">
        <v>20</v>
      </c>
      <c r="D28" s="38" t="s">
        <v>30</v>
      </c>
      <c r="E28" s="64"/>
      <c r="F28" s="97">
        <f>F23</f>
        <v>199.95</v>
      </c>
      <c r="G28" s="241">
        <v>200</v>
      </c>
      <c r="H28" s="235">
        <f>F28*G28</f>
        <v>39990</v>
      </c>
      <c r="I28" s="33"/>
      <c r="J28" s="66"/>
      <c r="K28" s="260">
        <f t="shared" si="0"/>
        <v>39990</v>
      </c>
      <c r="L28" s="1"/>
    </row>
    <row r="29" spans="1:12" s="44" customFormat="1" ht="15" hidden="1" customHeight="1">
      <c r="A29" s="275"/>
      <c r="B29" s="74" t="s">
        <v>173</v>
      </c>
      <c r="C29" s="19" t="s">
        <v>20</v>
      </c>
      <c r="D29" s="70" t="s">
        <v>21</v>
      </c>
      <c r="E29" s="64">
        <v>0.35</v>
      </c>
      <c r="F29" s="68">
        <f>E29*F28</f>
        <v>69.982499999999987</v>
      </c>
      <c r="G29" s="32"/>
      <c r="H29" s="236"/>
      <c r="I29" s="33">
        <v>122.50221999999999</v>
      </c>
      <c r="J29" s="73">
        <f>F29*I29</f>
        <v>8573.0116111499974</v>
      </c>
      <c r="K29" s="263">
        <f t="shared" si="0"/>
        <v>8573.0116111499974</v>
      </c>
      <c r="L29" s="1"/>
    </row>
    <row r="30" spans="1:12" s="44" customFormat="1" ht="15" hidden="1" customHeight="1">
      <c r="A30" s="276"/>
      <c r="B30" s="98" t="s">
        <v>37</v>
      </c>
      <c r="C30" s="19" t="s">
        <v>20</v>
      </c>
      <c r="D30" s="41" t="s">
        <v>19</v>
      </c>
      <c r="E30" s="21">
        <v>0.15</v>
      </c>
      <c r="F30" s="68">
        <f>E30*F28</f>
        <v>29.992499999999996</v>
      </c>
      <c r="G30" s="32"/>
      <c r="H30" s="238"/>
      <c r="I30" s="33">
        <v>37.81</v>
      </c>
      <c r="J30" s="43">
        <f>F30*I30</f>
        <v>1134.016425</v>
      </c>
      <c r="K30" s="273">
        <f t="shared" si="0"/>
        <v>1134.016425</v>
      </c>
      <c r="L30" s="1"/>
    </row>
    <row r="31" spans="1:12" s="45" customFormat="1" ht="15" hidden="1" customHeight="1">
      <c r="A31" s="276"/>
      <c r="B31" s="98"/>
      <c r="C31" s="20"/>
      <c r="D31" s="41"/>
      <c r="E31" s="21"/>
      <c r="F31" s="68"/>
      <c r="G31" s="32"/>
      <c r="H31" s="43"/>
      <c r="I31" s="33"/>
      <c r="J31" s="43"/>
      <c r="K31" s="273"/>
      <c r="L31" s="1"/>
    </row>
    <row r="32" spans="1:12" s="45" customFormat="1" ht="15" hidden="1" customHeight="1">
      <c r="A32" s="257"/>
      <c r="B32" s="53" t="s">
        <v>49</v>
      </c>
      <c r="C32" s="265"/>
      <c r="D32" s="266"/>
      <c r="E32" s="267"/>
      <c r="F32" s="266"/>
      <c r="G32" s="57"/>
      <c r="H32" s="266"/>
      <c r="I32" s="59"/>
      <c r="J32" s="268"/>
      <c r="K32" s="269"/>
      <c r="L32" s="1"/>
    </row>
    <row r="33" spans="1:12" s="45" customFormat="1" ht="15" hidden="1" customHeight="1">
      <c r="A33" s="277">
        <f>A28+1</f>
        <v>6</v>
      </c>
      <c r="B33" s="83" t="s">
        <v>50</v>
      </c>
      <c r="C33" s="19" t="s">
        <v>20</v>
      </c>
      <c r="D33" s="19" t="s">
        <v>30</v>
      </c>
      <c r="E33" s="69"/>
      <c r="F33" s="84">
        <f>62.11+77.37+15.47</f>
        <v>154.95000000000002</v>
      </c>
      <c r="G33" s="32">
        <v>50</v>
      </c>
      <c r="H33" s="237">
        <f>F33*G33</f>
        <v>7747.5000000000009</v>
      </c>
      <c r="I33" s="33"/>
      <c r="J33" s="43"/>
      <c r="K33" s="271">
        <f t="shared" ref="K33:K44" si="1">H33+J33</f>
        <v>7747.5000000000009</v>
      </c>
      <c r="L33" s="1"/>
    </row>
    <row r="34" spans="1:12" s="44" customFormat="1" ht="15" hidden="1" customHeight="1">
      <c r="A34" s="259"/>
      <c r="B34" s="85" t="s">
        <v>37</v>
      </c>
      <c r="C34" s="19" t="s">
        <v>20</v>
      </c>
      <c r="D34" s="41" t="s">
        <v>19</v>
      </c>
      <c r="E34" s="21">
        <v>0.15</v>
      </c>
      <c r="F34" s="68">
        <f>E34*F33</f>
        <v>23.242500000000003</v>
      </c>
      <c r="G34" s="32"/>
      <c r="H34" s="238"/>
      <c r="I34" s="33">
        <v>37.81</v>
      </c>
      <c r="J34" s="43">
        <f>F34*I34</f>
        <v>878.79892500000017</v>
      </c>
      <c r="K34" s="273">
        <f t="shared" si="1"/>
        <v>878.79892500000017</v>
      </c>
      <c r="L34" s="1"/>
    </row>
    <row r="35" spans="1:12" s="45" customFormat="1" ht="15" hidden="1" customHeight="1">
      <c r="A35" s="277">
        <f>A33+1</f>
        <v>7</v>
      </c>
      <c r="B35" s="243" t="s">
        <v>42</v>
      </c>
      <c r="C35" s="19" t="s">
        <v>17</v>
      </c>
      <c r="D35" s="18" t="s">
        <v>30</v>
      </c>
      <c r="E35" s="64"/>
      <c r="F35" s="92">
        <f>F33</f>
        <v>154.95000000000002</v>
      </c>
      <c r="G35" s="32">
        <v>280</v>
      </c>
      <c r="H35" s="237">
        <f>F35*G35</f>
        <v>43386.000000000007</v>
      </c>
      <c r="I35" s="33"/>
      <c r="J35" s="93"/>
      <c r="K35" s="271">
        <f t="shared" si="1"/>
        <v>43386.000000000007</v>
      </c>
      <c r="L35" s="35"/>
    </row>
    <row r="36" spans="1:12" s="44" customFormat="1" ht="15" hidden="1" customHeight="1">
      <c r="A36" s="257"/>
      <c r="B36" s="94" t="s">
        <v>43</v>
      </c>
      <c r="C36" s="19" t="s">
        <v>17</v>
      </c>
      <c r="D36" s="67" t="s">
        <v>19</v>
      </c>
      <c r="E36" s="64">
        <v>13</v>
      </c>
      <c r="F36" s="68">
        <f>E36*F35</f>
        <v>2014.3500000000001</v>
      </c>
      <c r="G36" s="32"/>
      <c r="H36" s="238"/>
      <c r="I36" s="33">
        <v>6.67</v>
      </c>
      <c r="J36" s="43">
        <f>F36*I36</f>
        <v>13435.7145</v>
      </c>
      <c r="K36" s="261">
        <f t="shared" si="1"/>
        <v>13435.7145</v>
      </c>
      <c r="L36" s="1"/>
    </row>
    <row r="37" spans="1:12" s="45" customFormat="1" ht="15" hidden="1" customHeight="1">
      <c r="A37" s="262">
        <f>A35+1</f>
        <v>8</v>
      </c>
      <c r="B37" s="83" t="s">
        <v>44</v>
      </c>
      <c r="C37" s="19" t="s">
        <v>20</v>
      </c>
      <c r="D37" s="18" t="s">
        <v>30</v>
      </c>
      <c r="E37" s="64"/>
      <c r="F37" s="92">
        <f>F35</f>
        <v>154.95000000000002</v>
      </c>
      <c r="G37" s="32">
        <v>50</v>
      </c>
      <c r="H37" s="237">
        <f>F37*G37</f>
        <v>7747.5000000000009</v>
      </c>
      <c r="I37" s="33"/>
      <c r="J37" s="93"/>
      <c r="K37" s="271">
        <f t="shared" si="1"/>
        <v>7747.5000000000009</v>
      </c>
      <c r="L37" s="1"/>
    </row>
    <row r="38" spans="1:12" s="44" customFormat="1" ht="15" hidden="1" customHeight="1">
      <c r="A38" s="257"/>
      <c r="B38" s="85" t="s">
        <v>45</v>
      </c>
      <c r="C38" s="19" t="s">
        <v>20</v>
      </c>
      <c r="D38" s="67" t="s">
        <v>19</v>
      </c>
      <c r="E38" s="64">
        <v>0.15</v>
      </c>
      <c r="F38" s="68">
        <f>E38*F37</f>
        <v>23.242500000000003</v>
      </c>
      <c r="G38" s="32"/>
      <c r="H38" s="238"/>
      <c r="I38" s="33">
        <v>28.087</v>
      </c>
      <c r="J38" s="43">
        <f>F38*I38</f>
        <v>652.81209750000005</v>
      </c>
      <c r="K38" s="261">
        <f t="shared" si="1"/>
        <v>652.81209750000005</v>
      </c>
      <c r="L38" s="1"/>
    </row>
    <row r="39" spans="1:12" s="45" customFormat="1" ht="15" hidden="1" customHeight="1">
      <c r="A39" s="262">
        <f>A37+1</f>
        <v>9</v>
      </c>
      <c r="B39" s="95" t="s">
        <v>187</v>
      </c>
      <c r="C39" s="19" t="s">
        <v>20</v>
      </c>
      <c r="D39" s="18" t="s">
        <v>30</v>
      </c>
      <c r="E39" s="64"/>
      <c r="F39" s="92">
        <f>F33</f>
        <v>154.95000000000002</v>
      </c>
      <c r="G39" s="32">
        <v>250</v>
      </c>
      <c r="H39" s="237">
        <f>F39*G39</f>
        <v>38737.500000000007</v>
      </c>
      <c r="I39" s="33"/>
      <c r="J39" s="43"/>
      <c r="K39" s="271">
        <f t="shared" si="1"/>
        <v>38737.500000000007</v>
      </c>
      <c r="L39" s="1"/>
    </row>
    <row r="40" spans="1:12" s="44" customFormat="1" ht="15" hidden="1" customHeight="1">
      <c r="A40" s="257"/>
      <c r="B40" s="96" t="s">
        <v>46</v>
      </c>
      <c r="C40" s="19" t="s">
        <v>20</v>
      </c>
      <c r="D40" s="67" t="s">
        <v>19</v>
      </c>
      <c r="E40" s="64">
        <v>4</v>
      </c>
      <c r="F40" s="34">
        <f>E40*F39</f>
        <v>619.80000000000007</v>
      </c>
      <c r="G40" s="32"/>
      <c r="H40" s="242"/>
      <c r="I40" s="33">
        <v>4.9960000000000004</v>
      </c>
      <c r="J40" s="43">
        <f>F40*I40</f>
        <v>3096.5208000000007</v>
      </c>
      <c r="K40" s="273">
        <f t="shared" si="1"/>
        <v>3096.5208000000007</v>
      </c>
      <c r="L40" s="1"/>
    </row>
    <row r="41" spans="1:12" s="45" customFormat="1" ht="15" hidden="1" customHeight="1">
      <c r="A41" s="257"/>
      <c r="B41" s="85" t="s">
        <v>47</v>
      </c>
      <c r="C41" s="19" t="s">
        <v>20</v>
      </c>
      <c r="D41" s="67" t="s">
        <v>19</v>
      </c>
      <c r="E41" s="64">
        <v>1.8</v>
      </c>
      <c r="F41" s="34">
        <f>E41*F39</f>
        <v>278.91000000000003</v>
      </c>
      <c r="G41" s="32"/>
      <c r="H41" s="42"/>
      <c r="I41" s="33">
        <v>56.645999999999994</v>
      </c>
      <c r="J41" s="43">
        <f>F41*I41</f>
        <v>15799.13586</v>
      </c>
      <c r="K41" s="273">
        <f t="shared" si="1"/>
        <v>15799.13586</v>
      </c>
      <c r="L41" s="1"/>
    </row>
    <row r="42" spans="1:12" s="45" customFormat="1" ht="15" hidden="1" customHeight="1">
      <c r="A42" s="262">
        <f>A39+1</f>
        <v>10</v>
      </c>
      <c r="B42" s="61" t="s">
        <v>32</v>
      </c>
      <c r="C42" s="19" t="s">
        <v>20</v>
      </c>
      <c r="D42" s="38" t="s">
        <v>30</v>
      </c>
      <c r="E42" s="64"/>
      <c r="F42" s="97">
        <f>F33</f>
        <v>154.95000000000002</v>
      </c>
      <c r="G42" s="241">
        <v>200</v>
      </c>
      <c r="H42" s="235">
        <f>F42*G42</f>
        <v>30990.000000000004</v>
      </c>
      <c r="I42" s="33"/>
      <c r="J42" s="66"/>
      <c r="K42" s="260">
        <f t="shared" si="1"/>
        <v>30990.000000000004</v>
      </c>
      <c r="L42" s="1"/>
    </row>
    <row r="43" spans="1:12" s="44" customFormat="1" ht="15" hidden="1" customHeight="1">
      <c r="A43" s="257"/>
      <c r="B43" s="74" t="s">
        <v>173</v>
      </c>
      <c r="C43" s="19" t="s">
        <v>20</v>
      </c>
      <c r="D43" s="70" t="s">
        <v>21</v>
      </c>
      <c r="E43" s="64">
        <v>0.35</v>
      </c>
      <c r="F43" s="68">
        <f>E43*F42</f>
        <v>54.232500000000002</v>
      </c>
      <c r="G43" s="32"/>
      <c r="H43" s="236"/>
      <c r="I43" s="33">
        <v>122.50221999999999</v>
      </c>
      <c r="J43" s="73">
        <f>F43*I43</f>
        <v>6643.6016461500003</v>
      </c>
      <c r="K43" s="263">
        <f t="shared" si="1"/>
        <v>6643.6016461500003</v>
      </c>
      <c r="L43" s="1"/>
    </row>
    <row r="44" spans="1:12" s="44" customFormat="1" ht="15" hidden="1" customHeight="1">
      <c r="A44" s="278"/>
      <c r="B44" s="98" t="s">
        <v>37</v>
      </c>
      <c r="C44" s="19" t="s">
        <v>20</v>
      </c>
      <c r="D44" s="41" t="s">
        <v>19</v>
      </c>
      <c r="E44" s="21">
        <v>0.15</v>
      </c>
      <c r="F44" s="68">
        <f>E44*F42</f>
        <v>23.242500000000003</v>
      </c>
      <c r="G44" s="32"/>
      <c r="H44" s="238"/>
      <c r="I44" s="33">
        <v>37.81</v>
      </c>
      <c r="J44" s="43">
        <f>F44*I44</f>
        <v>878.79892500000017</v>
      </c>
      <c r="K44" s="273">
        <f t="shared" si="1"/>
        <v>878.79892500000017</v>
      </c>
      <c r="L44" s="1"/>
    </row>
    <row r="45" spans="1:12" s="45" customFormat="1" ht="15" hidden="1" customHeight="1">
      <c r="A45" s="279"/>
      <c r="B45" s="99"/>
      <c r="C45" s="100"/>
      <c r="D45" s="70"/>
      <c r="E45" s="21"/>
      <c r="F45" s="101"/>
      <c r="G45" s="32"/>
      <c r="H45" s="73"/>
      <c r="I45" s="33"/>
      <c r="J45" s="73"/>
      <c r="K45" s="263"/>
      <c r="L45" s="1"/>
    </row>
    <row r="46" spans="1:12" s="45" customFormat="1" ht="15" hidden="1" customHeight="1">
      <c r="A46" s="23"/>
      <c r="B46" s="24" t="s">
        <v>22</v>
      </c>
      <c r="C46" s="25"/>
      <c r="D46" s="26"/>
      <c r="E46" s="27"/>
      <c r="F46" s="28"/>
      <c r="G46" s="29"/>
      <c r="H46" s="29" t="str">
        <f>IF(ISBLANK(G46),"",G46*F46)</f>
        <v/>
      </c>
      <c r="I46" s="36"/>
      <c r="J46" s="30" t="str">
        <f>IF(ISBLANK(I46),"",I46*F46)</f>
        <v/>
      </c>
      <c r="K46" s="31"/>
      <c r="L46" s="1"/>
    </row>
    <row r="47" spans="1:12" s="45" customFormat="1" ht="15" hidden="1" customHeight="1">
      <c r="A47" s="257"/>
      <c r="B47" s="53" t="s">
        <v>51</v>
      </c>
      <c r="C47" s="265"/>
      <c r="D47" s="266"/>
      <c r="E47" s="267"/>
      <c r="F47" s="266"/>
      <c r="G47" s="57"/>
      <c r="H47" s="266"/>
      <c r="I47" s="59"/>
      <c r="J47" s="268"/>
      <c r="K47" s="269"/>
      <c r="L47" s="1"/>
    </row>
    <row r="48" spans="1:12" s="45" customFormat="1" ht="15" hidden="1" customHeight="1">
      <c r="A48" s="262">
        <f>A42+1</f>
        <v>11</v>
      </c>
      <c r="B48" s="61" t="s">
        <v>52</v>
      </c>
      <c r="C48" s="38" t="s">
        <v>20</v>
      </c>
      <c r="D48" s="38" t="s">
        <v>30</v>
      </c>
      <c r="E48" s="102"/>
      <c r="F48" s="97">
        <f>26.98+41</f>
        <v>67.98</v>
      </c>
      <c r="G48" s="32">
        <v>250</v>
      </c>
      <c r="H48" s="235">
        <f>F48*G48</f>
        <v>16995</v>
      </c>
      <c r="I48" s="33"/>
      <c r="J48" s="66"/>
      <c r="K48" s="260">
        <f t="shared" ref="K48:K56" si="2">H48+J48</f>
        <v>16995</v>
      </c>
      <c r="L48" s="1"/>
    </row>
    <row r="49" spans="1:12" s="44" customFormat="1" ht="15" hidden="1" customHeight="1">
      <c r="A49" s="279"/>
      <c r="B49" s="74" t="s">
        <v>53</v>
      </c>
      <c r="C49" s="38" t="s">
        <v>20</v>
      </c>
      <c r="D49" s="70" t="s">
        <v>19</v>
      </c>
      <c r="E49" s="102">
        <v>1.8</v>
      </c>
      <c r="F49" s="68">
        <f>E49*F48</f>
        <v>122.364</v>
      </c>
      <c r="G49" s="32"/>
      <c r="H49" s="236"/>
      <c r="I49" s="33">
        <v>8.7200000000000006</v>
      </c>
      <c r="J49" s="73">
        <f>F49*I49</f>
        <v>1067.0140800000001</v>
      </c>
      <c r="K49" s="263">
        <f t="shared" si="2"/>
        <v>1067.0140800000001</v>
      </c>
      <c r="L49" s="1"/>
    </row>
    <row r="50" spans="1:12" s="44" customFormat="1" ht="15" hidden="1" customHeight="1">
      <c r="A50" s="279"/>
      <c r="B50" s="74" t="s">
        <v>54</v>
      </c>
      <c r="C50" s="38" t="s">
        <v>20</v>
      </c>
      <c r="D50" s="70" t="s">
        <v>19</v>
      </c>
      <c r="E50" s="102">
        <v>1.8</v>
      </c>
      <c r="F50" s="68">
        <f>E50*F48</f>
        <v>122.364</v>
      </c>
      <c r="G50" s="32"/>
      <c r="H50" s="236"/>
      <c r="I50" s="33">
        <v>18.690000000000001</v>
      </c>
      <c r="J50" s="73">
        <f>F50*I50</f>
        <v>2286.9831600000002</v>
      </c>
      <c r="K50" s="263">
        <f t="shared" si="2"/>
        <v>2286.9831600000002</v>
      </c>
      <c r="L50" s="1"/>
    </row>
    <row r="51" spans="1:12" s="44" customFormat="1" ht="15" hidden="1" customHeight="1">
      <c r="A51" s="279"/>
      <c r="B51" s="74" t="s">
        <v>34</v>
      </c>
      <c r="C51" s="38" t="s">
        <v>20</v>
      </c>
      <c r="D51" s="70" t="s">
        <v>21</v>
      </c>
      <c r="E51" s="102">
        <v>0.15</v>
      </c>
      <c r="F51" s="68">
        <f>E51*F48</f>
        <v>10.197000000000001</v>
      </c>
      <c r="G51" s="32"/>
      <c r="H51" s="236"/>
      <c r="I51" s="33">
        <v>37.450000000000003</v>
      </c>
      <c r="J51" s="73">
        <f>F51*I51</f>
        <v>381.87765000000007</v>
      </c>
      <c r="K51" s="263">
        <f t="shared" si="2"/>
        <v>381.87765000000007</v>
      </c>
      <c r="L51" s="1"/>
    </row>
    <row r="52" spans="1:12" s="44" customFormat="1" ht="15" hidden="1" customHeight="1">
      <c r="A52" s="279"/>
      <c r="B52" s="74" t="s">
        <v>55</v>
      </c>
      <c r="C52" s="38" t="s">
        <v>20</v>
      </c>
      <c r="D52" s="70" t="s">
        <v>56</v>
      </c>
      <c r="E52" s="102">
        <v>0.1</v>
      </c>
      <c r="F52" s="68">
        <f>E52*F48</f>
        <v>6.7980000000000009</v>
      </c>
      <c r="G52" s="32"/>
      <c r="H52" s="236"/>
      <c r="I52" s="33">
        <v>19.260000000000002</v>
      </c>
      <c r="J52" s="73">
        <f>F52*I52</f>
        <v>130.92948000000004</v>
      </c>
      <c r="K52" s="263">
        <f t="shared" si="2"/>
        <v>130.92948000000004</v>
      </c>
      <c r="L52" s="1"/>
    </row>
    <row r="53" spans="1:12" s="44" customFormat="1" ht="15" hidden="1" customHeight="1">
      <c r="A53" s="279"/>
      <c r="B53" s="74" t="s">
        <v>57</v>
      </c>
      <c r="C53" s="38" t="s">
        <v>20</v>
      </c>
      <c r="D53" s="70" t="s">
        <v>58</v>
      </c>
      <c r="E53" s="102">
        <v>1.1000000000000001</v>
      </c>
      <c r="F53" s="68">
        <f>E53*F48</f>
        <v>74.778000000000006</v>
      </c>
      <c r="G53" s="32"/>
      <c r="H53" s="236"/>
      <c r="I53" s="33">
        <v>3.1240000000000001</v>
      </c>
      <c r="J53" s="73">
        <f>F53*I53</f>
        <v>233.60647200000002</v>
      </c>
      <c r="K53" s="263">
        <f t="shared" si="2"/>
        <v>233.60647200000002</v>
      </c>
      <c r="L53" s="1"/>
    </row>
    <row r="54" spans="1:12" s="45" customFormat="1" ht="15" hidden="1" customHeight="1">
      <c r="A54" s="280">
        <f>A48+1</f>
        <v>12</v>
      </c>
      <c r="B54" s="61" t="s">
        <v>59</v>
      </c>
      <c r="C54" s="38" t="s">
        <v>20</v>
      </c>
      <c r="D54" s="38" t="s">
        <v>30</v>
      </c>
      <c r="E54" s="102"/>
      <c r="F54" s="97">
        <f>F48</f>
        <v>67.98</v>
      </c>
      <c r="G54" s="241">
        <v>200</v>
      </c>
      <c r="H54" s="235">
        <f>F54*G54</f>
        <v>13596</v>
      </c>
      <c r="I54" s="33"/>
      <c r="J54" s="66"/>
      <c r="K54" s="260">
        <f t="shared" si="2"/>
        <v>13596</v>
      </c>
      <c r="L54" s="1"/>
    </row>
    <row r="55" spans="1:12" s="44" customFormat="1" ht="25.5" hidden="1" customHeight="1">
      <c r="A55" s="279"/>
      <c r="B55" s="103" t="s">
        <v>60</v>
      </c>
      <c r="C55" s="38" t="s">
        <v>20</v>
      </c>
      <c r="D55" s="70" t="s">
        <v>21</v>
      </c>
      <c r="E55" s="104">
        <v>0.35</v>
      </c>
      <c r="F55" s="68">
        <f>E55*F54</f>
        <v>23.792999999999999</v>
      </c>
      <c r="G55" s="32"/>
      <c r="H55" s="236"/>
      <c r="I55" s="33">
        <v>122.50221999999999</v>
      </c>
      <c r="J55" s="73">
        <f>F55*I55</f>
        <v>2914.6953204599999</v>
      </c>
      <c r="K55" s="263">
        <f t="shared" si="2"/>
        <v>2914.6953204599999</v>
      </c>
      <c r="L55" s="1"/>
    </row>
    <row r="56" spans="1:12" s="44" customFormat="1" ht="15" hidden="1" customHeight="1">
      <c r="A56" s="279"/>
      <c r="B56" s="105" t="s">
        <v>34</v>
      </c>
      <c r="C56" s="38" t="s">
        <v>20</v>
      </c>
      <c r="D56" s="70" t="s">
        <v>21</v>
      </c>
      <c r="E56" s="102">
        <v>0.15</v>
      </c>
      <c r="F56" s="68">
        <f>E56*F54</f>
        <v>10.197000000000001</v>
      </c>
      <c r="G56" s="32"/>
      <c r="H56" s="236"/>
      <c r="I56" s="33">
        <v>37.450000000000003</v>
      </c>
      <c r="J56" s="73">
        <f>F56*I56</f>
        <v>381.87765000000007</v>
      </c>
      <c r="K56" s="263">
        <f t="shared" si="2"/>
        <v>381.87765000000007</v>
      </c>
      <c r="L56" s="1"/>
    </row>
    <row r="57" spans="1:12" s="45" customFormat="1" ht="15" hidden="1" customHeight="1">
      <c r="A57" s="281"/>
      <c r="B57" s="76"/>
      <c r="C57" s="77"/>
      <c r="D57" s="76"/>
      <c r="E57" s="106"/>
      <c r="F57" s="107"/>
      <c r="G57" s="32"/>
      <c r="H57" s="81"/>
      <c r="I57" s="33"/>
      <c r="J57" s="82"/>
      <c r="K57" s="264"/>
      <c r="L57" s="1"/>
    </row>
    <row r="58" spans="1:12" s="45" customFormat="1" ht="15" hidden="1" customHeight="1">
      <c r="A58" s="257"/>
      <c r="B58" s="53" t="s">
        <v>61</v>
      </c>
      <c r="C58" s="53"/>
      <c r="D58" s="54"/>
      <c r="E58" s="55"/>
      <c r="F58" s="56"/>
      <c r="G58" s="57"/>
      <c r="H58" s="58"/>
      <c r="I58" s="59"/>
      <c r="J58" s="60"/>
      <c r="K58" s="258"/>
      <c r="L58" s="1"/>
    </row>
    <row r="59" spans="1:12" s="45" customFormat="1" ht="15" customHeight="1">
      <c r="A59" s="277">
        <f>A54+1</f>
        <v>13</v>
      </c>
      <c r="B59" s="61" t="s">
        <v>188</v>
      </c>
      <c r="C59" s="62" t="s">
        <v>29</v>
      </c>
      <c r="D59" s="63" t="s">
        <v>30</v>
      </c>
      <c r="E59" s="64"/>
      <c r="F59" s="65">
        <f>534.41+196.7</f>
        <v>731.1099999999999</v>
      </c>
      <c r="G59" s="32">
        <v>180</v>
      </c>
      <c r="H59" s="235">
        <f>F59*G59</f>
        <v>131599.79999999999</v>
      </c>
      <c r="I59" s="33"/>
      <c r="J59" s="66"/>
      <c r="K59" s="260">
        <f>H59+J59</f>
        <v>131599.79999999999</v>
      </c>
      <c r="L59" s="1"/>
    </row>
    <row r="60" spans="1:12" s="45" customFormat="1" ht="15" customHeight="1">
      <c r="A60" s="259"/>
      <c r="B60" s="41" t="s">
        <v>31</v>
      </c>
      <c r="C60" s="62" t="s">
        <v>29</v>
      </c>
      <c r="D60" s="67" t="s">
        <v>25</v>
      </c>
      <c r="E60" s="64">
        <v>0.02</v>
      </c>
      <c r="F60" s="68">
        <f>E60*F59</f>
        <v>14.622199999999998</v>
      </c>
      <c r="G60" s="32"/>
      <c r="H60" s="69"/>
      <c r="I60" s="33"/>
      <c r="J60" s="43">
        <f>F60*I60</f>
        <v>0</v>
      </c>
      <c r="K60" s="261">
        <f>H60+J60</f>
        <v>0</v>
      </c>
      <c r="L60" s="1"/>
    </row>
    <row r="61" spans="1:12" s="45" customFormat="1" ht="15" hidden="1" customHeight="1">
      <c r="A61" s="262">
        <f>A59+1</f>
        <v>14</v>
      </c>
      <c r="B61" s="61" t="s">
        <v>59</v>
      </c>
      <c r="C61" s="38" t="s">
        <v>20</v>
      </c>
      <c r="D61" s="63" t="s">
        <v>30</v>
      </c>
      <c r="E61" s="64"/>
      <c r="F61" s="65">
        <f>F59</f>
        <v>731.1099999999999</v>
      </c>
      <c r="G61" s="32">
        <v>200</v>
      </c>
      <c r="H61" s="235">
        <f>F61*G61</f>
        <v>146221.99999999997</v>
      </c>
      <c r="I61" s="33"/>
      <c r="J61" s="66"/>
      <c r="K61" s="260">
        <f>H61+J61</f>
        <v>146221.99999999997</v>
      </c>
      <c r="L61" s="1"/>
    </row>
    <row r="62" spans="1:12" s="44" customFormat="1" ht="25.5" hidden="1" customHeight="1">
      <c r="A62" s="259"/>
      <c r="B62" s="70" t="s">
        <v>33</v>
      </c>
      <c r="C62" s="38" t="s">
        <v>20</v>
      </c>
      <c r="D62" s="71" t="s">
        <v>21</v>
      </c>
      <c r="E62" s="64">
        <v>0.35</v>
      </c>
      <c r="F62" s="72">
        <f>F61*E62</f>
        <v>255.88849999999994</v>
      </c>
      <c r="G62" s="32"/>
      <c r="H62" s="236"/>
      <c r="I62" s="33">
        <v>122.50221999999999</v>
      </c>
      <c r="J62" s="73">
        <f>F62*I62</f>
        <v>31346.90932246999</v>
      </c>
      <c r="K62" s="263">
        <f>H62+J62</f>
        <v>31346.90932246999</v>
      </c>
      <c r="L62" s="1"/>
    </row>
    <row r="63" spans="1:12" s="44" customFormat="1" ht="15" hidden="1" customHeight="1">
      <c r="A63" s="259"/>
      <c r="B63" s="74" t="s">
        <v>34</v>
      </c>
      <c r="C63" s="38" t="s">
        <v>20</v>
      </c>
      <c r="D63" s="71" t="s">
        <v>21</v>
      </c>
      <c r="E63" s="64">
        <v>0.15</v>
      </c>
      <c r="F63" s="72">
        <f>F61*E63</f>
        <v>109.66649999999998</v>
      </c>
      <c r="G63" s="32"/>
      <c r="H63" s="236"/>
      <c r="I63" s="33">
        <v>37.450000000000003</v>
      </c>
      <c r="J63" s="73">
        <f>F63*I63</f>
        <v>4107.0104249999995</v>
      </c>
      <c r="K63" s="263">
        <f>H63+J63</f>
        <v>4107.0104249999995</v>
      </c>
      <c r="L63" s="1"/>
    </row>
    <row r="64" spans="1:12" s="45" customFormat="1" ht="15" hidden="1" customHeight="1">
      <c r="A64" s="257"/>
      <c r="B64" s="76"/>
      <c r="C64" s="77"/>
      <c r="D64" s="78"/>
      <c r="E64" s="79"/>
      <c r="F64" s="80"/>
      <c r="G64" s="32"/>
      <c r="H64" s="81"/>
      <c r="I64" s="33"/>
      <c r="J64" s="82"/>
      <c r="K64" s="264"/>
      <c r="L64" s="1"/>
    </row>
    <row r="65" spans="1:12" s="45" customFormat="1" ht="15" hidden="1" customHeight="1">
      <c r="A65" s="282"/>
      <c r="B65" s="53" t="s">
        <v>62</v>
      </c>
      <c r="C65" s="53"/>
      <c r="D65" s="54"/>
      <c r="E65" s="108"/>
      <c r="F65" s="56"/>
      <c r="G65" s="57"/>
      <c r="H65" s="58"/>
      <c r="I65" s="59"/>
      <c r="J65" s="60"/>
      <c r="K65" s="258"/>
      <c r="L65" s="1"/>
    </row>
    <row r="66" spans="1:12" s="45" customFormat="1" ht="15" hidden="1" customHeight="1">
      <c r="A66" s="262">
        <f>A61+1</f>
        <v>15</v>
      </c>
      <c r="B66" s="61" t="s">
        <v>63</v>
      </c>
      <c r="C66" s="38" t="s">
        <v>17</v>
      </c>
      <c r="D66" s="38" t="s">
        <v>30</v>
      </c>
      <c r="E66" s="102"/>
      <c r="F66" s="97">
        <v>170.62</v>
      </c>
      <c r="G66" s="32">
        <v>250</v>
      </c>
      <c r="H66" s="235">
        <f>F66*G66</f>
        <v>42655</v>
      </c>
      <c r="I66" s="33"/>
      <c r="J66" s="66"/>
      <c r="K66" s="260">
        <f t="shared" ref="K66:K77" si="3">H66+J66</f>
        <v>42655</v>
      </c>
      <c r="L66" s="1"/>
    </row>
    <row r="67" spans="1:12" s="44" customFormat="1" ht="15" hidden="1" customHeight="1">
      <c r="A67" s="259"/>
      <c r="B67" s="103" t="s">
        <v>64</v>
      </c>
      <c r="C67" s="38" t="s">
        <v>17</v>
      </c>
      <c r="D67" s="70" t="s">
        <v>56</v>
      </c>
      <c r="E67" s="102">
        <v>0.4</v>
      </c>
      <c r="F67" s="37">
        <f>F66*E67</f>
        <v>68.248000000000005</v>
      </c>
      <c r="G67" s="32"/>
      <c r="H67" s="244"/>
      <c r="I67" s="33">
        <v>16.05</v>
      </c>
      <c r="J67" s="73">
        <f>F67*I67</f>
        <v>1095.3804000000002</v>
      </c>
      <c r="K67" s="263">
        <f t="shared" si="3"/>
        <v>1095.3804000000002</v>
      </c>
      <c r="L67" s="1"/>
    </row>
    <row r="68" spans="1:12" s="44" customFormat="1" ht="15" hidden="1" customHeight="1">
      <c r="A68" s="283"/>
      <c r="B68" s="103" t="s">
        <v>65</v>
      </c>
      <c r="C68" s="38" t="s">
        <v>17</v>
      </c>
      <c r="D68" s="70" t="s">
        <v>56</v>
      </c>
      <c r="E68" s="102">
        <v>0.4</v>
      </c>
      <c r="F68" s="37">
        <f>F66*E68</f>
        <v>68.248000000000005</v>
      </c>
      <c r="G68" s="32"/>
      <c r="H68" s="244"/>
      <c r="I68" s="33">
        <v>16.77</v>
      </c>
      <c r="J68" s="73">
        <f>F68*I68</f>
        <v>1144.5189600000001</v>
      </c>
      <c r="K68" s="263">
        <f t="shared" si="3"/>
        <v>1144.5189600000001</v>
      </c>
      <c r="L68" s="1"/>
    </row>
    <row r="69" spans="1:12" s="44" customFormat="1" ht="15" hidden="1" customHeight="1">
      <c r="A69" s="279"/>
      <c r="B69" s="103" t="s">
        <v>66</v>
      </c>
      <c r="C69" s="38" t="s">
        <v>17</v>
      </c>
      <c r="D69" s="70" t="s">
        <v>19</v>
      </c>
      <c r="E69" s="102">
        <v>25</v>
      </c>
      <c r="F69" s="37">
        <f>F66*E69</f>
        <v>4265.5</v>
      </c>
      <c r="G69" s="32"/>
      <c r="H69" s="244"/>
      <c r="I69" s="33">
        <v>4.9960000000000004</v>
      </c>
      <c r="J69" s="73">
        <f>F69*I69</f>
        <v>21310.438000000002</v>
      </c>
      <c r="K69" s="263">
        <f t="shared" si="3"/>
        <v>21310.438000000002</v>
      </c>
      <c r="L69" s="1"/>
    </row>
    <row r="70" spans="1:12" s="44" customFormat="1" ht="17.399999999999999" hidden="1" customHeight="1">
      <c r="A70" s="279"/>
      <c r="B70" s="103" t="s">
        <v>67</v>
      </c>
      <c r="C70" s="38" t="s">
        <v>17</v>
      </c>
      <c r="D70" s="70" t="s">
        <v>19</v>
      </c>
      <c r="E70" s="102">
        <v>0.3</v>
      </c>
      <c r="F70" s="37">
        <f>F66*E70</f>
        <v>51.186</v>
      </c>
      <c r="G70" s="32"/>
      <c r="H70" s="244"/>
      <c r="I70" s="33">
        <v>70.739999999999995</v>
      </c>
      <c r="J70" s="73">
        <f>F70*I70</f>
        <v>3620.8976399999997</v>
      </c>
      <c r="K70" s="263">
        <f t="shared" si="3"/>
        <v>3620.8976399999997</v>
      </c>
      <c r="L70" s="1"/>
    </row>
    <row r="71" spans="1:12" s="44" customFormat="1" ht="15" hidden="1" customHeight="1">
      <c r="A71" s="279"/>
      <c r="B71" s="103" t="s">
        <v>68</v>
      </c>
      <c r="C71" s="38" t="s">
        <v>17</v>
      </c>
      <c r="D71" s="70" t="s">
        <v>41</v>
      </c>
      <c r="E71" s="102">
        <v>0.1</v>
      </c>
      <c r="F71" s="37">
        <f>F66*E71</f>
        <v>17.062000000000001</v>
      </c>
      <c r="G71" s="32"/>
      <c r="H71" s="244"/>
      <c r="I71" s="33">
        <v>19.170000000000002</v>
      </c>
      <c r="J71" s="73">
        <f>F71*I71</f>
        <v>327.07854000000003</v>
      </c>
      <c r="K71" s="263">
        <f t="shared" si="3"/>
        <v>327.07854000000003</v>
      </c>
      <c r="L71" s="1"/>
    </row>
    <row r="72" spans="1:12" s="45" customFormat="1" ht="15" hidden="1" customHeight="1">
      <c r="A72" s="277">
        <f>A66+1</f>
        <v>16</v>
      </c>
      <c r="B72" s="61" t="s">
        <v>69</v>
      </c>
      <c r="C72" s="38" t="s">
        <v>23</v>
      </c>
      <c r="D72" s="38" t="s">
        <v>30</v>
      </c>
      <c r="E72" s="109"/>
      <c r="F72" s="97">
        <f>F66</f>
        <v>170.62</v>
      </c>
      <c r="G72" s="32">
        <v>1000</v>
      </c>
      <c r="H72" s="235">
        <f>F72*G72</f>
        <v>170620</v>
      </c>
      <c r="I72" s="33"/>
      <c r="J72" s="66"/>
      <c r="K72" s="260">
        <f t="shared" si="3"/>
        <v>170620</v>
      </c>
      <c r="L72" s="1"/>
    </row>
    <row r="73" spans="1:12" s="45" customFormat="1" ht="15" hidden="1" customHeight="1">
      <c r="A73" s="279"/>
      <c r="B73" s="105" t="s">
        <v>70</v>
      </c>
      <c r="C73" s="38" t="s">
        <v>23</v>
      </c>
      <c r="D73" s="70" t="s">
        <v>41</v>
      </c>
      <c r="E73" s="109">
        <v>1.1000000000000001</v>
      </c>
      <c r="F73" s="37">
        <f>F72*E73</f>
        <v>187.68200000000002</v>
      </c>
      <c r="G73" s="32"/>
      <c r="H73" s="110"/>
      <c r="I73" s="33">
        <v>874.16317000000004</v>
      </c>
      <c r="J73" s="73">
        <f>F73*I73</f>
        <v>164064.69207194002</v>
      </c>
      <c r="K73" s="263">
        <f t="shared" si="3"/>
        <v>164064.69207194002</v>
      </c>
      <c r="L73" s="1"/>
    </row>
    <row r="74" spans="1:12" s="44" customFormat="1" ht="15" hidden="1" customHeight="1">
      <c r="A74" s="279"/>
      <c r="B74" s="105" t="s">
        <v>34</v>
      </c>
      <c r="C74" s="38" t="s">
        <v>23</v>
      </c>
      <c r="D74" s="70" t="s">
        <v>21</v>
      </c>
      <c r="E74" s="109">
        <v>0.15</v>
      </c>
      <c r="F74" s="37">
        <f>F72*E74</f>
        <v>25.593</v>
      </c>
      <c r="G74" s="32"/>
      <c r="H74" s="244"/>
      <c r="I74" s="33">
        <v>37.450000000000003</v>
      </c>
      <c r="J74" s="73">
        <f>F74*I74</f>
        <v>958.45785000000012</v>
      </c>
      <c r="K74" s="263">
        <f t="shared" si="3"/>
        <v>958.45785000000012</v>
      </c>
      <c r="L74" s="1"/>
    </row>
    <row r="75" spans="1:12" s="44" customFormat="1" ht="15" hidden="1" customHeight="1">
      <c r="A75" s="279"/>
      <c r="B75" s="105" t="s">
        <v>71</v>
      </c>
      <c r="C75" s="38" t="s">
        <v>23</v>
      </c>
      <c r="D75" s="70" t="s">
        <v>19</v>
      </c>
      <c r="E75" s="109">
        <v>7.6</v>
      </c>
      <c r="F75" s="37">
        <f>F72*E75</f>
        <v>1296.712</v>
      </c>
      <c r="G75" s="32"/>
      <c r="H75" s="244"/>
      <c r="I75" s="33">
        <v>7.6</v>
      </c>
      <c r="J75" s="73">
        <f>F75*I75</f>
        <v>9855.011199999999</v>
      </c>
      <c r="K75" s="263">
        <f t="shared" si="3"/>
        <v>9855.011199999999</v>
      </c>
      <c r="L75" s="1"/>
    </row>
    <row r="76" spans="1:12" s="45" customFormat="1" ht="15" hidden="1" customHeight="1">
      <c r="A76" s="279"/>
      <c r="B76" s="105" t="s">
        <v>72</v>
      </c>
      <c r="C76" s="38" t="s">
        <v>23</v>
      </c>
      <c r="D76" s="70" t="s">
        <v>56</v>
      </c>
      <c r="E76" s="109">
        <v>11</v>
      </c>
      <c r="F76" s="37">
        <f>F72*E76</f>
        <v>1876.8200000000002</v>
      </c>
      <c r="G76" s="32"/>
      <c r="H76" s="110"/>
      <c r="I76" s="33">
        <v>1.3007599999999999</v>
      </c>
      <c r="J76" s="73">
        <f>F76*I76</f>
        <v>2441.2923832000001</v>
      </c>
      <c r="K76" s="263">
        <f t="shared" si="3"/>
        <v>2441.2923832000001</v>
      </c>
      <c r="L76" s="1"/>
    </row>
    <row r="77" spans="1:12" s="44" customFormat="1" ht="15" hidden="1" customHeight="1">
      <c r="A77" s="279"/>
      <c r="B77" s="105" t="s">
        <v>73</v>
      </c>
      <c r="C77" s="38" t="s">
        <v>23</v>
      </c>
      <c r="D77" s="70" t="s">
        <v>19</v>
      </c>
      <c r="E77" s="109">
        <v>0.4</v>
      </c>
      <c r="F77" s="37">
        <f>F72*E77</f>
        <v>68.248000000000005</v>
      </c>
      <c r="G77" s="32"/>
      <c r="H77" s="244"/>
      <c r="I77" s="33">
        <v>123.5</v>
      </c>
      <c r="J77" s="73">
        <f>F77*I77</f>
        <v>8428.6280000000006</v>
      </c>
      <c r="K77" s="263">
        <f t="shared" si="3"/>
        <v>8428.6280000000006</v>
      </c>
      <c r="L77" s="1"/>
    </row>
    <row r="78" spans="1:12" s="45" customFormat="1" ht="15" hidden="1" customHeight="1">
      <c r="A78" s="279"/>
      <c r="B78" s="105"/>
      <c r="C78" s="75"/>
      <c r="D78" s="70"/>
      <c r="E78" s="109"/>
      <c r="F78" s="37"/>
      <c r="G78" s="32"/>
      <c r="H78" s="110"/>
      <c r="I78" s="33"/>
      <c r="J78" s="73"/>
      <c r="K78" s="263"/>
      <c r="L78" s="1"/>
    </row>
    <row r="79" spans="1:12" s="45" customFormat="1" ht="15" hidden="1" customHeight="1">
      <c r="A79" s="284"/>
      <c r="B79" s="111" t="s">
        <v>74</v>
      </c>
      <c r="C79" s="112"/>
      <c r="D79" s="113"/>
      <c r="E79" s="114"/>
      <c r="F79" s="113"/>
      <c r="G79" s="57"/>
      <c r="H79" s="113"/>
      <c r="I79" s="59"/>
      <c r="J79" s="115"/>
      <c r="K79" s="285"/>
      <c r="L79" s="1"/>
    </row>
    <row r="80" spans="1:12" s="45" customFormat="1" ht="15" hidden="1" customHeight="1">
      <c r="A80" s="277">
        <f>A72+1</f>
        <v>17</v>
      </c>
      <c r="B80" s="61" t="s">
        <v>52</v>
      </c>
      <c r="C80" s="38" t="s">
        <v>20</v>
      </c>
      <c r="D80" s="38" t="s">
        <v>30</v>
      </c>
      <c r="E80" s="102"/>
      <c r="F80" s="97">
        <f>161.76+164.62+56.06</f>
        <v>382.44</v>
      </c>
      <c r="G80" s="32">
        <v>250</v>
      </c>
      <c r="H80" s="235">
        <f>F80*G80</f>
        <v>95610</v>
      </c>
      <c r="I80" s="33"/>
      <c r="J80" s="66"/>
      <c r="K80" s="260">
        <f t="shared" ref="K80:K88" si="4">H80+J80</f>
        <v>95610</v>
      </c>
      <c r="L80" s="1"/>
    </row>
    <row r="81" spans="1:15" s="44" customFormat="1" ht="15" hidden="1" customHeight="1">
      <c r="A81" s="279"/>
      <c r="B81" s="74" t="s">
        <v>53</v>
      </c>
      <c r="C81" s="38" t="s">
        <v>20</v>
      </c>
      <c r="D81" s="70" t="s">
        <v>19</v>
      </c>
      <c r="E81" s="102">
        <v>1.8</v>
      </c>
      <c r="F81" s="101">
        <f>E81*F80</f>
        <v>688.39200000000005</v>
      </c>
      <c r="G81" s="32"/>
      <c r="H81" s="236"/>
      <c r="I81" s="33">
        <v>8.7200000000000006</v>
      </c>
      <c r="J81" s="73">
        <f>F81*I81</f>
        <v>6002.7782400000006</v>
      </c>
      <c r="K81" s="263">
        <f t="shared" si="4"/>
        <v>6002.7782400000006</v>
      </c>
      <c r="L81" s="1"/>
    </row>
    <row r="82" spans="1:15" s="44" customFormat="1" ht="15" hidden="1" customHeight="1">
      <c r="A82" s="279"/>
      <c r="B82" s="74" t="s">
        <v>54</v>
      </c>
      <c r="C82" s="38" t="s">
        <v>20</v>
      </c>
      <c r="D82" s="70" t="s">
        <v>19</v>
      </c>
      <c r="E82" s="102">
        <v>1.8</v>
      </c>
      <c r="F82" s="101">
        <f>E82*F80</f>
        <v>688.39200000000005</v>
      </c>
      <c r="G82" s="32"/>
      <c r="H82" s="236"/>
      <c r="I82" s="33">
        <v>18.690000000000001</v>
      </c>
      <c r="J82" s="73">
        <f>F82*I82</f>
        <v>12866.046480000003</v>
      </c>
      <c r="K82" s="263">
        <f t="shared" si="4"/>
        <v>12866.046480000003</v>
      </c>
      <c r="L82" s="1"/>
    </row>
    <row r="83" spans="1:15" s="44" customFormat="1" ht="15" hidden="1" customHeight="1">
      <c r="A83" s="279"/>
      <c r="B83" s="74" t="s">
        <v>34</v>
      </c>
      <c r="C83" s="38" t="s">
        <v>20</v>
      </c>
      <c r="D83" s="70" t="s">
        <v>21</v>
      </c>
      <c r="E83" s="102">
        <v>0.15</v>
      </c>
      <c r="F83" s="101">
        <f>E83*F80</f>
        <v>57.366</v>
      </c>
      <c r="G83" s="32"/>
      <c r="H83" s="236"/>
      <c r="I83" s="33">
        <v>37.450000000000003</v>
      </c>
      <c r="J83" s="73">
        <f>F83*I83</f>
        <v>2148.3567000000003</v>
      </c>
      <c r="K83" s="263">
        <f t="shared" si="4"/>
        <v>2148.3567000000003</v>
      </c>
      <c r="L83" s="1"/>
    </row>
    <row r="84" spans="1:15" s="44" customFormat="1" ht="15" hidden="1" customHeight="1">
      <c r="A84" s="279"/>
      <c r="B84" s="74" t="s">
        <v>55</v>
      </c>
      <c r="C84" s="38" t="s">
        <v>20</v>
      </c>
      <c r="D84" s="70" t="s">
        <v>56</v>
      </c>
      <c r="E84" s="102">
        <v>0.1</v>
      </c>
      <c r="F84" s="101">
        <f>E84*F80</f>
        <v>38.244</v>
      </c>
      <c r="G84" s="32"/>
      <c r="H84" s="236"/>
      <c r="I84" s="33">
        <v>19.260000000000002</v>
      </c>
      <c r="J84" s="73">
        <f>F84*I84</f>
        <v>736.57944000000009</v>
      </c>
      <c r="K84" s="263">
        <f t="shared" si="4"/>
        <v>736.57944000000009</v>
      </c>
      <c r="L84" s="1"/>
    </row>
    <row r="85" spans="1:15" s="44" customFormat="1" ht="15" hidden="1" customHeight="1">
      <c r="A85" s="279"/>
      <c r="B85" s="74" t="s">
        <v>57</v>
      </c>
      <c r="C85" s="38" t="s">
        <v>20</v>
      </c>
      <c r="D85" s="70" t="s">
        <v>58</v>
      </c>
      <c r="E85" s="102">
        <v>1.1000000000000001</v>
      </c>
      <c r="F85" s="101">
        <f>E85*F80</f>
        <v>420.68400000000003</v>
      </c>
      <c r="G85" s="32"/>
      <c r="H85" s="236"/>
      <c r="I85" s="33">
        <v>3.1240000000000001</v>
      </c>
      <c r="J85" s="73">
        <f>F85*I85</f>
        <v>1314.2168160000001</v>
      </c>
      <c r="K85" s="263">
        <f t="shared" si="4"/>
        <v>1314.2168160000001</v>
      </c>
      <c r="L85" s="1"/>
    </row>
    <row r="86" spans="1:15" s="45" customFormat="1" ht="15" hidden="1" customHeight="1">
      <c r="A86" s="279">
        <f>A80+1</f>
        <v>18</v>
      </c>
      <c r="B86" s="61" t="s">
        <v>59</v>
      </c>
      <c r="C86" s="38" t="s">
        <v>20</v>
      </c>
      <c r="D86" s="38" t="s">
        <v>30</v>
      </c>
      <c r="E86" s="102"/>
      <c r="F86" s="97">
        <f>F80</f>
        <v>382.44</v>
      </c>
      <c r="G86" s="32">
        <v>200</v>
      </c>
      <c r="H86" s="235">
        <f>F86*G86</f>
        <v>76488</v>
      </c>
      <c r="I86" s="33"/>
      <c r="J86" s="66"/>
      <c r="K86" s="260">
        <f t="shared" si="4"/>
        <v>76488</v>
      </c>
      <c r="L86" s="1"/>
    </row>
    <row r="87" spans="1:15" s="44" customFormat="1" ht="25.5" hidden="1" customHeight="1">
      <c r="A87" s="279"/>
      <c r="B87" s="103" t="s">
        <v>60</v>
      </c>
      <c r="C87" s="38" t="s">
        <v>20</v>
      </c>
      <c r="D87" s="70" t="s">
        <v>21</v>
      </c>
      <c r="E87" s="104">
        <v>0.35</v>
      </c>
      <c r="F87" s="101">
        <f>E87*F86</f>
        <v>133.85399999999998</v>
      </c>
      <c r="G87" s="32"/>
      <c r="H87" s="236"/>
      <c r="I87" s="33">
        <v>122.50221999999999</v>
      </c>
      <c r="J87" s="73">
        <f>F87*I87</f>
        <v>16397.412155879996</v>
      </c>
      <c r="K87" s="263">
        <f t="shared" si="4"/>
        <v>16397.412155879996</v>
      </c>
      <c r="L87" s="1"/>
    </row>
    <row r="88" spans="1:15" s="44" customFormat="1" ht="15" hidden="1" customHeight="1">
      <c r="A88" s="279"/>
      <c r="B88" s="105" t="s">
        <v>34</v>
      </c>
      <c r="C88" s="38" t="s">
        <v>20</v>
      </c>
      <c r="D88" s="70" t="s">
        <v>21</v>
      </c>
      <c r="E88" s="102">
        <v>0.15</v>
      </c>
      <c r="F88" s="101">
        <f>E88*F86</f>
        <v>57.366</v>
      </c>
      <c r="G88" s="32"/>
      <c r="H88" s="236"/>
      <c r="I88" s="33">
        <v>37.450000000000003</v>
      </c>
      <c r="J88" s="73">
        <f>F88*I88</f>
        <v>2148.3567000000003</v>
      </c>
      <c r="K88" s="263">
        <f t="shared" si="4"/>
        <v>2148.3567000000003</v>
      </c>
      <c r="L88" s="1"/>
    </row>
    <row r="89" spans="1:15" s="45" customFormat="1" ht="15" hidden="1" customHeight="1">
      <c r="A89" s="279"/>
      <c r="B89" s="70"/>
      <c r="C89" s="38"/>
      <c r="D89" s="70"/>
      <c r="E89" s="79"/>
      <c r="F89" s="37"/>
      <c r="G89" s="32"/>
      <c r="H89" s="116"/>
      <c r="I89" s="33"/>
      <c r="J89" s="73"/>
      <c r="K89" s="263"/>
      <c r="L89" s="1"/>
    </row>
    <row r="90" spans="1:15" s="45" customFormat="1" ht="15" hidden="1" customHeight="1">
      <c r="A90" s="284"/>
      <c r="B90" s="70"/>
      <c r="C90" s="38"/>
      <c r="D90" s="70"/>
      <c r="E90" s="79"/>
      <c r="F90" s="37"/>
      <c r="G90" s="32"/>
      <c r="H90" s="116"/>
      <c r="I90" s="33"/>
      <c r="J90" s="73"/>
      <c r="K90" s="263"/>
      <c r="L90" s="1"/>
    </row>
    <row r="91" spans="1:15" s="45" customFormat="1" ht="15" hidden="1" customHeight="1">
      <c r="A91" s="23"/>
      <c r="B91" s="24" t="s">
        <v>75</v>
      </c>
      <c r="C91" s="25"/>
      <c r="D91" s="26"/>
      <c r="E91" s="27"/>
      <c r="F91" s="28"/>
      <c r="G91" s="29"/>
      <c r="H91" s="29" t="str">
        <f>IF(ISBLANK(G91),"",G91*F91)</f>
        <v/>
      </c>
      <c r="I91" s="36"/>
      <c r="J91" s="30" t="str">
        <f>IF(ISBLANK(I91),"",I91*F91)</f>
        <v/>
      </c>
      <c r="K91" s="31"/>
      <c r="L91" s="1"/>
    </row>
    <row r="92" spans="1:15" s="45" customFormat="1" ht="25.5" hidden="1" customHeight="1">
      <c r="A92" s="282"/>
      <c r="B92" s="53" t="s">
        <v>76</v>
      </c>
      <c r="C92" s="265"/>
      <c r="D92" s="266"/>
      <c r="E92" s="267"/>
      <c r="F92" s="266"/>
      <c r="G92" s="57"/>
      <c r="H92" s="266"/>
      <c r="I92" s="59"/>
      <c r="J92" s="268"/>
      <c r="K92" s="269"/>
      <c r="L92" s="1"/>
    </row>
    <row r="93" spans="1:15" s="140" customFormat="1" ht="15" hidden="1" customHeight="1">
      <c r="A93" s="286">
        <f>A86+1</f>
        <v>19</v>
      </c>
      <c r="B93" s="61" t="s">
        <v>77</v>
      </c>
      <c r="C93" s="38" t="s">
        <v>23</v>
      </c>
      <c r="D93" s="38" t="s">
        <v>30</v>
      </c>
      <c r="E93" s="64"/>
      <c r="F93" s="97">
        <f>327.16</f>
        <v>327.16000000000003</v>
      </c>
      <c r="G93" s="32">
        <v>670</v>
      </c>
      <c r="H93" s="235">
        <f>F93*G93</f>
        <v>219197.2</v>
      </c>
      <c r="I93" s="33"/>
      <c r="J93" s="66"/>
      <c r="K93" s="260">
        <f t="shared" ref="K93:K107" si="5">H93+J93</f>
        <v>219197.2</v>
      </c>
      <c r="L93" s="141"/>
      <c r="M93" s="139"/>
      <c r="N93" s="139"/>
      <c r="O93" s="138"/>
    </row>
    <row r="94" spans="1:15" s="140" customFormat="1" ht="15" hidden="1" customHeight="1">
      <c r="A94" s="287"/>
      <c r="B94" s="105" t="s">
        <v>24</v>
      </c>
      <c r="C94" s="38" t="s">
        <v>23</v>
      </c>
      <c r="D94" s="70" t="s">
        <v>41</v>
      </c>
      <c r="E94" s="64">
        <v>1.1000000000000001</v>
      </c>
      <c r="F94" s="37">
        <v>315.63400000000007</v>
      </c>
      <c r="G94" s="32"/>
      <c r="H94" s="110"/>
      <c r="I94" s="33">
        <v>401.24249999999995</v>
      </c>
      <c r="J94" s="73">
        <f t="shared" ref="J94:J99" si="6">F94*I94</f>
        <v>126645.77524500001</v>
      </c>
      <c r="K94" s="263">
        <f t="shared" si="5"/>
        <v>126645.77524500001</v>
      </c>
      <c r="L94" s="141"/>
    </row>
    <row r="95" spans="1:15" s="140" customFormat="1" ht="15" hidden="1" customHeight="1">
      <c r="A95" s="287"/>
      <c r="B95" s="105" t="s">
        <v>78</v>
      </c>
      <c r="C95" s="38" t="s">
        <v>23</v>
      </c>
      <c r="D95" s="70" t="s">
        <v>41</v>
      </c>
      <c r="E95" s="64">
        <v>1.1000000000000001</v>
      </c>
      <c r="F95" s="37">
        <v>44.242000000000004</v>
      </c>
      <c r="G95" s="32"/>
      <c r="H95" s="110"/>
      <c r="I95" s="33">
        <v>874.16317000000004</v>
      </c>
      <c r="J95" s="73">
        <f t="shared" si="6"/>
        <v>38674.726967140006</v>
      </c>
      <c r="K95" s="263">
        <f t="shared" si="5"/>
        <v>38674.726967140006</v>
      </c>
      <c r="L95" s="138"/>
    </row>
    <row r="96" spans="1:15" s="44" customFormat="1" ht="15" hidden="1" customHeight="1">
      <c r="A96" s="287"/>
      <c r="B96" s="105" t="s">
        <v>34</v>
      </c>
      <c r="C96" s="38" t="s">
        <v>23</v>
      </c>
      <c r="D96" s="70" t="s">
        <v>21</v>
      </c>
      <c r="E96" s="64">
        <v>0.15</v>
      </c>
      <c r="F96" s="37">
        <v>49.074000000000005</v>
      </c>
      <c r="G96" s="32"/>
      <c r="H96" s="244"/>
      <c r="I96" s="33">
        <v>37.450000000000003</v>
      </c>
      <c r="J96" s="73">
        <f t="shared" si="6"/>
        <v>1837.8213000000003</v>
      </c>
      <c r="K96" s="263">
        <f t="shared" si="5"/>
        <v>1837.8213000000003</v>
      </c>
      <c r="L96" s="1"/>
    </row>
    <row r="97" spans="1:12" s="44" customFormat="1" ht="15" hidden="1" customHeight="1">
      <c r="A97" s="284"/>
      <c r="B97" s="105" t="s">
        <v>71</v>
      </c>
      <c r="C97" s="38" t="s">
        <v>23</v>
      </c>
      <c r="D97" s="70" t="s">
        <v>19</v>
      </c>
      <c r="E97" s="64">
        <v>7.6</v>
      </c>
      <c r="F97" s="37">
        <v>2486.4160000000002</v>
      </c>
      <c r="G97" s="32"/>
      <c r="H97" s="244"/>
      <c r="I97" s="33">
        <v>7.6</v>
      </c>
      <c r="J97" s="73">
        <f t="shared" si="6"/>
        <v>18896.761600000002</v>
      </c>
      <c r="K97" s="263">
        <f t="shared" si="5"/>
        <v>18896.761600000002</v>
      </c>
      <c r="L97" s="1"/>
    </row>
    <row r="98" spans="1:12" s="45" customFormat="1" ht="15" hidden="1" customHeight="1">
      <c r="A98" s="284"/>
      <c r="B98" s="105" t="s">
        <v>72</v>
      </c>
      <c r="C98" s="38" t="s">
        <v>23</v>
      </c>
      <c r="D98" s="70" t="s">
        <v>56</v>
      </c>
      <c r="E98" s="64">
        <v>11</v>
      </c>
      <c r="F98" s="37">
        <v>3598.76</v>
      </c>
      <c r="G98" s="32"/>
      <c r="H98" s="110"/>
      <c r="I98" s="33">
        <v>1.3007599999999999</v>
      </c>
      <c r="J98" s="73">
        <f t="shared" si="6"/>
        <v>4681.1230575999998</v>
      </c>
      <c r="K98" s="263">
        <f t="shared" si="5"/>
        <v>4681.1230575999998</v>
      </c>
      <c r="L98" s="1"/>
    </row>
    <row r="99" spans="1:12" s="44" customFormat="1" ht="15" hidden="1" customHeight="1">
      <c r="A99" s="284"/>
      <c r="B99" s="105" t="s">
        <v>73</v>
      </c>
      <c r="C99" s="38" t="s">
        <v>23</v>
      </c>
      <c r="D99" s="70" t="s">
        <v>19</v>
      </c>
      <c r="E99" s="64">
        <v>0.4</v>
      </c>
      <c r="F99" s="37">
        <v>130.864</v>
      </c>
      <c r="G99" s="32"/>
      <c r="H99" s="244"/>
      <c r="I99" s="33">
        <v>123.5</v>
      </c>
      <c r="J99" s="73">
        <f t="shared" si="6"/>
        <v>16161.704</v>
      </c>
      <c r="K99" s="263">
        <f t="shared" si="5"/>
        <v>16161.704</v>
      </c>
      <c r="L99" s="1"/>
    </row>
    <row r="100" spans="1:12" s="45" customFormat="1" ht="25.5" customHeight="1">
      <c r="A100" s="288">
        <f>A93+1</f>
        <v>20</v>
      </c>
      <c r="B100" s="61" t="s">
        <v>79</v>
      </c>
      <c r="C100" s="38" t="s">
        <v>29</v>
      </c>
      <c r="D100" s="38" t="s">
        <v>30</v>
      </c>
      <c r="E100" s="64"/>
      <c r="F100" s="97">
        <v>327.16000000000003</v>
      </c>
      <c r="G100" s="32">
        <v>250</v>
      </c>
      <c r="H100" s="235">
        <f>F100*G100</f>
        <v>81790</v>
      </c>
      <c r="I100" s="33"/>
      <c r="J100" s="66"/>
      <c r="K100" s="260">
        <f t="shared" si="5"/>
        <v>81790</v>
      </c>
      <c r="L100" s="1"/>
    </row>
    <row r="101" spans="1:12" s="44" customFormat="1" ht="15" customHeight="1">
      <c r="A101" s="284"/>
      <c r="B101" s="105" t="s">
        <v>80</v>
      </c>
      <c r="C101" s="38" t="s">
        <v>29</v>
      </c>
      <c r="D101" s="70" t="s">
        <v>81</v>
      </c>
      <c r="E101" s="64">
        <f>499*0.085*1.02/1000</f>
        <v>4.3263300000000011E-2</v>
      </c>
      <c r="F101" s="37">
        <f>F100*E101</f>
        <v>14.154021228000005</v>
      </c>
      <c r="G101" s="32"/>
      <c r="H101" s="244"/>
      <c r="I101" s="33"/>
      <c r="J101" s="73">
        <f t="shared" ref="J101:J107" si="7">F101*I101</f>
        <v>0</v>
      </c>
      <c r="K101" s="263">
        <f t="shared" si="5"/>
        <v>0</v>
      </c>
      <c r="L101" s="1"/>
    </row>
    <row r="102" spans="1:12" s="44" customFormat="1" ht="15" customHeight="1">
      <c r="A102" s="284"/>
      <c r="B102" s="105" t="s">
        <v>82</v>
      </c>
      <c r="C102" s="38" t="s">
        <v>29</v>
      </c>
      <c r="D102" s="70" t="s">
        <v>81</v>
      </c>
      <c r="E102" s="64">
        <f>1792*0.8*0.085*1.02/1000</f>
        <v>0.12429312000000003</v>
      </c>
      <c r="F102" s="37">
        <f>F100*E102</f>
        <v>40.663737139200016</v>
      </c>
      <c r="G102" s="32"/>
      <c r="H102" s="244"/>
      <c r="I102" s="33"/>
      <c r="J102" s="73">
        <f t="shared" si="7"/>
        <v>0</v>
      </c>
      <c r="K102" s="263">
        <f t="shared" si="5"/>
        <v>0</v>
      </c>
      <c r="L102" s="1"/>
    </row>
    <row r="103" spans="1:12" s="45" customFormat="1" ht="15" customHeight="1">
      <c r="A103" s="284"/>
      <c r="B103" s="105" t="s">
        <v>83</v>
      </c>
      <c r="C103" s="38" t="s">
        <v>29</v>
      </c>
      <c r="D103" s="70" t="s">
        <v>81</v>
      </c>
      <c r="E103" s="64">
        <f>1792*0.2*0.85*1.02/1000</f>
        <v>0.31073280000000003</v>
      </c>
      <c r="F103" s="37">
        <f>F100*E103</f>
        <v>101.65934284800002</v>
      </c>
      <c r="G103" s="32"/>
      <c r="H103" s="110"/>
      <c r="I103" s="33"/>
      <c r="J103" s="73">
        <f t="shared" si="7"/>
        <v>0</v>
      </c>
      <c r="K103" s="263">
        <f t="shared" si="5"/>
        <v>0</v>
      </c>
      <c r="L103" s="1"/>
    </row>
    <row r="104" spans="1:12" s="45" customFormat="1" ht="15" customHeight="1">
      <c r="A104" s="284"/>
      <c r="B104" s="105" t="s">
        <v>84</v>
      </c>
      <c r="C104" s="38" t="s">
        <v>29</v>
      </c>
      <c r="D104" s="70" t="s">
        <v>41</v>
      </c>
      <c r="E104" s="64">
        <v>1.1000000000000001</v>
      </c>
      <c r="F104" s="37">
        <f>F100*E104</f>
        <v>359.87600000000003</v>
      </c>
      <c r="G104" s="32"/>
      <c r="H104" s="110"/>
      <c r="I104" s="33"/>
      <c r="J104" s="73">
        <f t="shared" si="7"/>
        <v>0</v>
      </c>
      <c r="K104" s="263">
        <f t="shared" si="5"/>
        <v>0</v>
      </c>
      <c r="L104" s="1"/>
    </row>
    <row r="105" spans="1:12" s="44" customFormat="1" ht="15" customHeight="1">
      <c r="A105" s="284"/>
      <c r="B105" s="105" t="s">
        <v>85</v>
      </c>
      <c r="C105" s="38" t="s">
        <v>29</v>
      </c>
      <c r="D105" s="70" t="s">
        <v>81</v>
      </c>
      <c r="E105" s="64">
        <f>0.21/1000</f>
        <v>2.0999999999999998E-4</v>
      </c>
      <c r="F105" s="37">
        <f>F100*E105</f>
        <v>6.8703600000000004E-2</v>
      </c>
      <c r="G105" s="32"/>
      <c r="H105" s="244"/>
      <c r="I105" s="33"/>
      <c r="J105" s="73">
        <f t="shared" si="7"/>
        <v>0</v>
      </c>
      <c r="K105" s="263">
        <f t="shared" si="5"/>
        <v>0</v>
      </c>
      <c r="L105" s="1"/>
    </row>
    <row r="106" spans="1:12" s="45" customFormat="1" ht="15" customHeight="1">
      <c r="A106" s="284"/>
      <c r="B106" s="105" t="s">
        <v>86</v>
      </c>
      <c r="C106" s="38" t="s">
        <v>29</v>
      </c>
      <c r="D106" s="70" t="s">
        <v>56</v>
      </c>
      <c r="E106" s="64">
        <v>4</v>
      </c>
      <c r="F106" s="37">
        <f>F100*E106</f>
        <v>1308.6400000000001</v>
      </c>
      <c r="G106" s="32"/>
      <c r="H106" s="110"/>
      <c r="I106" s="33"/>
      <c r="J106" s="73">
        <f t="shared" si="7"/>
        <v>0</v>
      </c>
      <c r="K106" s="263">
        <f t="shared" si="5"/>
        <v>0</v>
      </c>
      <c r="L106" s="1"/>
    </row>
    <row r="107" spans="1:12" s="44" customFormat="1" ht="15" customHeight="1">
      <c r="A107" s="284"/>
      <c r="B107" s="105" t="s">
        <v>87</v>
      </c>
      <c r="C107" s="38" t="s">
        <v>29</v>
      </c>
      <c r="D107" s="70" t="s">
        <v>58</v>
      </c>
      <c r="E107" s="64"/>
      <c r="F107" s="37">
        <f>F100</f>
        <v>327.16000000000003</v>
      </c>
      <c r="G107" s="32"/>
      <c r="H107" s="244"/>
      <c r="I107" s="33"/>
      <c r="J107" s="73">
        <f t="shared" si="7"/>
        <v>0</v>
      </c>
      <c r="K107" s="263">
        <f t="shared" si="5"/>
        <v>0</v>
      </c>
      <c r="L107" s="1"/>
    </row>
    <row r="108" spans="1:12" s="45" customFormat="1" ht="15" hidden="1" customHeight="1">
      <c r="A108" s="284"/>
      <c r="B108" s="105"/>
      <c r="C108" s="75"/>
      <c r="D108" s="70"/>
      <c r="E108" s="64"/>
      <c r="F108" s="37"/>
      <c r="G108" s="32"/>
      <c r="H108" s="110"/>
      <c r="I108" s="33"/>
      <c r="J108" s="73"/>
      <c r="K108" s="263"/>
      <c r="L108" s="1"/>
    </row>
    <row r="109" spans="1:12" s="45" customFormat="1" ht="15" hidden="1" customHeight="1">
      <c r="A109" s="282"/>
      <c r="B109" s="117" t="s">
        <v>88</v>
      </c>
      <c r="C109" s="265"/>
      <c r="D109" s="266"/>
      <c r="E109" s="267"/>
      <c r="F109" s="266"/>
      <c r="G109" s="57"/>
      <c r="H109" s="266"/>
      <c r="I109" s="59"/>
      <c r="J109" s="268"/>
      <c r="K109" s="269"/>
      <c r="L109" s="1"/>
    </row>
    <row r="110" spans="1:12" s="45" customFormat="1" ht="15" hidden="1" customHeight="1">
      <c r="A110" s="288">
        <f>A100+1</f>
        <v>21</v>
      </c>
      <c r="B110" s="61" t="s">
        <v>77</v>
      </c>
      <c r="C110" s="38" t="s">
        <v>23</v>
      </c>
      <c r="D110" s="38" t="s">
        <v>30</v>
      </c>
      <c r="E110" s="102"/>
      <c r="F110" s="97">
        <v>52.89</v>
      </c>
      <c r="G110" s="32">
        <v>670</v>
      </c>
      <c r="H110" s="235">
        <f>F110*G110</f>
        <v>35436.300000000003</v>
      </c>
      <c r="I110" s="33"/>
      <c r="J110" s="66"/>
      <c r="K110" s="260">
        <f t="shared" ref="K110:K131" si="8">H110+J110</f>
        <v>35436.300000000003</v>
      </c>
      <c r="L110" s="1"/>
    </row>
    <row r="111" spans="1:12" s="45" customFormat="1" ht="15" hidden="1" customHeight="1">
      <c r="A111" s="284"/>
      <c r="B111" s="105" t="s">
        <v>24</v>
      </c>
      <c r="C111" s="38" t="s">
        <v>23</v>
      </c>
      <c r="D111" s="70" t="s">
        <v>41</v>
      </c>
      <c r="E111" s="102">
        <v>1.1000000000000001</v>
      </c>
      <c r="F111" s="37">
        <f>F110*E111</f>
        <v>58.179000000000002</v>
      </c>
      <c r="G111" s="32"/>
      <c r="H111" s="110"/>
      <c r="I111" s="33">
        <v>401.24249999999995</v>
      </c>
      <c r="J111" s="73">
        <f>F111*I111</f>
        <v>23343.887407499999</v>
      </c>
      <c r="K111" s="263">
        <f t="shared" si="8"/>
        <v>23343.887407499999</v>
      </c>
      <c r="L111" s="1"/>
    </row>
    <row r="112" spans="1:12" s="44" customFormat="1" ht="15" hidden="1" customHeight="1">
      <c r="A112" s="284"/>
      <c r="B112" s="105" t="s">
        <v>34</v>
      </c>
      <c r="C112" s="38" t="s">
        <v>23</v>
      </c>
      <c r="D112" s="70" t="s">
        <v>21</v>
      </c>
      <c r="E112" s="102">
        <v>0.2</v>
      </c>
      <c r="F112" s="37">
        <f>F110*E112</f>
        <v>10.578000000000001</v>
      </c>
      <c r="G112" s="32"/>
      <c r="H112" s="244"/>
      <c r="I112" s="33">
        <v>37.450000000000003</v>
      </c>
      <c r="J112" s="73">
        <f>F112*I112</f>
        <v>396.14610000000005</v>
      </c>
      <c r="K112" s="263">
        <f t="shared" si="8"/>
        <v>396.14610000000005</v>
      </c>
      <c r="L112" s="1"/>
    </row>
    <row r="113" spans="1:12" s="44" customFormat="1" ht="15" hidden="1" customHeight="1">
      <c r="A113" s="284"/>
      <c r="B113" s="105" t="s">
        <v>71</v>
      </c>
      <c r="C113" s="38" t="s">
        <v>23</v>
      </c>
      <c r="D113" s="70" t="s">
        <v>19</v>
      </c>
      <c r="E113" s="102">
        <v>7.6</v>
      </c>
      <c r="F113" s="37">
        <f>F110*E113</f>
        <v>401.964</v>
      </c>
      <c r="G113" s="32"/>
      <c r="H113" s="244"/>
      <c r="I113" s="33">
        <v>7.6</v>
      </c>
      <c r="J113" s="73">
        <f>F113*I113</f>
        <v>3054.9263999999998</v>
      </c>
      <c r="K113" s="263">
        <f t="shared" si="8"/>
        <v>3054.9263999999998</v>
      </c>
      <c r="L113" s="1"/>
    </row>
    <row r="114" spans="1:12" s="45" customFormat="1" ht="15" hidden="1" customHeight="1">
      <c r="A114" s="284"/>
      <c r="B114" s="105" t="s">
        <v>72</v>
      </c>
      <c r="C114" s="38" t="s">
        <v>23</v>
      </c>
      <c r="D114" s="70" t="s">
        <v>56</v>
      </c>
      <c r="E114" s="102">
        <v>11</v>
      </c>
      <c r="F114" s="37">
        <f>F110*E114</f>
        <v>581.79</v>
      </c>
      <c r="G114" s="32"/>
      <c r="H114" s="110"/>
      <c r="I114" s="33">
        <v>1.3007599999999999</v>
      </c>
      <c r="J114" s="73">
        <f>F114*I114</f>
        <v>756.76916039999992</v>
      </c>
      <c r="K114" s="263">
        <f t="shared" si="8"/>
        <v>756.76916039999992</v>
      </c>
      <c r="L114" s="1"/>
    </row>
    <row r="115" spans="1:12" s="44" customFormat="1" ht="15" hidden="1" customHeight="1">
      <c r="A115" s="284"/>
      <c r="B115" s="105" t="s">
        <v>73</v>
      </c>
      <c r="C115" s="38" t="s">
        <v>23</v>
      </c>
      <c r="D115" s="70" t="s">
        <v>19</v>
      </c>
      <c r="E115" s="102">
        <v>0.4</v>
      </c>
      <c r="F115" s="37">
        <f>F110*E115</f>
        <v>21.156000000000002</v>
      </c>
      <c r="G115" s="32"/>
      <c r="H115" s="244"/>
      <c r="I115" s="33">
        <v>123.5</v>
      </c>
      <c r="J115" s="73">
        <f>F115*I115</f>
        <v>2612.7660000000001</v>
      </c>
      <c r="K115" s="263">
        <f t="shared" si="8"/>
        <v>2612.7660000000001</v>
      </c>
      <c r="L115" s="1"/>
    </row>
    <row r="116" spans="1:12" s="45" customFormat="1" ht="15" customHeight="1">
      <c r="A116" s="288">
        <f>A110+1</f>
        <v>22</v>
      </c>
      <c r="B116" s="61" t="s">
        <v>89</v>
      </c>
      <c r="C116" s="38" t="s">
        <v>29</v>
      </c>
      <c r="D116" s="38" t="s">
        <v>30</v>
      </c>
      <c r="E116" s="102"/>
      <c r="F116" s="97">
        <f>F110</f>
        <v>52.89</v>
      </c>
      <c r="G116" s="32">
        <v>100</v>
      </c>
      <c r="H116" s="235">
        <f>F116*G116</f>
        <v>5289</v>
      </c>
      <c r="I116" s="33"/>
      <c r="J116" s="66"/>
      <c r="K116" s="260">
        <f t="shared" si="8"/>
        <v>5289</v>
      </c>
      <c r="L116" s="1"/>
    </row>
    <row r="117" spans="1:12" s="44" customFormat="1" ht="15" customHeight="1">
      <c r="A117" s="284"/>
      <c r="B117" s="105" t="s">
        <v>34</v>
      </c>
      <c r="C117" s="38" t="s">
        <v>29</v>
      </c>
      <c r="D117" s="70" t="s">
        <v>21</v>
      </c>
      <c r="E117" s="102">
        <v>0.2</v>
      </c>
      <c r="F117" s="37">
        <f>F116*E117</f>
        <v>10.578000000000001</v>
      </c>
      <c r="G117" s="32"/>
      <c r="H117" s="244"/>
      <c r="I117" s="33"/>
      <c r="J117" s="73">
        <f>F117*I117</f>
        <v>0</v>
      </c>
      <c r="K117" s="263">
        <f t="shared" si="8"/>
        <v>0</v>
      </c>
      <c r="L117" s="1"/>
    </row>
    <row r="118" spans="1:12" s="44" customFormat="1" ht="15" customHeight="1">
      <c r="A118" s="284"/>
      <c r="B118" s="105" t="s">
        <v>90</v>
      </c>
      <c r="C118" s="38" t="s">
        <v>29</v>
      </c>
      <c r="D118" s="70" t="s">
        <v>19</v>
      </c>
      <c r="E118" s="102">
        <v>4.8</v>
      </c>
      <c r="F118" s="37">
        <f>F116*E118</f>
        <v>253.87199999999999</v>
      </c>
      <c r="G118" s="32"/>
      <c r="H118" s="244"/>
      <c r="I118" s="33"/>
      <c r="J118" s="73">
        <f>F118*I118</f>
        <v>0</v>
      </c>
      <c r="K118" s="263">
        <f t="shared" si="8"/>
        <v>0</v>
      </c>
      <c r="L118" s="1"/>
    </row>
    <row r="119" spans="1:12" s="45" customFormat="1" ht="25.5" customHeight="1">
      <c r="A119" s="288">
        <f>A116+1</f>
        <v>23</v>
      </c>
      <c r="B119" s="61" t="s">
        <v>79</v>
      </c>
      <c r="C119" s="38" t="s">
        <v>29</v>
      </c>
      <c r="D119" s="38" t="s">
        <v>30</v>
      </c>
      <c r="E119" s="102"/>
      <c r="F119" s="97">
        <f>F110</f>
        <v>52.89</v>
      </c>
      <c r="G119" s="32">
        <v>250</v>
      </c>
      <c r="H119" s="235">
        <f>F119*G119</f>
        <v>13222.5</v>
      </c>
      <c r="I119" s="33"/>
      <c r="J119" s="66"/>
      <c r="K119" s="260">
        <f t="shared" si="8"/>
        <v>13222.5</v>
      </c>
      <c r="L119" s="1"/>
    </row>
    <row r="120" spans="1:12" s="44" customFormat="1" ht="15" customHeight="1">
      <c r="A120" s="284"/>
      <c r="B120" s="105" t="s">
        <v>80</v>
      </c>
      <c r="C120" s="38" t="s">
        <v>29</v>
      </c>
      <c r="D120" s="70" t="s">
        <v>81</v>
      </c>
      <c r="E120" s="102">
        <f>(499*0.085*1.02)/1000</f>
        <v>4.3263300000000011E-2</v>
      </c>
      <c r="F120" s="37">
        <f>F119*E120</f>
        <v>2.2881959370000007</v>
      </c>
      <c r="G120" s="32"/>
      <c r="H120" s="244"/>
      <c r="I120" s="33"/>
      <c r="J120" s="73">
        <f t="shared" ref="J120:J126" si="9">F120*I120</f>
        <v>0</v>
      </c>
      <c r="K120" s="263">
        <f t="shared" si="8"/>
        <v>0</v>
      </c>
      <c r="L120" s="1"/>
    </row>
    <row r="121" spans="1:12" s="44" customFormat="1" ht="15" customHeight="1">
      <c r="A121" s="284"/>
      <c r="B121" s="105" t="s">
        <v>82</v>
      </c>
      <c r="C121" s="38" t="s">
        <v>29</v>
      </c>
      <c r="D121" s="70" t="s">
        <v>81</v>
      </c>
      <c r="E121" s="102">
        <f>(1792*0.8*0.085*1.02)/1000</f>
        <v>0.12429312000000003</v>
      </c>
      <c r="F121" s="37">
        <f>F119*E121</f>
        <v>6.5738631168000019</v>
      </c>
      <c r="G121" s="32"/>
      <c r="H121" s="244"/>
      <c r="I121" s="33"/>
      <c r="J121" s="73">
        <f t="shared" si="9"/>
        <v>0</v>
      </c>
      <c r="K121" s="263">
        <f t="shared" si="8"/>
        <v>0</v>
      </c>
      <c r="L121" s="1"/>
    </row>
    <row r="122" spans="1:12" s="45" customFormat="1" ht="15" customHeight="1">
      <c r="A122" s="284"/>
      <c r="B122" s="105" t="s">
        <v>83</v>
      </c>
      <c r="C122" s="38" t="s">
        <v>29</v>
      </c>
      <c r="D122" s="70" t="s">
        <v>81</v>
      </c>
      <c r="E122" s="102">
        <f>(1792*0.2*0.085*1.02)/1000</f>
        <v>3.1073280000000009E-2</v>
      </c>
      <c r="F122" s="37">
        <f>F119*E122</f>
        <v>1.6434657792000005</v>
      </c>
      <c r="G122" s="32"/>
      <c r="H122" s="110"/>
      <c r="I122" s="33"/>
      <c r="J122" s="73">
        <f t="shared" si="9"/>
        <v>0</v>
      </c>
      <c r="K122" s="263">
        <f t="shared" si="8"/>
        <v>0</v>
      </c>
      <c r="L122" s="1"/>
    </row>
    <row r="123" spans="1:12" s="45" customFormat="1" ht="15" customHeight="1">
      <c r="A123" s="284"/>
      <c r="B123" s="105" t="s">
        <v>84</v>
      </c>
      <c r="C123" s="38" t="s">
        <v>29</v>
      </c>
      <c r="D123" s="70" t="s">
        <v>41</v>
      </c>
      <c r="E123" s="102">
        <v>1.1000000000000001</v>
      </c>
      <c r="F123" s="37">
        <f>F119*E123</f>
        <v>58.179000000000002</v>
      </c>
      <c r="G123" s="32"/>
      <c r="H123" s="110"/>
      <c r="I123" s="33"/>
      <c r="J123" s="73">
        <f t="shared" si="9"/>
        <v>0</v>
      </c>
      <c r="K123" s="263">
        <f t="shared" si="8"/>
        <v>0</v>
      </c>
      <c r="L123" s="1"/>
    </row>
    <row r="124" spans="1:12" s="44" customFormat="1" ht="15" customHeight="1">
      <c r="A124" s="284"/>
      <c r="B124" s="105" t="s">
        <v>85</v>
      </c>
      <c r="C124" s="38" t="s">
        <v>29</v>
      </c>
      <c r="D124" s="70" t="s">
        <v>81</v>
      </c>
      <c r="E124" s="102">
        <f>0.21/1000</f>
        <v>2.0999999999999998E-4</v>
      </c>
      <c r="F124" s="37">
        <f>F119*E124</f>
        <v>1.1106899999999999E-2</v>
      </c>
      <c r="G124" s="32"/>
      <c r="H124" s="244"/>
      <c r="I124" s="33"/>
      <c r="J124" s="73">
        <f t="shared" si="9"/>
        <v>0</v>
      </c>
      <c r="K124" s="263">
        <f t="shared" si="8"/>
        <v>0</v>
      </c>
      <c r="L124" s="1"/>
    </row>
    <row r="125" spans="1:12" s="45" customFormat="1" ht="15" customHeight="1">
      <c r="A125" s="284"/>
      <c r="B125" s="105" t="s">
        <v>86</v>
      </c>
      <c r="C125" s="38" t="s">
        <v>29</v>
      </c>
      <c r="D125" s="70" t="s">
        <v>56</v>
      </c>
      <c r="E125" s="102">
        <v>4</v>
      </c>
      <c r="F125" s="37">
        <f>F119*E125</f>
        <v>211.56</v>
      </c>
      <c r="G125" s="32"/>
      <c r="H125" s="110"/>
      <c r="I125" s="33"/>
      <c r="J125" s="73">
        <f t="shared" si="9"/>
        <v>0</v>
      </c>
      <c r="K125" s="263">
        <f t="shared" si="8"/>
        <v>0</v>
      </c>
      <c r="L125" s="1"/>
    </row>
    <row r="126" spans="1:12" s="44" customFormat="1" ht="15" customHeight="1">
      <c r="A126" s="284"/>
      <c r="B126" s="105" t="s">
        <v>87</v>
      </c>
      <c r="C126" s="38" t="s">
        <v>29</v>
      </c>
      <c r="D126" s="70" t="s">
        <v>58</v>
      </c>
      <c r="E126" s="102"/>
      <c r="F126" s="37">
        <f>F119</f>
        <v>52.89</v>
      </c>
      <c r="G126" s="32"/>
      <c r="H126" s="244"/>
      <c r="I126" s="33"/>
      <c r="J126" s="73">
        <f t="shared" si="9"/>
        <v>0</v>
      </c>
      <c r="K126" s="263">
        <f t="shared" si="8"/>
        <v>0</v>
      </c>
      <c r="L126" s="1"/>
    </row>
    <row r="127" spans="1:12" s="45" customFormat="1" ht="15" customHeight="1">
      <c r="A127" s="288">
        <f>A119+1</f>
        <v>24</v>
      </c>
      <c r="B127" s="61" t="s">
        <v>91</v>
      </c>
      <c r="C127" s="38" t="s">
        <v>29</v>
      </c>
      <c r="D127" s="38" t="s">
        <v>30</v>
      </c>
      <c r="E127" s="102"/>
      <c r="F127" s="97">
        <f>F110</f>
        <v>52.89</v>
      </c>
      <c r="G127" s="32">
        <v>50</v>
      </c>
      <c r="H127" s="235">
        <f>F127*G127</f>
        <v>2644.5</v>
      </c>
      <c r="I127" s="33"/>
      <c r="J127" s="66"/>
      <c r="K127" s="260">
        <f t="shared" si="8"/>
        <v>2644.5</v>
      </c>
      <c r="L127" s="1"/>
    </row>
    <row r="128" spans="1:12" s="45" customFormat="1" ht="15" customHeight="1">
      <c r="A128" s="284"/>
      <c r="B128" s="105" t="s">
        <v>92</v>
      </c>
      <c r="C128" s="38" t="s">
        <v>29</v>
      </c>
      <c r="D128" s="70" t="s">
        <v>41</v>
      </c>
      <c r="E128" s="102">
        <v>1.1000000000000001</v>
      </c>
      <c r="F128" s="37">
        <f>F127*E128</f>
        <v>58.179000000000002</v>
      </c>
      <c r="G128" s="32"/>
      <c r="H128" s="110"/>
      <c r="I128" s="33"/>
      <c r="J128" s="73">
        <f>F128*I128</f>
        <v>0</v>
      </c>
      <c r="K128" s="263">
        <f t="shared" si="8"/>
        <v>0</v>
      </c>
      <c r="L128" s="1"/>
    </row>
    <row r="129" spans="1:12" s="44" customFormat="1" ht="15" customHeight="1">
      <c r="A129" s="284"/>
      <c r="B129" s="105" t="s">
        <v>93</v>
      </c>
      <c r="C129" s="38" t="s">
        <v>29</v>
      </c>
      <c r="D129" s="70" t="s">
        <v>58</v>
      </c>
      <c r="E129" s="102"/>
      <c r="F129" s="37">
        <f>F127*E129</f>
        <v>0</v>
      </c>
      <c r="G129" s="32"/>
      <c r="H129" s="244"/>
      <c r="I129" s="33"/>
      <c r="J129" s="73">
        <f>F129*I129</f>
        <v>0</v>
      </c>
      <c r="K129" s="263">
        <f t="shared" si="8"/>
        <v>0</v>
      </c>
      <c r="L129" s="1"/>
    </row>
    <row r="130" spans="1:12" s="45" customFormat="1" ht="15" customHeight="1">
      <c r="A130" s="288">
        <f>A127+1</f>
        <v>25</v>
      </c>
      <c r="B130" s="61" t="s">
        <v>94</v>
      </c>
      <c r="C130" s="38" t="s">
        <v>29</v>
      </c>
      <c r="D130" s="38" t="s">
        <v>30</v>
      </c>
      <c r="E130" s="102"/>
      <c r="F130" s="97">
        <f>F110</f>
        <v>52.89</v>
      </c>
      <c r="G130" s="32">
        <v>350</v>
      </c>
      <c r="H130" s="235">
        <f>F130*G130</f>
        <v>18511.5</v>
      </c>
      <c r="I130" s="33"/>
      <c r="J130" s="66"/>
      <c r="K130" s="260">
        <f t="shared" si="8"/>
        <v>18511.5</v>
      </c>
      <c r="L130" s="1"/>
    </row>
    <row r="131" spans="1:12" s="45" customFormat="1" ht="15" customHeight="1">
      <c r="A131" s="284"/>
      <c r="B131" s="105" t="s">
        <v>95</v>
      </c>
      <c r="C131" s="38" t="s">
        <v>29</v>
      </c>
      <c r="D131" s="70" t="s">
        <v>96</v>
      </c>
      <c r="E131" s="102">
        <f>0.3*1.02</f>
        <v>0.30599999999999999</v>
      </c>
      <c r="F131" s="37">
        <f>F130*E131</f>
        <v>16.184339999999999</v>
      </c>
      <c r="G131" s="32"/>
      <c r="H131" s="110"/>
      <c r="I131" s="33"/>
      <c r="J131" s="73">
        <f>F131*I131</f>
        <v>0</v>
      </c>
      <c r="K131" s="263">
        <f t="shared" si="8"/>
        <v>0</v>
      </c>
      <c r="L131" s="1"/>
    </row>
    <row r="132" spans="1:12" s="45" customFormat="1" ht="15" hidden="1" customHeight="1">
      <c r="A132" s="284"/>
      <c r="B132" s="105"/>
      <c r="C132" s="75"/>
      <c r="D132" s="70"/>
      <c r="E132" s="64"/>
      <c r="F132" s="37"/>
      <c r="G132" s="32"/>
      <c r="H132" s="110"/>
      <c r="I132" s="33"/>
      <c r="J132" s="73"/>
      <c r="K132" s="263"/>
      <c r="L132" s="1"/>
    </row>
    <row r="133" spans="1:12" s="45" customFormat="1" ht="15" hidden="1" customHeight="1">
      <c r="A133" s="282"/>
      <c r="B133" s="117" t="s">
        <v>97</v>
      </c>
      <c r="C133" s="265"/>
      <c r="D133" s="266"/>
      <c r="E133" s="267"/>
      <c r="F133" s="266"/>
      <c r="G133" s="57"/>
      <c r="H133" s="266"/>
      <c r="I133" s="59"/>
      <c r="J133" s="268"/>
      <c r="K133" s="269"/>
      <c r="L133" s="1"/>
    </row>
    <row r="134" spans="1:12" s="45" customFormat="1" ht="15" hidden="1" customHeight="1">
      <c r="A134" s="288">
        <f>A130+1</f>
        <v>26</v>
      </c>
      <c r="B134" s="61" t="s">
        <v>77</v>
      </c>
      <c r="C134" s="38" t="s">
        <v>23</v>
      </c>
      <c r="D134" s="38" t="s">
        <v>30</v>
      </c>
      <c r="E134" s="102"/>
      <c r="F134" s="97">
        <v>208.22</v>
      </c>
      <c r="G134" s="32">
        <v>670</v>
      </c>
      <c r="H134" s="235">
        <f>F134*G134</f>
        <v>139507.4</v>
      </c>
      <c r="I134" s="33"/>
      <c r="J134" s="66"/>
      <c r="K134" s="260">
        <f t="shared" ref="K134:K154" si="10">H134+J134</f>
        <v>139507.4</v>
      </c>
      <c r="L134" s="1"/>
    </row>
    <row r="135" spans="1:12" s="45" customFormat="1" ht="15" hidden="1" customHeight="1">
      <c r="A135" s="284"/>
      <c r="B135" s="105" t="s">
        <v>24</v>
      </c>
      <c r="C135" s="38" t="s">
        <v>23</v>
      </c>
      <c r="D135" s="70" t="s">
        <v>41</v>
      </c>
      <c r="E135" s="102">
        <v>1.1000000000000001</v>
      </c>
      <c r="F135" s="37">
        <f>F134*E135</f>
        <v>229.04200000000003</v>
      </c>
      <c r="G135" s="32"/>
      <c r="H135" s="110"/>
      <c r="I135" s="33">
        <v>401.24249999999995</v>
      </c>
      <c r="J135" s="73">
        <f>F135*I135</f>
        <v>91901.384684999997</v>
      </c>
      <c r="K135" s="263">
        <f t="shared" si="10"/>
        <v>91901.384684999997</v>
      </c>
      <c r="L135" s="1"/>
    </row>
    <row r="136" spans="1:12" s="44" customFormat="1" ht="15" hidden="1" customHeight="1">
      <c r="A136" s="284"/>
      <c r="B136" s="105" t="s">
        <v>34</v>
      </c>
      <c r="C136" s="38" t="s">
        <v>23</v>
      </c>
      <c r="D136" s="70" t="s">
        <v>21</v>
      </c>
      <c r="E136" s="102">
        <v>0.2</v>
      </c>
      <c r="F136" s="37">
        <f>F134*E136</f>
        <v>41.644000000000005</v>
      </c>
      <c r="G136" s="32"/>
      <c r="H136" s="244"/>
      <c r="I136" s="33">
        <v>37.450000000000003</v>
      </c>
      <c r="J136" s="73">
        <f>F136*I136</f>
        <v>1559.5678000000003</v>
      </c>
      <c r="K136" s="263">
        <f t="shared" si="10"/>
        <v>1559.5678000000003</v>
      </c>
      <c r="L136" s="1"/>
    </row>
    <row r="137" spans="1:12" s="44" customFormat="1" ht="15" hidden="1" customHeight="1">
      <c r="A137" s="284"/>
      <c r="B137" s="105" t="s">
        <v>71</v>
      </c>
      <c r="C137" s="38" t="s">
        <v>23</v>
      </c>
      <c r="D137" s="70" t="s">
        <v>19</v>
      </c>
      <c r="E137" s="102">
        <v>7.6</v>
      </c>
      <c r="F137" s="37">
        <f>F134*E137</f>
        <v>1582.472</v>
      </c>
      <c r="G137" s="32"/>
      <c r="H137" s="244"/>
      <c r="I137" s="33">
        <v>7.6</v>
      </c>
      <c r="J137" s="73">
        <f>F137*I137</f>
        <v>12026.787199999999</v>
      </c>
      <c r="K137" s="263">
        <f t="shared" si="10"/>
        <v>12026.787199999999</v>
      </c>
      <c r="L137" s="1"/>
    </row>
    <row r="138" spans="1:12" s="45" customFormat="1" ht="15" hidden="1" customHeight="1">
      <c r="A138" s="284"/>
      <c r="B138" s="105" t="s">
        <v>72</v>
      </c>
      <c r="C138" s="38" t="s">
        <v>23</v>
      </c>
      <c r="D138" s="70" t="s">
        <v>56</v>
      </c>
      <c r="E138" s="102">
        <v>11</v>
      </c>
      <c r="F138" s="37">
        <f>F134*E138</f>
        <v>2290.42</v>
      </c>
      <c r="G138" s="32"/>
      <c r="H138" s="110"/>
      <c r="I138" s="33">
        <v>1.3007599999999999</v>
      </c>
      <c r="J138" s="73">
        <f>F138*I138</f>
        <v>2979.2867191999999</v>
      </c>
      <c r="K138" s="263">
        <f t="shared" si="10"/>
        <v>2979.2867191999999</v>
      </c>
      <c r="L138" s="1"/>
    </row>
    <row r="139" spans="1:12" s="44" customFormat="1" ht="15" hidden="1" customHeight="1">
      <c r="A139" s="284"/>
      <c r="B139" s="105" t="s">
        <v>73</v>
      </c>
      <c r="C139" s="38" t="s">
        <v>23</v>
      </c>
      <c r="D139" s="70" t="s">
        <v>19</v>
      </c>
      <c r="E139" s="102">
        <v>0.4</v>
      </c>
      <c r="F139" s="37">
        <f>F134*E139</f>
        <v>83.288000000000011</v>
      </c>
      <c r="G139" s="32"/>
      <c r="H139" s="244"/>
      <c r="I139" s="33">
        <v>123.5</v>
      </c>
      <c r="J139" s="73">
        <f>F139*I139</f>
        <v>10286.068000000001</v>
      </c>
      <c r="K139" s="263">
        <f t="shared" si="10"/>
        <v>10286.068000000001</v>
      </c>
      <c r="L139" s="1"/>
    </row>
    <row r="140" spans="1:12" s="45" customFormat="1" ht="25.5" customHeight="1">
      <c r="A140" s="288">
        <f>A134+1</f>
        <v>27</v>
      </c>
      <c r="B140" s="61" t="s">
        <v>183</v>
      </c>
      <c r="C140" s="38" t="s">
        <v>29</v>
      </c>
      <c r="D140" s="38" t="s">
        <v>30</v>
      </c>
      <c r="E140" s="102"/>
      <c r="F140" s="97">
        <f>F134</f>
        <v>208.22</v>
      </c>
      <c r="G140" s="32">
        <v>250</v>
      </c>
      <c r="H140" s="235">
        <f>F140*G140</f>
        <v>52055</v>
      </c>
      <c r="I140" s="33"/>
      <c r="J140" s="66"/>
      <c r="K140" s="260">
        <f t="shared" si="10"/>
        <v>52055</v>
      </c>
      <c r="L140" s="1"/>
    </row>
    <row r="141" spans="1:12" s="44" customFormat="1" ht="15" customHeight="1">
      <c r="A141" s="284"/>
      <c r="B141" s="105" t="s">
        <v>80</v>
      </c>
      <c r="C141" s="38" t="s">
        <v>29</v>
      </c>
      <c r="D141" s="70" t="s">
        <v>81</v>
      </c>
      <c r="E141" s="102">
        <f>(499*0.08*1.02)/1000</f>
        <v>4.0718400000000002E-2</v>
      </c>
      <c r="F141" s="37">
        <f>F140*E141</f>
        <v>8.4783852480000004</v>
      </c>
      <c r="G141" s="32"/>
      <c r="H141" s="244"/>
      <c r="I141" s="33"/>
      <c r="J141" s="73">
        <f t="shared" ref="J141:J147" si="11">F141*I141</f>
        <v>0</v>
      </c>
      <c r="K141" s="263">
        <f t="shared" si="10"/>
        <v>0</v>
      </c>
      <c r="L141" s="1"/>
    </row>
    <row r="142" spans="1:12" s="44" customFormat="1" ht="15" customHeight="1">
      <c r="A142" s="284"/>
      <c r="B142" s="105" t="s">
        <v>82</v>
      </c>
      <c r="C142" s="38" t="s">
        <v>29</v>
      </c>
      <c r="D142" s="70" t="s">
        <v>81</v>
      </c>
      <c r="E142" s="102">
        <f>(1792*0.8*0.08*1.02)/1000</f>
        <v>0.11698176000000002</v>
      </c>
      <c r="F142" s="37">
        <f>F140*E142</f>
        <v>24.357942067200003</v>
      </c>
      <c r="G142" s="32"/>
      <c r="H142" s="244"/>
      <c r="I142" s="33"/>
      <c r="J142" s="73">
        <f t="shared" si="11"/>
        <v>0</v>
      </c>
      <c r="K142" s="263">
        <f t="shared" si="10"/>
        <v>0</v>
      </c>
      <c r="L142" s="1"/>
    </row>
    <row r="143" spans="1:12" s="45" customFormat="1" ht="15" customHeight="1">
      <c r="A143" s="283"/>
      <c r="B143" s="105" t="s">
        <v>83</v>
      </c>
      <c r="C143" s="38" t="s">
        <v>29</v>
      </c>
      <c r="D143" s="70" t="s">
        <v>81</v>
      </c>
      <c r="E143" s="102">
        <f>(1792*0.2*0.08*1.02)/1000</f>
        <v>2.9245440000000004E-2</v>
      </c>
      <c r="F143" s="37">
        <f>F140*E143</f>
        <v>6.0894855168000008</v>
      </c>
      <c r="G143" s="32"/>
      <c r="H143" s="110"/>
      <c r="I143" s="33"/>
      <c r="J143" s="73">
        <f t="shared" si="11"/>
        <v>0</v>
      </c>
      <c r="K143" s="263">
        <f t="shared" si="10"/>
        <v>0</v>
      </c>
      <c r="L143" s="1"/>
    </row>
    <row r="144" spans="1:12" s="45" customFormat="1" ht="15" customHeight="1">
      <c r="A144" s="284"/>
      <c r="B144" s="105" t="s">
        <v>84</v>
      </c>
      <c r="C144" s="38" t="s">
        <v>29</v>
      </c>
      <c r="D144" s="70" t="s">
        <v>41</v>
      </c>
      <c r="E144" s="102">
        <v>1.1000000000000001</v>
      </c>
      <c r="F144" s="37">
        <f>F140*E144</f>
        <v>229.04200000000003</v>
      </c>
      <c r="G144" s="32"/>
      <c r="H144" s="110"/>
      <c r="I144" s="33"/>
      <c r="J144" s="73">
        <f t="shared" si="11"/>
        <v>0</v>
      </c>
      <c r="K144" s="263">
        <f t="shared" si="10"/>
        <v>0</v>
      </c>
      <c r="L144" s="1"/>
    </row>
    <row r="145" spans="1:12" s="44" customFormat="1" ht="15" customHeight="1">
      <c r="A145" s="284"/>
      <c r="B145" s="105" t="s">
        <v>85</v>
      </c>
      <c r="C145" s="38" t="s">
        <v>29</v>
      </c>
      <c r="D145" s="70" t="s">
        <v>81</v>
      </c>
      <c r="E145" s="102">
        <f>0.21/1000</f>
        <v>2.0999999999999998E-4</v>
      </c>
      <c r="F145" s="37">
        <f>F140*E145</f>
        <v>4.3726199999999993E-2</v>
      </c>
      <c r="G145" s="32"/>
      <c r="H145" s="244"/>
      <c r="I145" s="33"/>
      <c r="J145" s="73">
        <f t="shared" si="11"/>
        <v>0</v>
      </c>
      <c r="K145" s="263">
        <f t="shared" si="10"/>
        <v>0</v>
      </c>
      <c r="L145" s="1"/>
    </row>
    <row r="146" spans="1:12" s="45" customFormat="1" ht="15" customHeight="1">
      <c r="A146" s="284"/>
      <c r="B146" s="105" t="s">
        <v>86</v>
      </c>
      <c r="C146" s="38" t="s">
        <v>29</v>
      </c>
      <c r="D146" s="70" t="s">
        <v>56</v>
      </c>
      <c r="E146" s="102">
        <v>4</v>
      </c>
      <c r="F146" s="37">
        <f>F140*E146</f>
        <v>832.88</v>
      </c>
      <c r="G146" s="32"/>
      <c r="H146" s="110"/>
      <c r="I146" s="33"/>
      <c r="J146" s="73">
        <f t="shared" si="11"/>
        <v>0</v>
      </c>
      <c r="K146" s="263">
        <f t="shared" si="10"/>
        <v>0</v>
      </c>
      <c r="L146" s="1"/>
    </row>
    <row r="147" spans="1:12" s="44" customFormat="1" ht="15" customHeight="1">
      <c r="A147" s="284"/>
      <c r="B147" s="105" t="s">
        <v>87</v>
      </c>
      <c r="C147" s="38" t="s">
        <v>29</v>
      </c>
      <c r="D147" s="70" t="s">
        <v>58</v>
      </c>
      <c r="E147" s="102"/>
      <c r="F147" s="37">
        <f>F140</f>
        <v>208.22</v>
      </c>
      <c r="G147" s="32"/>
      <c r="H147" s="244"/>
      <c r="I147" s="33"/>
      <c r="J147" s="73">
        <f t="shared" si="11"/>
        <v>0</v>
      </c>
      <c r="K147" s="263">
        <f t="shared" si="10"/>
        <v>0</v>
      </c>
      <c r="L147" s="1"/>
    </row>
    <row r="148" spans="1:12" s="45" customFormat="1" ht="25.5" customHeight="1">
      <c r="A148" s="288">
        <f>A140+1</f>
        <v>28</v>
      </c>
      <c r="B148" s="61" t="s">
        <v>98</v>
      </c>
      <c r="C148" s="38" t="s">
        <v>29</v>
      </c>
      <c r="D148" s="38" t="s">
        <v>30</v>
      </c>
      <c r="E148" s="102"/>
      <c r="F148" s="97">
        <f>F134</f>
        <v>208.22</v>
      </c>
      <c r="G148" s="32">
        <v>120</v>
      </c>
      <c r="H148" s="235">
        <f>F148*G148</f>
        <v>24986.400000000001</v>
      </c>
      <c r="I148" s="33"/>
      <c r="J148" s="66"/>
      <c r="K148" s="260">
        <f t="shared" si="10"/>
        <v>24986.400000000001</v>
      </c>
      <c r="L148" s="1"/>
    </row>
    <row r="149" spans="1:12" s="44" customFormat="1" ht="15" customHeight="1">
      <c r="A149" s="284"/>
      <c r="B149" s="105" t="s">
        <v>99</v>
      </c>
      <c r="C149" s="38" t="s">
        <v>29</v>
      </c>
      <c r="D149" s="70" t="s">
        <v>41</v>
      </c>
      <c r="E149" s="102">
        <v>1.1499999999999999</v>
      </c>
      <c r="F149" s="37">
        <f>F148*E149</f>
        <v>239.45299999999997</v>
      </c>
      <c r="G149" s="32"/>
      <c r="H149" s="244"/>
      <c r="I149" s="33"/>
      <c r="J149" s="73">
        <f>F149*I149</f>
        <v>0</v>
      </c>
      <c r="K149" s="263">
        <f t="shared" si="10"/>
        <v>0</v>
      </c>
      <c r="L149" s="1"/>
    </row>
    <row r="150" spans="1:12" s="45" customFormat="1" ht="15" customHeight="1">
      <c r="A150" s="284"/>
      <c r="B150" s="105" t="s">
        <v>100</v>
      </c>
      <c r="C150" s="38" t="s">
        <v>29</v>
      </c>
      <c r="D150" s="70" t="s">
        <v>58</v>
      </c>
      <c r="E150" s="102"/>
      <c r="F150" s="37">
        <f>F148</f>
        <v>208.22</v>
      </c>
      <c r="G150" s="32"/>
      <c r="H150" s="110"/>
      <c r="I150" s="33"/>
      <c r="J150" s="73">
        <f>F150*I150</f>
        <v>0</v>
      </c>
      <c r="K150" s="263">
        <f t="shared" si="10"/>
        <v>0</v>
      </c>
      <c r="L150" s="1"/>
    </row>
    <row r="151" spans="1:12" s="45" customFormat="1" ht="15" customHeight="1">
      <c r="A151" s="288">
        <f>A148+1</f>
        <v>29</v>
      </c>
      <c r="B151" s="61" t="s">
        <v>101</v>
      </c>
      <c r="C151" s="38" t="s">
        <v>29</v>
      </c>
      <c r="D151" s="38" t="s">
        <v>30</v>
      </c>
      <c r="E151" s="102"/>
      <c r="F151" s="97">
        <f>F134</f>
        <v>208.22</v>
      </c>
      <c r="G151" s="32">
        <v>150</v>
      </c>
      <c r="H151" s="235">
        <f>F151*G151</f>
        <v>31233</v>
      </c>
      <c r="I151" s="33"/>
      <c r="J151" s="66"/>
      <c r="K151" s="260">
        <f t="shared" si="10"/>
        <v>31233</v>
      </c>
      <c r="L151" s="1"/>
    </row>
    <row r="152" spans="1:12" s="45" customFormat="1" ht="15" customHeight="1">
      <c r="A152" s="284"/>
      <c r="B152" s="105" t="s">
        <v>102</v>
      </c>
      <c r="C152" s="38" t="s">
        <v>29</v>
      </c>
      <c r="D152" s="70" t="s">
        <v>41</v>
      </c>
      <c r="E152" s="102">
        <f>1.15</f>
        <v>1.1499999999999999</v>
      </c>
      <c r="F152" s="37">
        <f>F151*E152</f>
        <v>239.45299999999997</v>
      </c>
      <c r="G152" s="32"/>
      <c r="H152" s="110"/>
      <c r="I152" s="33"/>
      <c r="J152" s="73">
        <f>F152*I152</f>
        <v>0</v>
      </c>
      <c r="K152" s="263">
        <f t="shared" si="10"/>
        <v>0</v>
      </c>
      <c r="L152" s="1"/>
    </row>
    <row r="153" spans="1:12" s="44" customFormat="1" ht="15" customHeight="1">
      <c r="A153" s="284"/>
      <c r="B153" s="105" t="s">
        <v>103</v>
      </c>
      <c r="C153" s="38" t="s">
        <v>29</v>
      </c>
      <c r="D153" s="70" t="s">
        <v>19</v>
      </c>
      <c r="E153" s="102">
        <v>0.3</v>
      </c>
      <c r="F153" s="37">
        <f>F151*E153</f>
        <v>62.465999999999994</v>
      </c>
      <c r="G153" s="32"/>
      <c r="H153" s="244"/>
      <c r="I153" s="33"/>
      <c r="J153" s="73">
        <f>F153*I153</f>
        <v>0</v>
      </c>
      <c r="K153" s="263">
        <f t="shared" si="10"/>
        <v>0</v>
      </c>
      <c r="L153" s="1"/>
    </row>
    <row r="154" spans="1:12" s="45" customFormat="1" ht="15" customHeight="1">
      <c r="A154" s="288"/>
      <c r="B154" s="105" t="s">
        <v>104</v>
      </c>
      <c r="C154" s="38" t="s">
        <v>29</v>
      </c>
      <c r="D154" s="70" t="s">
        <v>21</v>
      </c>
      <c r="E154" s="64">
        <v>1</v>
      </c>
      <c r="F154" s="37">
        <f>E154*F151</f>
        <v>208.22</v>
      </c>
      <c r="G154" s="32"/>
      <c r="H154" s="110"/>
      <c r="I154" s="33"/>
      <c r="J154" s="73">
        <f>F154*I154</f>
        <v>0</v>
      </c>
      <c r="K154" s="263">
        <f t="shared" si="10"/>
        <v>0</v>
      </c>
      <c r="L154" s="1"/>
    </row>
    <row r="155" spans="1:12" s="45" customFormat="1" ht="15" hidden="1" customHeight="1">
      <c r="A155" s="282"/>
      <c r="B155" s="117" t="s">
        <v>105</v>
      </c>
      <c r="C155" s="265"/>
      <c r="D155" s="266"/>
      <c r="E155" s="267"/>
      <c r="F155" s="266"/>
      <c r="G155" s="57"/>
      <c r="H155" s="266"/>
      <c r="I155" s="59"/>
      <c r="J155" s="268"/>
      <c r="K155" s="269"/>
      <c r="L155" s="1"/>
    </row>
    <row r="156" spans="1:12" s="45" customFormat="1" ht="25.5" hidden="1" customHeight="1">
      <c r="A156" s="288">
        <f>A151+1</f>
        <v>30</v>
      </c>
      <c r="B156" s="61" t="s">
        <v>106</v>
      </c>
      <c r="C156" s="38" t="s">
        <v>23</v>
      </c>
      <c r="D156" s="38" t="s">
        <v>58</v>
      </c>
      <c r="E156" s="64"/>
      <c r="F156" s="97">
        <f>911.9+165.87+62.25</f>
        <v>1140.02</v>
      </c>
      <c r="G156" s="32">
        <v>200</v>
      </c>
      <c r="H156" s="235">
        <f>F156*G156</f>
        <v>228004</v>
      </c>
      <c r="I156" s="33"/>
      <c r="J156" s="66"/>
      <c r="K156" s="260">
        <f>H156+J156</f>
        <v>228004</v>
      </c>
      <c r="L156" s="1"/>
    </row>
    <row r="157" spans="1:12" s="45" customFormat="1" ht="15" hidden="1" customHeight="1">
      <c r="A157" s="284"/>
      <c r="B157" s="105" t="s">
        <v>24</v>
      </c>
      <c r="C157" s="38" t="s">
        <v>23</v>
      </c>
      <c r="D157" s="70" t="s">
        <v>41</v>
      </c>
      <c r="E157" s="64">
        <f>1.1*0.1</f>
        <v>0.11000000000000001</v>
      </c>
      <c r="F157" s="37">
        <f>F156*E157</f>
        <v>125.40220000000001</v>
      </c>
      <c r="G157" s="32"/>
      <c r="H157" s="110"/>
      <c r="I157" s="33">
        <v>401.24249999999995</v>
      </c>
      <c r="J157" s="73">
        <f>F157*I157</f>
        <v>50316.692233499998</v>
      </c>
      <c r="K157" s="263">
        <f>H157+J157</f>
        <v>50316.692233499998</v>
      </c>
      <c r="L157" s="1"/>
    </row>
    <row r="158" spans="1:12" s="44" customFormat="1" ht="15" hidden="1" customHeight="1">
      <c r="A158" s="284"/>
      <c r="B158" s="105" t="s">
        <v>34</v>
      </c>
      <c r="C158" s="38" t="s">
        <v>23</v>
      </c>
      <c r="D158" s="70" t="s">
        <v>21</v>
      </c>
      <c r="E158" s="64">
        <f>0.15*0.1</f>
        <v>1.4999999999999999E-2</v>
      </c>
      <c r="F158" s="37">
        <f>F156*E158</f>
        <v>17.100300000000001</v>
      </c>
      <c r="G158" s="32"/>
      <c r="H158" s="244"/>
      <c r="I158" s="33">
        <v>37.450000000000003</v>
      </c>
      <c r="J158" s="73">
        <f>F158*I158</f>
        <v>640.40623500000004</v>
      </c>
      <c r="K158" s="263">
        <f>H158+J158</f>
        <v>640.40623500000004</v>
      </c>
      <c r="L158" s="1"/>
    </row>
    <row r="159" spans="1:12" s="44" customFormat="1" ht="15" hidden="1" customHeight="1">
      <c r="A159" s="284"/>
      <c r="B159" s="105" t="s">
        <v>71</v>
      </c>
      <c r="C159" s="38" t="s">
        <v>23</v>
      </c>
      <c r="D159" s="70" t="s">
        <v>19</v>
      </c>
      <c r="E159" s="64">
        <f>7.6*0.1</f>
        <v>0.76</v>
      </c>
      <c r="F159" s="37">
        <f>F156*E159</f>
        <v>866.41520000000003</v>
      </c>
      <c r="G159" s="32"/>
      <c r="H159" s="244"/>
      <c r="I159" s="33">
        <v>7.6</v>
      </c>
      <c r="J159" s="73">
        <f>F159*I159</f>
        <v>6584.7555199999997</v>
      </c>
      <c r="K159" s="263">
        <f>H159+J159</f>
        <v>6584.7555199999997</v>
      </c>
      <c r="L159" s="1"/>
    </row>
    <row r="160" spans="1:12" s="44" customFormat="1" ht="15" hidden="1" customHeight="1">
      <c r="A160" s="284"/>
      <c r="B160" s="105" t="s">
        <v>73</v>
      </c>
      <c r="C160" s="38" t="s">
        <v>23</v>
      </c>
      <c r="D160" s="70" t="s">
        <v>19</v>
      </c>
      <c r="E160" s="64">
        <f>0.4*0.1</f>
        <v>4.0000000000000008E-2</v>
      </c>
      <c r="F160" s="37">
        <f>F156*E160</f>
        <v>45.600800000000007</v>
      </c>
      <c r="G160" s="32"/>
      <c r="H160" s="244"/>
      <c r="I160" s="33">
        <v>123.5</v>
      </c>
      <c r="J160" s="73">
        <f>F160*I160</f>
        <v>5631.698800000001</v>
      </c>
      <c r="K160" s="263">
        <f>H160+J160</f>
        <v>5631.698800000001</v>
      </c>
      <c r="L160" s="1"/>
    </row>
    <row r="161" spans="1:12" s="45" customFormat="1" ht="15" hidden="1" customHeight="1">
      <c r="A161" s="289"/>
      <c r="B161" s="76"/>
      <c r="C161" s="77"/>
      <c r="D161" s="76"/>
      <c r="E161" s="106"/>
      <c r="F161" s="107"/>
      <c r="G161" s="32"/>
      <c r="H161" s="81"/>
      <c r="I161" s="33"/>
      <c r="J161" s="82"/>
      <c r="K161" s="264"/>
      <c r="L161" s="1"/>
    </row>
    <row r="162" spans="1:12" s="45" customFormat="1" ht="15" hidden="1" customHeight="1">
      <c r="A162" s="249"/>
      <c r="B162" s="46" t="s">
        <v>107</v>
      </c>
      <c r="C162" s="250"/>
      <c r="D162" s="251"/>
      <c r="E162" s="252"/>
      <c r="F162" s="251"/>
      <c r="G162" s="39"/>
      <c r="H162" s="251"/>
      <c r="I162" s="40"/>
      <c r="J162" s="118"/>
      <c r="K162" s="254"/>
      <c r="L162" s="1"/>
    </row>
    <row r="163" spans="1:12" s="45" customFormat="1" ht="15" hidden="1" customHeight="1">
      <c r="A163" s="255"/>
      <c r="B163" s="24" t="s">
        <v>16</v>
      </c>
      <c r="C163" s="47"/>
      <c r="D163" s="48"/>
      <c r="E163" s="49"/>
      <c r="F163" s="50"/>
      <c r="G163" s="29"/>
      <c r="H163" s="51"/>
      <c r="I163" s="36"/>
      <c r="J163" s="52"/>
      <c r="K163" s="256"/>
      <c r="L163" s="1"/>
    </row>
    <row r="164" spans="1:12" s="45" customFormat="1" ht="25.5" hidden="1" customHeight="1">
      <c r="A164" s="257"/>
      <c r="B164" s="53" t="s">
        <v>108</v>
      </c>
      <c r="C164" s="53"/>
      <c r="D164" s="54"/>
      <c r="E164" s="55"/>
      <c r="F164" s="56"/>
      <c r="G164" s="57"/>
      <c r="H164" s="58"/>
      <c r="I164" s="59"/>
      <c r="J164" s="60"/>
      <c r="K164" s="258"/>
      <c r="L164" s="1"/>
    </row>
    <row r="165" spans="1:12" s="45" customFormat="1" ht="15" customHeight="1">
      <c r="A165" s="259" t="s">
        <v>15</v>
      </c>
      <c r="B165" s="61" t="s">
        <v>28</v>
      </c>
      <c r="C165" s="62" t="s">
        <v>29</v>
      </c>
      <c r="D165" s="63" t="s">
        <v>30</v>
      </c>
      <c r="E165" s="64"/>
      <c r="F165" s="65">
        <f>101.93+119.14+49.73</f>
        <v>270.8</v>
      </c>
      <c r="G165" s="32">
        <v>180</v>
      </c>
      <c r="H165" s="235">
        <f>F165*G165</f>
        <v>48744</v>
      </c>
      <c r="I165" s="33"/>
      <c r="J165" s="66"/>
      <c r="K165" s="260">
        <f>H165+J165</f>
        <v>48744</v>
      </c>
      <c r="L165" s="1"/>
    </row>
    <row r="166" spans="1:12" s="45" customFormat="1" ht="15" customHeight="1">
      <c r="A166" s="259"/>
      <c r="B166" s="41" t="s">
        <v>31</v>
      </c>
      <c r="C166" s="62" t="s">
        <v>29</v>
      </c>
      <c r="D166" s="67" t="s">
        <v>25</v>
      </c>
      <c r="E166" s="64">
        <v>0.02</v>
      </c>
      <c r="F166" s="68">
        <f>E166*F165</f>
        <v>5.4160000000000004</v>
      </c>
      <c r="G166" s="32"/>
      <c r="H166" s="69"/>
      <c r="I166" s="33"/>
      <c r="J166" s="43">
        <f>F166*I166</f>
        <v>0</v>
      </c>
      <c r="K166" s="261">
        <f>H166+J166</f>
        <v>0</v>
      </c>
      <c r="L166" s="1"/>
    </row>
    <row r="167" spans="1:12" s="45" customFormat="1" ht="15" hidden="1" customHeight="1">
      <c r="A167" s="262">
        <f>A165+1</f>
        <v>2</v>
      </c>
      <c r="B167" s="61" t="s">
        <v>32</v>
      </c>
      <c r="C167" s="38" t="s">
        <v>20</v>
      </c>
      <c r="D167" s="63" t="s">
        <v>30</v>
      </c>
      <c r="E167" s="64"/>
      <c r="F167" s="65">
        <f>F165</f>
        <v>270.8</v>
      </c>
      <c r="G167" s="32">
        <v>200</v>
      </c>
      <c r="H167" s="235">
        <f>F167*G167</f>
        <v>54160</v>
      </c>
      <c r="I167" s="33"/>
      <c r="J167" s="66"/>
      <c r="K167" s="260">
        <f>H167+J167</f>
        <v>54160</v>
      </c>
      <c r="L167" s="1"/>
    </row>
    <row r="168" spans="1:12" s="44" customFormat="1" ht="25.5" hidden="1" customHeight="1">
      <c r="A168" s="259"/>
      <c r="B168" s="70" t="s">
        <v>33</v>
      </c>
      <c r="C168" s="38" t="s">
        <v>20</v>
      </c>
      <c r="D168" s="71" t="s">
        <v>21</v>
      </c>
      <c r="E168" s="64">
        <v>0.35</v>
      </c>
      <c r="F168" s="72">
        <f>F167*E168</f>
        <v>94.78</v>
      </c>
      <c r="G168" s="32"/>
      <c r="H168" s="236"/>
      <c r="I168" s="33">
        <v>122.50221999999999</v>
      </c>
      <c r="J168" s="73">
        <f>F168*I168</f>
        <v>11610.7604116</v>
      </c>
      <c r="K168" s="263">
        <f>H168+J168</f>
        <v>11610.7604116</v>
      </c>
      <c r="L168" s="1"/>
    </row>
    <row r="169" spans="1:12" s="44" customFormat="1" ht="15" hidden="1" customHeight="1">
      <c r="A169" s="259"/>
      <c r="B169" s="74" t="s">
        <v>34</v>
      </c>
      <c r="C169" s="38" t="s">
        <v>20</v>
      </c>
      <c r="D169" s="71" t="s">
        <v>21</v>
      </c>
      <c r="E169" s="64">
        <v>0.15</v>
      </c>
      <c r="F169" s="72">
        <f>F167*E169</f>
        <v>40.619999999999997</v>
      </c>
      <c r="G169" s="32"/>
      <c r="H169" s="236"/>
      <c r="I169" s="33">
        <v>37.450000000000003</v>
      </c>
      <c r="J169" s="73">
        <f>F169*I169</f>
        <v>1521.2190000000001</v>
      </c>
      <c r="K169" s="263">
        <f>H169+J169</f>
        <v>1521.2190000000001</v>
      </c>
      <c r="L169" s="1"/>
    </row>
    <row r="170" spans="1:12" s="45" customFormat="1" ht="15" hidden="1" customHeight="1">
      <c r="A170" s="257"/>
      <c r="B170" s="76"/>
      <c r="C170" s="77"/>
      <c r="D170" s="78"/>
      <c r="E170" s="79"/>
      <c r="F170" s="80"/>
      <c r="G170" s="32"/>
      <c r="H170" s="81"/>
      <c r="I170" s="33"/>
      <c r="J170" s="82"/>
      <c r="K170" s="264"/>
      <c r="L170" s="1"/>
    </row>
    <row r="171" spans="1:12" s="45" customFormat="1" ht="25.5" hidden="1" customHeight="1">
      <c r="A171" s="257"/>
      <c r="B171" s="53" t="s">
        <v>109</v>
      </c>
      <c r="C171" s="265"/>
      <c r="D171" s="266"/>
      <c r="E171" s="267"/>
      <c r="F171" s="266"/>
      <c r="G171" s="57"/>
      <c r="H171" s="266"/>
      <c r="I171" s="59"/>
      <c r="J171" s="268"/>
      <c r="K171" s="269"/>
      <c r="L171" s="1"/>
    </row>
    <row r="172" spans="1:12" s="45" customFormat="1" ht="15" hidden="1" customHeight="1">
      <c r="A172" s="274">
        <f>A167+1</f>
        <v>3</v>
      </c>
      <c r="B172" s="83" t="s">
        <v>36</v>
      </c>
      <c r="C172" s="19" t="s">
        <v>20</v>
      </c>
      <c r="D172" s="19" t="s">
        <v>30</v>
      </c>
      <c r="E172" s="69"/>
      <c r="F172" s="84">
        <f>998+131.9+103.5+34</f>
        <v>1267.4000000000001</v>
      </c>
      <c r="G172" s="32">
        <v>50</v>
      </c>
      <c r="H172" s="237">
        <f>F172*G172</f>
        <v>63370.000000000007</v>
      </c>
      <c r="I172" s="33"/>
      <c r="J172" s="43"/>
      <c r="K172" s="271">
        <f t="shared" ref="K172:K179" si="12">H172+J172</f>
        <v>63370.000000000007</v>
      </c>
      <c r="L172" s="1"/>
    </row>
    <row r="173" spans="1:12" s="44" customFormat="1" ht="15" hidden="1" customHeight="1">
      <c r="A173" s="272"/>
      <c r="B173" s="85" t="s">
        <v>37</v>
      </c>
      <c r="C173" s="19" t="s">
        <v>20</v>
      </c>
      <c r="D173" s="41" t="s">
        <v>19</v>
      </c>
      <c r="E173" s="21">
        <v>0.15</v>
      </c>
      <c r="F173" s="68">
        <f>E173*F172</f>
        <v>190.11</v>
      </c>
      <c r="G173" s="32"/>
      <c r="H173" s="238"/>
      <c r="I173" s="33">
        <v>37.81</v>
      </c>
      <c r="J173" s="43">
        <f>F173*I173</f>
        <v>7188.0591000000013</v>
      </c>
      <c r="K173" s="273">
        <f t="shared" si="12"/>
        <v>7188.0591000000013</v>
      </c>
      <c r="L173" s="1"/>
    </row>
    <row r="174" spans="1:12" s="45" customFormat="1" ht="15" hidden="1" customHeight="1">
      <c r="A174" s="274">
        <f>A172+1</f>
        <v>4</v>
      </c>
      <c r="B174" s="86" t="s">
        <v>38</v>
      </c>
      <c r="C174" s="69" t="s">
        <v>190</v>
      </c>
      <c r="D174" s="19" t="s">
        <v>30</v>
      </c>
      <c r="E174" s="69"/>
      <c r="F174" s="69">
        <f>F172</f>
        <v>1267.4000000000001</v>
      </c>
      <c r="G174" s="241">
        <v>200</v>
      </c>
      <c r="H174" s="237">
        <f>F174*G174</f>
        <v>253480.00000000003</v>
      </c>
      <c r="I174" s="33"/>
      <c r="J174" s="43"/>
      <c r="K174" s="271">
        <f t="shared" si="12"/>
        <v>253480.00000000003</v>
      </c>
      <c r="L174" s="137"/>
    </row>
    <row r="175" spans="1:12" s="44" customFormat="1" ht="15" hidden="1" customHeight="1">
      <c r="A175" s="275"/>
      <c r="B175" s="87" t="s">
        <v>39</v>
      </c>
      <c r="C175" s="69" t="s">
        <v>190</v>
      </c>
      <c r="D175" s="41" t="s">
        <v>19</v>
      </c>
      <c r="E175" s="21">
        <v>5</v>
      </c>
      <c r="F175" s="34">
        <f>E175*F174</f>
        <v>6337</v>
      </c>
      <c r="G175" s="241"/>
      <c r="H175" s="239"/>
      <c r="I175" s="33">
        <v>12.67</v>
      </c>
      <c r="J175" s="43">
        <f>F175*I175</f>
        <v>80289.789999999994</v>
      </c>
      <c r="K175" s="273">
        <f t="shared" si="12"/>
        <v>80289.789999999994</v>
      </c>
      <c r="L175" s="1"/>
    </row>
    <row r="176" spans="1:12" s="45" customFormat="1" ht="15" hidden="1" customHeight="1" thickBot="1">
      <c r="A176" s="275"/>
      <c r="B176" s="88" t="s">
        <v>40</v>
      </c>
      <c r="C176" s="69" t="s">
        <v>190</v>
      </c>
      <c r="D176" s="88" t="s">
        <v>41</v>
      </c>
      <c r="E176" s="89">
        <v>1.05</v>
      </c>
      <c r="F176" s="34">
        <f>E176*F174</f>
        <v>1330.7700000000002</v>
      </c>
      <c r="G176" s="241"/>
      <c r="H176" s="240"/>
      <c r="I176" s="33">
        <v>629.42999999999995</v>
      </c>
      <c r="J176" s="90">
        <f>F176*I176</f>
        <v>837626.56110000005</v>
      </c>
      <c r="K176" s="261">
        <f t="shared" si="12"/>
        <v>837626.56110000005</v>
      </c>
      <c r="L176" s="1"/>
    </row>
    <row r="177" spans="1:14" s="45" customFormat="1" ht="15" hidden="1" customHeight="1">
      <c r="A177" s="274">
        <f>A174+1</f>
        <v>5</v>
      </c>
      <c r="B177" s="61" t="s">
        <v>32</v>
      </c>
      <c r="C177" s="38" t="s">
        <v>20</v>
      </c>
      <c r="D177" s="38" t="s">
        <v>30</v>
      </c>
      <c r="E177" s="64"/>
      <c r="F177" s="97">
        <f>F172</f>
        <v>1267.4000000000001</v>
      </c>
      <c r="G177" s="241">
        <v>200</v>
      </c>
      <c r="H177" s="235">
        <f>F177*G177</f>
        <v>253480.00000000003</v>
      </c>
      <c r="I177" s="33"/>
      <c r="J177" s="66"/>
      <c r="K177" s="260">
        <f t="shared" si="12"/>
        <v>253480.00000000003</v>
      </c>
      <c r="L177" s="1"/>
    </row>
    <row r="178" spans="1:14" s="44" customFormat="1" ht="15" hidden="1" customHeight="1">
      <c r="A178" s="275"/>
      <c r="B178" s="74" t="s">
        <v>48</v>
      </c>
      <c r="C178" s="38" t="s">
        <v>20</v>
      </c>
      <c r="D178" s="70" t="s">
        <v>21</v>
      </c>
      <c r="E178" s="64">
        <v>0.35</v>
      </c>
      <c r="F178" s="68">
        <f>E178*F177</f>
        <v>443.59000000000003</v>
      </c>
      <c r="G178" s="32"/>
      <c r="H178" s="236"/>
      <c r="I178" s="33">
        <v>122.50221999999999</v>
      </c>
      <c r="J178" s="73">
        <f>F178*I178</f>
        <v>54340.759769800003</v>
      </c>
      <c r="K178" s="263">
        <f t="shared" si="12"/>
        <v>54340.759769800003</v>
      </c>
      <c r="L178" s="1"/>
    </row>
    <row r="179" spans="1:14" s="44" customFormat="1" ht="15" hidden="1" customHeight="1">
      <c r="A179" s="276"/>
      <c r="B179" s="98" t="s">
        <v>37</v>
      </c>
      <c r="C179" s="38" t="s">
        <v>20</v>
      </c>
      <c r="D179" s="41" t="s">
        <v>19</v>
      </c>
      <c r="E179" s="21">
        <v>0.15</v>
      </c>
      <c r="F179" s="68">
        <f>E179*F177</f>
        <v>190.11</v>
      </c>
      <c r="G179" s="32"/>
      <c r="H179" s="238"/>
      <c r="I179" s="33">
        <v>37.81</v>
      </c>
      <c r="J179" s="43">
        <f>F179*I179</f>
        <v>7188.0591000000013</v>
      </c>
      <c r="K179" s="273">
        <f t="shared" si="12"/>
        <v>7188.0591000000013</v>
      </c>
      <c r="L179" s="1"/>
    </row>
    <row r="180" spans="1:14" s="45" customFormat="1" ht="15" hidden="1" customHeight="1">
      <c r="A180" s="278"/>
      <c r="B180" s="98"/>
      <c r="C180" s="20"/>
      <c r="D180" s="41"/>
      <c r="E180" s="21"/>
      <c r="F180" s="68"/>
      <c r="G180" s="32"/>
      <c r="H180" s="43"/>
      <c r="I180" s="33"/>
      <c r="J180" s="43"/>
      <c r="K180" s="273"/>
      <c r="L180" s="1"/>
    </row>
    <row r="181" spans="1:14" s="45" customFormat="1" ht="15" hidden="1" customHeight="1">
      <c r="A181" s="23"/>
      <c r="B181" s="24" t="s">
        <v>22</v>
      </c>
      <c r="C181" s="25"/>
      <c r="D181" s="26"/>
      <c r="E181" s="27"/>
      <c r="F181" s="28"/>
      <c r="G181" s="29"/>
      <c r="H181" s="29" t="str">
        <f>IF(ISBLANK(G181),"",G181*F181)</f>
        <v/>
      </c>
      <c r="I181" s="36"/>
      <c r="J181" s="30" t="str">
        <f>IF(ISBLANK(I181),"",I181*F181)</f>
        <v/>
      </c>
      <c r="K181" s="290"/>
      <c r="L181" s="1"/>
    </row>
    <row r="182" spans="1:14" s="45" customFormat="1" ht="15" hidden="1" customHeight="1">
      <c r="A182" s="257"/>
      <c r="B182" s="53" t="s">
        <v>110</v>
      </c>
      <c r="C182" s="265"/>
      <c r="D182" s="266"/>
      <c r="E182" s="267"/>
      <c r="F182" s="266"/>
      <c r="G182" s="57"/>
      <c r="H182" s="266"/>
      <c r="I182" s="59"/>
      <c r="J182" s="268"/>
      <c r="K182" s="285"/>
      <c r="L182" s="1"/>
      <c r="M182" s="119"/>
      <c r="N182" s="119"/>
    </row>
    <row r="183" spans="1:14" s="45" customFormat="1" ht="15" hidden="1" customHeight="1">
      <c r="A183" s="262">
        <f>A177+1</f>
        <v>6</v>
      </c>
      <c r="B183" s="61" t="s">
        <v>52</v>
      </c>
      <c r="C183" s="38" t="s">
        <v>20</v>
      </c>
      <c r="D183" s="38" t="s">
        <v>30</v>
      </c>
      <c r="E183" s="102"/>
      <c r="F183" s="97">
        <f>354.7</f>
        <v>354.7</v>
      </c>
      <c r="G183" s="32">
        <v>250</v>
      </c>
      <c r="H183" s="235">
        <f>F183*G183</f>
        <v>88675</v>
      </c>
      <c r="I183" s="33"/>
      <c r="J183" s="66"/>
      <c r="K183" s="260">
        <f t="shared" ref="K183:K191" si="13">H183+J183</f>
        <v>88675</v>
      </c>
      <c r="L183" s="1"/>
    </row>
    <row r="184" spans="1:14" s="44" customFormat="1" ht="15" hidden="1" customHeight="1">
      <c r="A184" s="279"/>
      <c r="B184" s="74" t="s">
        <v>53</v>
      </c>
      <c r="C184" s="38" t="s">
        <v>20</v>
      </c>
      <c r="D184" s="70" t="s">
        <v>19</v>
      </c>
      <c r="E184" s="102">
        <v>1.8</v>
      </c>
      <c r="F184" s="68">
        <f>E184*F183</f>
        <v>638.46</v>
      </c>
      <c r="G184" s="32"/>
      <c r="H184" s="236"/>
      <c r="I184" s="33">
        <v>8.7200000000000006</v>
      </c>
      <c r="J184" s="73">
        <f>F184*I184</f>
        <v>5567.3712000000005</v>
      </c>
      <c r="K184" s="263">
        <f t="shared" si="13"/>
        <v>5567.3712000000005</v>
      </c>
      <c r="L184" s="1"/>
    </row>
    <row r="185" spans="1:14" s="44" customFormat="1" ht="15" hidden="1" customHeight="1">
      <c r="A185" s="279"/>
      <c r="B185" s="74" t="s">
        <v>54</v>
      </c>
      <c r="C185" s="38" t="s">
        <v>20</v>
      </c>
      <c r="D185" s="70" t="s">
        <v>19</v>
      </c>
      <c r="E185" s="102">
        <v>1.8</v>
      </c>
      <c r="F185" s="68">
        <f>E185*F183</f>
        <v>638.46</v>
      </c>
      <c r="G185" s="32"/>
      <c r="H185" s="236"/>
      <c r="I185" s="33">
        <v>18.690000000000001</v>
      </c>
      <c r="J185" s="73">
        <f>F185*I185</f>
        <v>11932.817400000002</v>
      </c>
      <c r="K185" s="263">
        <f t="shared" si="13"/>
        <v>11932.817400000002</v>
      </c>
      <c r="L185" s="1"/>
    </row>
    <row r="186" spans="1:14" s="44" customFormat="1" ht="15" hidden="1" customHeight="1">
      <c r="A186" s="279"/>
      <c r="B186" s="74" t="s">
        <v>34</v>
      </c>
      <c r="C186" s="38" t="s">
        <v>20</v>
      </c>
      <c r="D186" s="70" t="s">
        <v>21</v>
      </c>
      <c r="E186" s="102">
        <v>0.15</v>
      </c>
      <c r="F186" s="68">
        <f>E186*F183</f>
        <v>53.204999999999998</v>
      </c>
      <c r="G186" s="32"/>
      <c r="H186" s="236"/>
      <c r="I186" s="33">
        <v>37.450000000000003</v>
      </c>
      <c r="J186" s="73">
        <f>F186*I186</f>
        <v>1992.5272500000001</v>
      </c>
      <c r="K186" s="263">
        <f t="shared" si="13"/>
        <v>1992.5272500000001</v>
      </c>
      <c r="L186" s="1"/>
    </row>
    <row r="187" spans="1:14" s="44" customFormat="1" ht="15" hidden="1" customHeight="1">
      <c r="A187" s="279"/>
      <c r="B187" s="74" t="s">
        <v>55</v>
      </c>
      <c r="C187" s="38" t="s">
        <v>20</v>
      </c>
      <c r="D187" s="70" t="s">
        <v>56</v>
      </c>
      <c r="E187" s="102">
        <v>0.1</v>
      </c>
      <c r="F187" s="68">
        <f>E187*F183</f>
        <v>35.47</v>
      </c>
      <c r="G187" s="32"/>
      <c r="H187" s="236"/>
      <c r="I187" s="33">
        <v>19.260000000000002</v>
      </c>
      <c r="J187" s="73">
        <f>F187*I187</f>
        <v>683.15219999999999</v>
      </c>
      <c r="K187" s="263">
        <f t="shared" si="13"/>
        <v>683.15219999999999</v>
      </c>
      <c r="L187" s="1"/>
    </row>
    <row r="188" spans="1:14" s="44" customFormat="1" ht="15" hidden="1" customHeight="1">
      <c r="A188" s="279"/>
      <c r="B188" s="74" t="s">
        <v>57</v>
      </c>
      <c r="C188" s="38" t="s">
        <v>20</v>
      </c>
      <c r="D188" s="70" t="s">
        <v>58</v>
      </c>
      <c r="E188" s="102">
        <v>1.1000000000000001</v>
      </c>
      <c r="F188" s="68">
        <f>E188*F183</f>
        <v>390.17</v>
      </c>
      <c r="G188" s="32"/>
      <c r="H188" s="236"/>
      <c r="I188" s="33">
        <v>3.1240000000000001</v>
      </c>
      <c r="J188" s="73">
        <f>F188*I188</f>
        <v>1218.8910800000001</v>
      </c>
      <c r="K188" s="263">
        <f t="shared" si="13"/>
        <v>1218.8910800000001</v>
      </c>
      <c r="L188" s="1"/>
    </row>
    <row r="189" spans="1:14" s="45" customFormat="1" ht="15" hidden="1" customHeight="1">
      <c r="A189" s="280">
        <f>A183+1</f>
        <v>7</v>
      </c>
      <c r="B189" s="61" t="s">
        <v>59</v>
      </c>
      <c r="C189" s="38" t="s">
        <v>20</v>
      </c>
      <c r="D189" s="38" t="s">
        <v>30</v>
      </c>
      <c r="E189" s="102"/>
      <c r="F189" s="97">
        <f>F183</f>
        <v>354.7</v>
      </c>
      <c r="G189" s="32">
        <v>200</v>
      </c>
      <c r="H189" s="235">
        <f>F189*G189</f>
        <v>70940</v>
      </c>
      <c r="I189" s="33"/>
      <c r="J189" s="66"/>
      <c r="K189" s="260">
        <f t="shared" si="13"/>
        <v>70940</v>
      </c>
      <c r="L189" s="1"/>
    </row>
    <row r="190" spans="1:14" s="44" customFormat="1" ht="25.5" hidden="1" customHeight="1">
      <c r="A190" s="279"/>
      <c r="B190" s="103" t="s">
        <v>60</v>
      </c>
      <c r="C190" s="38" t="s">
        <v>20</v>
      </c>
      <c r="D190" s="70" t="s">
        <v>21</v>
      </c>
      <c r="E190" s="104">
        <v>0.35</v>
      </c>
      <c r="F190" s="68">
        <f>E190*F189</f>
        <v>124.14499999999998</v>
      </c>
      <c r="G190" s="32"/>
      <c r="H190" s="236"/>
      <c r="I190" s="33">
        <v>122.50221999999999</v>
      </c>
      <c r="J190" s="73">
        <f>F190*I190</f>
        <v>15208.038101899998</v>
      </c>
      <c r="K190" s="263">
        <f t="shared" si="13"/>
        <v>15208.038101899998</v>
      </c>
      <c r="L190" s="1"/>
    </row>
    <row r="191" spans="1:14" s="44" customFormat="1" ht="15" hidden="1" customHeight="1">
      <c r="A191" s="279"/>
      <c r="B191" s="105" t="s">
        <v>34</v>
      </c>
      <c r="C191" s="38" t="s">
        <v>20</v>
      </c>
      <c r="D191" s="70" t="s">
        <v>21</v>
      </c>
      <c r="E191" s="102">
        <v>0.15</v>
      </c>
      <c r="F191" s="68">
        <f>E191*F189</f>
        <v>53.204999999999998</v>
      </c>
      <c r="G191" s="32"/>
      <c r="H191" s="236"/>
      <c r="I191" s="33">
        <v>37.450000000000003</v>
      </c>
      <c r="J191" s="73">
        <f>F191*I191</f>
        <v>1992.5272500000001</v>
      </c>
      <c r="K191" s="263">
        <f t="shared" si="13"/>
        <v>1992.5272500000001</v>
      </c>
      <c r="L191" s="1"/>
    </row>
    <row r="192" spans="1:14" s="45" customFormat="1" ht="15" hidden="1" customHeight="1">
      <c r="A192" s="281"/>
      <c r="B192" s="76"/>
      <c r="C192" s="77"/>
      <c r="D192" s="76"/>
      <c r="E192" s="106"/>
      <c r="F192" s="107"/>
      <c r="G192" s="32"/>
      <c r="H192" s="81"/>
      <c r="I192" s="33"/>
      <c r="J192" s="82"/>
      <c r="K192" s="264"/>
      <c r="L192" s="1"/>
    </row>
    <row r="193" spans="1:12" s="45" customFormat="1" ht="15" hidden="1" customHeight="1">
      <c r="A193" s="257"/>
      <c r="B193" s="53" t="s">
        <v>111</v>
      </c>
      <c r="C193" s="53"/>
      <c r="D193" s="54"/>
      <c r="E193" s="55"/>
      <c r="F193" s="56"/>
      <c r="G193" s="57"/>
      <c r="H193" s="58"/>
      <c r="I193" s="59"/>
      <c r="J193" s="60"/>
      <c r="K193" s="258"/>
      <c r="L193" s="1"/>
    </row>
    <row r="194" spans="1:12" s="45" customFormat="1" ht="15" customHeight="1">
      <c r="A194" s="277">
        <f>A189+1</f>
        <v>8</v>
      </c>
      <c r="B194" s="61" t="s">
        <v>188</v>
      </c>
      <c r="C194" s="62" t="s">
        <v>29</v>
      </c>
      <c r="D194" s="63" t="s">
        <v>30</v>
      </c>
      <c r="E194" s="64"/>
      <c r="F194" s="65">
        <f>124.2+350.09</f>
        <v>474.28999999999996</v>
      </c>
      <c r="G194" s="32">
        <v>180</v>
      </c>
      <c r="H194" s="235">
        <f>F194*G194</f>
        <v>85372.2</v>
      </c>
      <c r="I194" s="33"/>
      <c r="J194" s="66"/>
      <c r="K194" s="260">
        <f>H194+J194</f>
        <v>85372.2</v>
      </c>
      <c r="L194" s="1"/>
    </row>
    <row r="195" spans="1:12" s="45" customFormat="1" ht="15" customHeight="1">
      <c r="A195" s="259"/>
      <c r="B195" s="41" t="s">
        <v>31</v>
      </c>
      <c r="C195" s="62" t="s">
        <v>29</v>
      </c>
      <c r="D195" s="67" t="s">
        <v>25</v>
      </c>
      <c r="E195" s="64">
        <v>0.02</v>
      </c>
      <c r="F195" s="68">
        <f>E195*F194</f>
        <v>9.4857999999999993</v>
      </c>
      <c r="G195" s="32"/>
      <c r="H195" s="69"/>
      <c r="I195" s="33"/>
      <c r="J195" s="43">
        <f>F195*I195</f>
        <v>0</v>
      </c>
      <c r="K195" s="261">
        <f>H195+J195</f>
        <v>0</v>
      </c>
      <c r="L195" s="1"/>
    </row>
    <row r="196" spans="1:12" s="45" customFormat="1" ht="15" hidden="1" customHeight="1">
      <c r="A196" s="262">
        <f>A194+1</f>
        <v>9</v>
      </c>
      <c r="B196" s="61" t="s">
        <v>59</v>
      </c>
      <c r="C196" s="38" t="s">
        <v>20</v>
      </c>
      <c r="D196" s="63" t="s">
        <v>30</v>
      </c>
      <c r="E196" s="64"/>
      <c r="F196" s="65">
        <f>F194</f>
        <v>474.28999999999996</v>
      </c>
      <c r="G196" s="241">
        <v>200</v>
      </c>
      <c r="H196" s="235">
        <f>F196*G196</f>
        <v>94858</v>
      </c>
      <c r="I196" s="33"/>
      <c r="J196" s="66"/>
      <c r="K196" s="260">
        <f>H196+J196</f>
        <v>94858</v>
      </c>
      <c r="L196" s="1"/>
    </row>
    <row r="197" spans="1:12" s="44" customFormat="1" ht="25.5" hidden="1" customHeight="1">
      <c r="A197" s="259"/>
      <c r="B197" s="70" t="s">
        <v>33</v>
      </c>
      <c r="C197" s="38" t="s">
        <v>20</v>
      </c>
      <c r="D197" s="71" t="s">
        <v>21</v>
      </c>
      <c r="E197" s="64">
        <v>0.35</v>
      </c>
      <c r="F197" s="72">
        <f>F196*E197</f>
        <v>166.00149999999996</v>
      </c>
      <c r="G197" s="32"/>
      <c r="H197" s="236"/>
      <c r="I197" s="33">
        <v>122.50221999999999</v>
      </c>
      <c r="J197" s="73">
        <f>F197*I197</f>
        <v>20335.552273329995</v>
      </c>
      <c r="K197" s="263">
        <f>H197+J197</f>
        <v>20335.552273329995</v>
      </c>
      <c r="L197" s="1"/>
    </row>
    <row r="198" spans="1:12" s="44" customFormat="1" ht="15" hidden="1" customHeight="1">
      <c r="A198" s="259"/>
      <c r="B198" s="74" t="s">
        <v>34</v>
      </c>
      <c r="C198" s="38" t="s">
        <v>20</v>
      </c>
      <c r="D198" s="71" t="s">
        <v>21</v>
      </c>
      <c r="E198" s="64">
        <v>0.15</v>
      </c>
      <c r="F198" s="72">
        <f>F196*E198</f>
        <v>71.143499999999989</v>
      </c>
      <c r="G198" s="32"/>
      <c r="H198" s="236"/>
      <c r="I198" s="33">
        <v>37.450000000000003</v>
      </c>
      <c r="J198" s="73">
        <f>F198*I198</f>
        <v>2664.324075</v>
      </c>
      <c r="K198" s="263">
        <f>H198+J198</f>
        <v>2664.324075</v>
      </c>
      <c r="L198" s="1"/>
    </row>
    <row r="199" spans="1:12" s="45" customFormat="1" ht="15" hidden="1" customHeight="1">
      <c r="A199" s="257"/>
      <c r="B199" s="76"/>
      <c r="C199" s="77"/>
      <c r="D199" s="78"/>
      <c r="E199" s="79"/>
      <c r="F199" s="80"/>
      <c r="G199" s="32"/>
      <c r="H199" s="81"/>
      <c r="I199" s="33"/>
      <c r="J199" s="82"/>
      <c r="K199" s="264"/>
      <c r="L199" s="1"/>
    </row>
    <row r="200" spans="1:12" s="45" customFormat="1" ht="15" hidden="1" customHeight="1">
      <c r="A200" s="282"/>
      <c r="B200" s="53" t="s">
        <v>62</v>
      </c>
      <c r="C200" s="53"/>
      <c r="D200" s="54"/>
      <c r="E200" s="108"/>
      <c r="F200" s="56"/>
      <c r="G200" s="57"/>
      <c r="H200" s="58"/>
      <c r="I200" s="59"/>
      <c r="J200" s="60"/>
      <c r="K200" s="258"/>
      <c r="L200" s="1"/>
    </row>
    <row r="201" spans="1:12" s="45" customFormat="1" ht="15" hidden="1" customHeight="1">
      <c r="A201" s="262">
        <f>A196+1</f>
        <v>10</v>
      </c>
      <c r="B201" s="61" t="s">
        <v>63</v>
      </c>
      <c r="C201" s="38" t="s">
        <v>17</v>
      </c>
      <c r="D201" s="38" t="s">
        <v>30</v>
      </c>
      <c r="E201" s="102"/>
      <c r="F201" s="97">
        <v>180.38</v>
      </c>
      <c r="G201" s="32">
        <v>250</v>
      </c>
      <c r="H201" s="235">
        <f>F201*G201</f>
        <v>45095</v>
      </c>
      <c r="I201" s="33"/>
      <c r="J201" s="66"/>
      <c r="K201" s="260">
        <f t="shared" ref="K201:K212" si="14">H201+J201</f>
        <v>45095</v>
      </c>
      <c r="L201" s="1"/>
    </row>
    <row r="202" spans="1:12" s="44" customFormat="1" ht="15" hidden="1" customHeight="1">
      <c r="A202" s="259"/>
      <c r="B202" s="103" t="s">
        <v>64</v>
      </c>
      <c r="C202" s="38" t="s">
        <v>17</v>
      </c>
      <c r="D202" s="70" t="s">
        <v>56</v>
      </c>
      <c r="E202" s="102">
        <v>0.4</v>
      </c>
      <c r="F202" s="37">
        <f>F201*E202</f>
        <v>72.152000000000001</v>
      </c>
      <c r="G202" s="32"/>
      <c r="H202" s="244"/>
      <c r="I202" s="33">
        <v>16.05</v>
      </c>
      <c r="J202" s="73">
        <f>F202*I202</f>
        <v>1158.0396000000001</v>
      </c>
      <c r="K202" s="263">
        <f t="shared" si="14"/>
        <v>1158.0396000000001</v>
      </c>
      <c r="L202" s="1"/>
    </row>
    <row r="203" spans="1:12" s="44" customFormat="1" ht="15" hidden="1" customHeight="1">
      <c r="A203" s="283"/>
      <c r="B203" s="103" t="s">
        <v>65</v>
      </c>
      <c r="C203" s="38" t="s">
        <v>17</v>
      </c>
      <c r="D203" s="70" t="s">
        <v>56</v>
      </c>
      <c r="E203" s="102">
        <v>0.4</v>
      </c>
      <c r="F203" s="37">
        <f>F201*E203</f>
        <v>72.152000000000001</v>
      </c>
      <c r="G203" s="32"/>
      <c r="H203" s="244"/>
      <c r="I203" s="33">
        <v>16.77</v>
      </c>
      <c r="J203" s="73">
        <f>F203*I203</f>
        <v>1209.9890399999999</v>
      </c>
      <c r="K203" s="263">
        <f t="shared" si="14"/>
        <v>1209.9890399999999</v>
      </c>
      <c r="L203" s="1"/>
    </row>
    <row r="204" spans="1:12" s="44" customFormat="1" ht="15" hidden="1" customHeight="1">
      <c r="A204" s="279"/>
      <c r="B204" s="103" t="s">
        <v>66</v>
      </c>
      <c r="C204" s="38" t="s">
        <v>17</v>
      </c>
      <c r="D204" s="70" t="s">
        <v>19</v>
      </c>
      <c r="E204" s="102">
        <v>25</v>
      </c>
      <c r="F204" s="37">
        <f>F201*E204</f>
        <v>4509.5</v>
      </c>
      <c r="G204" s="32"/>
      <c r="H204" s="244"/>
      <c r="I204" s="33">
        <v>4.9960000000000004</v>
      </c>
      <c r="J204" s="73">
        <f>F204*I204</f>
        <v>22529.462000000003</v>
      </c>
      <c r="K204" s="263">
        <f t="shared" si="14"/>
        <v>22529.462000000003</v>
      </c>
      <c r="L204" s="1"/>
    </row>
    <row r="205" spans="1:12" s="44" customFormat="1" ht="15" hidden="1" customHeight="1">
      <c r="A205" s="279"/>
      <c r="B205" s="103" t="s">
        <v>67</v>
      </c>
      <c r="C205" s="38" t="s">
        <v>17</v>
      </c>
      <c r="D205" s="70" t="s">
        <v>19</v>
      </c>
      <c r="E205" s="102">
        <v>0.3</v>
      </c>
      <c r="F205" s="37">
        <f>F201*E205</f>
        <v>54.113999999999997</v>
      </c>
      <c r="G205" s="32"/>
      <c r="H205" s="244"/>
      <c r="I205" s="33">
        <v>70.739999999999995</v>
      </c>
      <c r="J205" s="73">
        <f>F205*I205</f>
        <v>3828.0243599999994</v>
      </c>
      <c r="K205" s="263">
        <f t="shared" si="14"/>
        <v>3828.0243599999994</v>
      </c>
      <c r="L205" s="1"/>
    </row>
    <row r="206" spans="1:12" s="44" customFormat="1" ht="15" hidden="1" customHeight="1" thickBot="1">
      <c r="A206" s="279"/>
      <c r="B206" s="103" t="s">
        <v>68</v>
      </c>
      <c r="C206" s="38" t="s">
        <v>17</v>
      </c>
      <c r="D206" s="70" t="s">
        <v>41</v>
      </c>
      <c r="E206" s="102">
        <v>0.1</v>
      </c>
      <c r="F206" s="37">
        <f>F201*E206</f>
        <v>18.038</v>
      </c>
      <c r="G206" s="32"/>
      <c r="H206" s="244"/>
      <c r="I206" s="33">
        <v>19.170000000000002</v>
      </c>
      <c r="J206" s="73">
        <f>F206*I206</f>
        <v>345.78846000000004</v>
      </c>
      <c r="K206" s="263">
        <f t="shared" si="14"/>
        <v>345.78846000000004</v>
      </c>
      <c r="L206" s="1"/>
    </row>
    <row r="207" spans="1:12" s="45" customFormat="1" ht="15" hidden="1" customHeight="1">
      <c r="A207" s="277">
        <f>A201+1</f>
        <v>11</v>
      </c>
      <c r="B207" s="61" t="s">
        <v>69</v>
      </c>
      <c r="C207" s="38" t="s">
        <v>23</v>
      </c>
      <c r="D207" s="38" t="s">
        <v>30</v>
      </c>
      <c r="E207" s="109"/>
      <c r="F207" s="97">
        <f>F201</f>
        <v>180.38</v>
      </c>
      <c r="G207" s="32">
        <v>1000</v>
      </c>
      <c r="H207" s="235">
        <f>F207*G207</f>
        <v>180380</v>
      </c>
      <c r="I207" s="33"/>
      <c r="J207" s="66"/>
      <c r="K207" s="260">
        <f t="shared" si="14"/>
        <v>180380</v>
      </c>
      <c r="L207" s="1"/>
    </row>
    <row r="208" spans="1:12" s="45" customFormat="1" ht="15" hidden="1" customHeight="1">
      <c r="A208" s="279"/>
      <c r="B208" s="105" t="s">
        <v>70</v>
      </c>
      <c r="C208" s="38" t="s">
        <v>23</v>
      </c>
      <c r="D208" s="70" t="s">
        <v>41</v>
      </c>
      <c r="E208" s="109">
        <v>1.1000000000000001</v>
      </c>
      <c r="F208" s="37">
        <f>F207*E208</f>
        <v>198.41800000000001</v>
      </c>
      <c r="G208" s="32"/>
      <c r="H208" s="110"/>
      <c r="I208" s="33">
        <v>874.16317000000004</v>
      </c>
      <c r="J208" s="73">
        <f>F208*I208</f>
        <v>173449.70786506002</v>
      </c>
      <c r="K208" s="263">
        <f t="shared" si="14"/>
        <v>173449.70786506002</v>
      </c>
      <c r="L208" s="1"/>
    </row>
    <row r="209" spans="1:12" s="44" customFormat="1" ht="15" hidden="1" customHeight="1">
      <c r="A209" s="279"/>
      <c r="B209" s="105" t="s">
        <v>34</v>
      </c>
      <c r="C209" s="38" t="s">
        <v>23</v>
      </c>
      <c r="D209" s="70" t="s">
        <v>21</v>
      </c>
      <c r="E209" s="109">
        <v>0.15</v>
      </c>
      <c r="F209" s="37">
        <f>F207*E209</f>
        <v>27.056999999999999</v>
      </c>
      <c r="G209" s="32"/>
      <c r="H209" s="244"/>
      <c r="I209" s="33">
        <v>37.450000000000003</v>
      </c>
      <c r="J209" s="73">
        <f>F209*I209</f>
        <v>1013.2846500000001</v>
      </c>
      <c r="K209" s="263">
        <f t="shared" si="14"/>
        <v>1013.2846500000001</v>
      </c>
      <c r="L209" s="1"/>
    </row>
    <row r="210" spans="1:12" s="44" customFormat="1" ht="15" hidden="1" customHeight="1">
      <c r="A210" s="279"/>
      <c r="B210" s="105" t="s">
        <v>71</v>
      </c>
      <c r="C210" s="38" t="s">
        <v>23</v>
      </c>
      <c r="D210" s="70" t="s">
        <v>19</v>
      </c>
      <c r="E210" s="109">
        <v>7.6</v>
      </c>
      <c r="F210" s="37">
        <f>F207*E210</f>
        <v>1370.8879999999999</v>
      </c>
      <c r="G210" s="32"/>
      <c r="H210" s="244"/>
      <c r="I210" s="33">
        <v>7.6</v>
      </c>
      <c r="J210" s="73">
        <f>F210*I210</f>
        <v>10418.748799999999</v>
      </c>
      <c r="K210" s="263">
        <f t="shared" si="14"/>
        <v>10418.748799999999</v>
      </c>
      <c r="L210" s="1"/>
    </row>
    <row r="211" spans="1:12" s="45" customFormat="1" ht="15" hidden="1" customHeight="1">
      <c r="A211" s="279"/>
      <c r="B211" s="105" t="s">
        <v>72</v>
      </c>
      <c r="C211" s="38" t="s">
        <v>23</v>
      </c>
      <c r="D211" s="70" t="s">
        <v>56</v>
      </c>
      <c r="E211" s="109">
        <v>11</v>
      </c>
      <c r="F211" s="37">
        <f>F207*E211</f>
        <v>1984.1799999999998</v>
      </c>
      <c r="G211" s="32"/>
      <c r="H211" s="110"/>
      <c r="I211" s="33">
        <v>1.3007599999999999</v>
      </c>
      <c r="J211" s="73">
        <f>F211*I211</f>
        <v>2580.9419767999998</v>
      </c>
      <c r="K211" s="263">
        <f t="shared" si="14"/>
        <v>2580.9419767999998</v>
      </c>
      <c r="L211" s="1"/>
    </row>
    <row r="212" spans="1:12" s="44" customFormat="1" ht="15" hidden="1" customHeight="1">
      <c r="A212" s="279"/>
      <c r="B212" s="105" t="s">
        <v>73</v>
      </c>
      <c r="C212" s="38" t="s">
        <v>23</v>
      </c>
      <c r="D212" s="70" t="s">
        <v>19</v>
      </c>
      <c r="E212" s="109">
        <v>0.4</v>
      </c>
      <c r="F212" s="37">
        <f>F207*E212</f>
        <v>72.152000000000001</v>
      </c>
      <c r="G212" s="32"/>
      <c r="H212" s="244"/>
      <c r="I212" s="33">
        <v>123.5</v>
      </c>
      <c r="J212" s="73">
        <f>F212*I212</f>
        <v>8910.7720000000008</v>
      </c>
      <c r="K212" s="263">
        <f t="shared" si="14"/>
        <v>8910.7720000000008</v>
      </c>
      <c r="L212" s="1"/>
    </row>
    <row r="213" spans="1:12" s="45" customFormat="1" ht="15" hidden="1" customHeight="1">
      <c r="A213" s="281"/>
      <c r="B213" s="76"/>
      <c r="C213" s="77"/>
      <c r="D213" s="76"/>
      <c r="E213" s="106"/>
      <c r="F213" s="107"/>
      <c r="G213" s="32"/>
      <c r="H213" s="81"/>
      <c r="I213" s="33"/>
      <c r="J213" s="82"/>
      <c r="K213" s="264"/>
      <c r="L213" s="1"/>
    </row>
    <row r="214" spans="1:12" s="45" customFormat="1" ht="15" hidden="1" customHeight="1">
      <c r="A214" s="282"/>
      <c r="B214" s="53" t="s">
        <v>112</v>
      </c>
      <c r="C214" s="53"/>
      <c r="D214" s="54"/>
      <c r="E214" s="108"/>
      <c r="F214" s="56"/>
      <c r="G214" s="57"/>
      <c r="H214" s="58"/>
      <c r="I214" s="59"/>
      <c r="J214" s="60"/>
      <c r="K214" s="258"/>
      <c r="L214" s="1"/>
    </row>
    <row r="215" spans="1:12" s="45" customFormat="1" ht="15" hidden="1" customHeight="1">
      <c r="A215" s="277">
        <f>A207+1</f>
        <v>12</v>
      </c>
      <c r="B215" s="61" t="s">
        <v>52</v>
      </c>
      <c r="C215" s="38" t="s">
        <v>20</v>
      </c>
      <c r="D215" s="38" t="s">
        <v>30</v>
      </c>
      <c r="E215" s="109"/>
      <c r="F215" s="97">
        <f>87.14+300+330.1</f>
        <v>717.24</v>
      </c>
      <c r="G215" s="32">
        <v>250</v>
      </c>
      <c r="H215" s="235">
        <f>F215*G215</f>
        <v>179310</v>
      </c>
      <c r="I215" s="33"/>
      <c r="J215" s="66"/>
      <c r="K215" s="260">
        <f t="shared" ref="K215:K223" si="15">H215+J215</f>
        <v>179310</v>
      </c>
      <c r="L215" s="1"/>
    </row>
    <row r="216" spans="1:12" s="44" customFormat="1" ht="15" hidden="1" customHeight="1">
      <c r="A216" s="279"/>
      <c r="B216" s="74" t="s">
        <v>53</v>
      </c>
      <c r="C216" s="38" t="s">
        <v>20</v>
      </c>
      <c r="D216" s="70" t="s">
        <v>19</v>
      </c>
      <c r="E216" s="109">
        <v>1.8</v>
      </c>
      <c r="F216" s="68">
        <f>E216*F215</f>
        <v>1291.0320000000002</v>
      </c>
      <c r="G216" s="32"/>
      <c r="H216" s="236"/>
      <c r="I216" s="33">
        <v>8.7200000000000006</v>
      </c>
      <c r="J216" s="73">
        <f>F216*I216</f>
        <v>11257.799040000002</v>
      </c>
      <c r="K216" s="263">
        <f t="shared" si="15"/>
        <v>11257.799040000002</v>
      </c>
      <c r="L216" s="1"/>
    </row>
    <row r="217" spans="1:12" s="44" customFormat="1" ht="15" hidden="1" customHeight="1">
      <c r="A217" s="279"/>
      <c r="B217" s="74" t="s">
        <v>54</v>
      </c>
      <c r="C217" s="38" t="s">
        <v>20</v>
      </c>
      <c r="D217" s="70" t="s">
        <v>19</v>
      </c>
      <c r="E217" s="109">
        <v>1.8</v>
      </c>
      <c r="F217" s="68">
        <f>E217*F215</f>
        <v>1291.0320000000002</v>
      </c>
      <c r="G217" s="32"/>
      <c r="H217" s="236"/>
      <c r="I217" s="33">
        <v>18.690000000000001</v>
      </c>
      <c r="J217" s="73">
        <f>F217*I217</f>
        <v>24129.388080000004</v>
      </c>
      <c r="K217" s="263">
        <f t="shared" si="15"/>
        <v>24129.388080000004</v>
      </c>
      <c r="L217" s="1"/>
    </row>
    <row r="218" spans="1:12" s="44" customFormat="1" ht="15" hidden="1" customHeight="1">
      <c r="A218" s="279"/>
      <c r="B218" s="74" t="s">
        <v>34</v>
      </c>
      <c r="C218" s="38" t="s">
        <v>20</v>
      </c>
      <c r="D218" s="70" t="s">
        <v>21</v>
      </c>
      <c r="E218" s="109">
        <v>0.15</v>
      </c>
      <c r="F218" s="68">
        <f>E218*F215</f>
        <v>107.586</v>
      </c>
      <c r="G218" s="32"/>
      <c r="H218" s="236"/>
      <c r="I218" s="33">
        <v>37.450000000000003</v>
      </c>
      <c r="J218" s="73">
        <f>F218*I218</f>
        <v>4029.0957000000003</v>
      </c>
      <c r="K218" s="263">
        <f t="shared" si="15"/>
        <v>4029.0957000000003</v>
      </c>
      <c r="L218" s="1"/>
    </row>
    <row r="219" spans="1:12" s="44" customFormat="1" ht="15" hidden="1" customHeight="1">
      <c r="A219" s="279"/>
      <c r="B219" s="74" t="s">
        <v>55</v>
      </c>
      <c r="C219" s="38" t="s">
        <v>20</v>
      </c>
      <c r="D219" s="70" t="s">
        <v>56</v>
      </c>
      <c r="E219" s="109">
        <v>0.1</v>
      </c>
      <c r="F219" s="68">
        <f>E219*F215</f>
        <v>71.724000000000004</v>
      </c>
      <c r="G219" s="32"/>
      <c r="H219" s="236"/>
      <c r="I219" s="33">
        <v>19.260000000000002</v>
      </c>
      <c r="J219" s="73">
        <f>F219*I219</f>
        <v>1381.4042400000001</v>
      </c>
      <c r="K219" s="263">
        <f t="shared" si="15"/>
        <v>1381.4042400000001</v>
      </c>
      <c r="L219" s="1"/>
    </row>
    <row r="220" spans="1:12" s="44" customFormat="1" ht="15" hidden="1" customHeight="1">
      <c r="A220" s="279"/>
      <c r="B220" s="74" t="s">
        <v>57</v>
      </c>
      <c r="C220" s="38" t="s">
        <v>20</v>
      </c>
      <c r="D220" s="70" t="s">
        <v>58</v>
      </c>
      <c r="E220" s="109">
        <v>1.1000000000000001</v>
      </c>
      <c r="F220" s="68">
        <f>E220*F215</f>
        <v>788.96400000000006</v>
      </c>
      <c r="G220" s="32"/>
      <c r="H220" s="236"/>
      <c r="I220" s="33">
        <v>3.1240000000000001</v>
      </c>
      <c r="J220" s="73">
        <f>F220*I220</f>
        <v>2464.7235360000004</v>
      </c>
      <c r="K220" s="263">
        <f t="shared" si="15"/>
        <v>2464.7235360000004</v>
      </c>
      <c r="L220" s="1"/>
    </row>
    <row r="221" spans="1:12" s="45" customFormat="1" ht="15" hidden="1" customHeight="1">
      <c r="A221" s="280">
        <f>A215+1</f>
        <v>13</v>
      </c>
      <c r="B221" s="61" t="s">
        <v>59</v>
      </c>
      <c r="C221" s="38" t="s">
        <v>20</v>
      </c>
      <c r="D221" s="38" t="s">
        <v>30</v>
      </c>
      <c r="E221" s="109"/>
      <c r="F221" s="97">
        <f>F215</f>
        <v>717.24</v>
      </c>
      <c r="G221" s="32">
        <v>200</v>
      </c>
      <c r="H221" s="235">
        <f>F221*G221</f>
        <v>143448</v>
      </c>
      <c r="I221" s="33"/>
      <c r="J221" s="66"/>
      <c r="K221" s="260">
        <f t="shared" si="15"/>
        <v>143448</v>
      </c>
      <c r="L221" s="1"/>
    </row>
    <row r="222" spans="1:12" s="44" customFormat="1" ht="25.5" hidden="1" customHeight="1">
      <c r="A222" s="279"/>
      <c r="B222" s="103" t="s">
        <v>60</v>
      </c>
      <c r="C222" s="38" t="s">
        <v>20</v>
      </c>
      <c r="D222" s="70" t="s">
        <v>21</v>
      </c>
      <c r="E222" s="64">
        <v>0.35</v>
      </c>
      <c r="F222" s="68">
        <f>E222*F221</f>
        <v>251.03399999999999</v>
      </c>
      <c r="G222" s="32"/>
      <c r="H222" s="236"/>
      <c r="I222" s="33">
        <v>122.50221999999999</v>
      </c>
      <c r="J222" s="73">
        <f>F222*I222</f>
        <v>30752.222295479998</v>
      </c>
      <c r="K222" s="263">
        <f t="shared" si="15"/>
        <v>30752.222295479998</v>
      </c>
      <c r="L222" s="1"/>
    </row>
    <row r="223" spans="1:12" s="44" customFormat="1" ht="15" hidden="1" customHeight="1" thickBot="1">
      <c r="A223" s="279"/>
      <c r="B223" s="105" t="s">
        <v>34</v>
      </c>
      <c r="C223" s="38" t="s">
        <v>20</v>
      </c>
      <c r="D223" s="70" t="s">
        <v>21</v>
      </c>
      <c r="E223" s="109">
        <v>0.15</v>
      </c>
      <c r="F223" s="68">
        <f>E223*F221</f>
        <v>107.586</v>
      </c>
      <c r="G223" s="32"/>
      <c r="H223" s="236"/>
      <c r="I223" s="33">
        <v>37.450000000000003</v>
      </c>
      <c r="J223" s="73">
        <f>F223*I223</f>
        <v>4029.0957000000003</v>
      </c>
      <c r="K223" s="263">
        <f t="shared" si="15"/>
        <v>4029.0957000000003</v>
      </c>
      <c r="L223" s="1"/>
    </row>
    <row r="224" spans="1:12" s="45" customFormat="1" ht="15" hidden="1" customHeight="1">
      <c r="A224" s="278"/>
      <c r="B224" s="41"/>
      <c r="C224" s="19"/>
      <c r="D224" s="41"/>
      <c r="E224" s="21"/>
      <c r="F224" s="34"/>
      <c r="G224" s="32"/>
      <c r="H224" s="42"/>
      <c r="I224" s="33"/>
      <c r="J224" s="43"/>
      <c r="K224" s="273"/>
      <c r="L224" s="1"/>
    </row>
    <row r="225" spans="1:12" s="45" customFormat="1" ht="15" hidden="1" customHeight="1">
      <c r="A225" s="23"/>
      <c r="B225" s="24" t="s">
        <v>75</v>
      </c>
      <c r="C225" s="25"/>
      <c r="D225" s="26"/>
      <c r="E225" s="27"/>
      <c r="F225" s="28"/>
      <c r="G225" s="29"/>
      <c r="H225" s="29" t="str">
        <f>IF(ISBLANK(G225),"",G225*F225)</f>
        <v/>
      </c>
      <c r="I225" s="36"/>
      <c r="J225" s="30" t="str">
        <f>IF(ISBLANK(I225),"",I225*F225)</f>
        <v/>
      </c>
      <c r="K225" s="31"/>
      <c r="L225" s="1"/>
    </row>
    <row r="226" spans="1:12" s="45" customFormat="1" ht="15" hidden="1" customHeight="1">
      <c r="A226" s="282"/>
      <c r="B226" s="53" t="s">
        <v>113</v>
      </c>
      <c r="C226" s="291"/>
      <c r="D226" s="292"/>
      <c r="E226" s="293"/>
      <c r="F226" s="292"/>
      <c r="G226" s="57"/>
      <c r="H226" s="292"/>
      <c r="I226" s="59"/>
      <c r="J226" s="294"/>
      <c r="K226" s="295"/>
      <c r="L226" s="1"/>
    </row>
    <row r="227" spans="1:12" s="140" customFormat="1" ht="15" hidden="1" customHeight="1">
      <c r="A227" s="296" t="s">
        <v>184</v>
      </c>
      <c r="B227" s="61" t="s">
        <v>77</v>
      </c>
      <c r="C227" s="38" t="s">
        <v>23</v>
      </c>
      <c r="D227" s="38" t="s">
        <v>30</v>
      </c>
      <c r="E227" s="64"/>
      <c r="F227" s="97">
        <v>122.15</v>
      </c>
      <c r="G227" s="32">
        <v>670</v>
      </c>
      <c r="H227" s="235">
        <f>F227*G227</f>
        <v>81840.5</v>
      </c>
      <c r="I227" s="33"/>
      <c r="J227" s="66"/>
      <c r="K227" s="260">
        <f t="shared" ref="K227:K241" si="16">H227+J227</f>
        <v>81840.5</v>
      </c>
      <c r="L227" s="138"/>
    </row>
    <row r="228" spans="1:12" s="140" customFormat="1" ht="15" hidden="1" customHeight="1">
      <c r="A228" s="287"/>
      <c r="B228" s="105" t="s">
        <v>24</v>
      </c>
      <c r="C228" s="38" t="s">
        <v>23</v>
      </c>
      <c r="D228" s="70" t="s">
        <v>41</v>
      </c>
      <c r="E228" s="64">
        <v>1.1000000000000001</v>
      </c>
      <c r="F228" s="37">
        <v>79.860000000000014</v>
      </c>
      <c r="G228" s="32"/>
      <c r="H228" s="110"/>
      <c r="I228" s="33">
        <v>401.24249999999995</v>
      </c>
      <c r="J228" s="73">
        <f t="shared" ref="J228:J233" si="17">F228*I228</f>
        <v>32043.226050000001</v>
      </c>
      <c r="K228" s="263">
        <f t="shared" si="16"/>
        <v>32043.226050000001</v>
      </c>
      <c r="L228" s="138"/>
    </row>
    <row r="229" spans="1:12" s="140" customFormat="1" ht="15" hidden="1" customHeight="1">
      <c r="A229" s="287"/>
      <c r="B229" s="105" t="s">
        <v>70</v>
      </c>
      <c r="C229" s="38" t="s">
        <v>23</v>
      </c>
      <c r="D229" s="70" t="s">
        <v>41</v>
      </c>
      <c r="E229" s="109">
        <v>1.1000000000000001</v>
      </c>
      <c r="F229" s="37">
        <v>54.505000000000003</v>
      </c>
      <c r="G229" s="32"/>
      <c r="H229" s="110"/>
      <c r="I229" s="33">
        <v>874.16317000000004</v>
      </c>
      <c r="J229" s="73">
        <f t="shared" si="17"/>
        <v>47646.263580850005</v>
      </c>
      <c r="K229" s="263">
        <f t="shared" si="16"/>
        <v>47646.263580850005</v>
      </c>
      <c r="L229" s="138"/>
    </row>
    <row r="230" spans="1:12" s="44" customFormat="1" ht="15" hidden="1" customHeight="1">
      <c r="A230" s="287"/>
      <c r="B230" s="105" t="s">
        <v>34</v>
      </c>
      <c r="C230" s="38" t="s">
        <v>23</v>
      </c>
      <c r="D230" s="70" t="s">
        <v>21</v>
      </c>
      <c r="E230" s="64">
        <v>0.15</v>
      </c>
      <c r="F230" s="37">
        <v>18.322500000000002</v>
      </c>
      <c r="G230" s="32"/>
      <c r="H230" s="244"/>
      <c r="I230" s="33">
        <v>37.450000000000003</v>
      </c>
      <c r="J230" s="73">
        <f t="shared" si="17"/>
        <v>686.17762500000015</v>
      </c>
      <c r="K230" s="263">
        <f t="shared" si="16"/>
        <v>686.17762500000015</v>
      </c>
      <c r="L230" s="1"/>
    </row>
    <row r="231" spans="1:12" s="44" customFormat="1" ht="15" hidden="1" customHeight="1">
      <c r="A231" s="284"/>
      <c r="B231" s="105" t="s">
        <v>71</v>
      </c>
      <c r="C231" s="38" t="s">
        <v>23</v>
      </c>
      <c r="D231" s="70" t="s">
        <v>19</v>
      </c>
      <c r="E231" s="64">
        <v>7.6</v>
      </c>
      <c r="F231" s="37">
        <v>928.34</v>
      </c>
      <c r="G231" s="32"/>
      <c r="H231" s="244"/>
      <c r="I231" s="33">
        <v>7.6</v>
      </c>
      <c r="J231" s="73">
        <f t="shared" si="17"/>
        <v>7055.384</v>
      </c>
      <c r="K231" s="263">
        <f t="shared" si="16"/>
        <v>7055.384</v>
      </c>
      <c r="L231" s="1"/>
    </row>
    <row r="232" spans="1:12" s="45" customFormat="1" ht="15" hidden="1" customHeight="1">
      <c r="A232" s="284"/>
      <c r="B232" s="105" t="s">
        <v>72</v>
      </c>
      <c r="C232" s="38" t="s">
        <v>23</v>
      </c>
      <c r="D232" s="70" t="s">
        <v>56</v>
      </c>
      <c r="E232" s="64">
        <v>11</v>
      </c>
      <c r="F232" s="37">
        <v>1343.65</v>
      </c>
      <c r="G232" s="32"/>
      <c r="H232" s="110"/>
      <c r="I232" s="33">
        <v>1.3007599999999999</v>
      </c>
      <c r="J232" s="73">
        <f t="shared" si="17"/>
        <v>1747.7661740000001</v>
      </c>
      <c r="K232" s="263">
        <f t="shared" si="16"/>
        <v>1747.7661740000001</v>
      </c>
      <c r="L232" s="1"/>
    </row>
    <row r="233" spans="1:12" s="44" customFormat="1" ht="15" hidden="1" customHeight="1">
      <c r="A233" s="284"/>
      <c r="B233" s="105" t="s">
        <v>73</v>
      </c>
      <c r="C233" s="38" t="s">
        <v>23</v>
      </c>
      <c r="D233" s="70" t="s">
        <v>19</v>
      </c>
      <c r="E233" s="64">
        <v>0.4</v>
      </c>
      <c r="F233" s="37">
        <v>48.860000000000007</v>
      </c>
      <c r="G233" s="32"/>
      <c r="H233" s="244"/>
      <c r="I233" s="33">
        <v>123.5</v>
      </c>
      <c r="J233" s="73">
        <f t="shared" si="17"/>
        <v>6034.2100000000009</v>
      </c>
      <c r="K233" s="263">
        <f t="shared" si="16"/>
        <v>6034.2100000000009</v>
      </c>
      <c r="L233" s="1"/>
    </row>
    <row r="234" spans="1:12" s="45" customFormat="1" ht="25.5" customHeight="1">
      <c r="A234" s="288">
        <f>A227+1</f>
        <v>15</v>
      </c>
      <c r="B234" s="61" t="s">
        <v>79</v>
      </c>
      <c r="C234" s="38" t="s">
        <v>29</v>
      </c>
      <c r="D234" s="38" t="s">
        <v>30</v>
      </c>
      <c r="E234" s="64"/>
      <c r="F234" s="97">
        <v>122.15</v>
      </c>
      <c r="G234" s="32">
        <v>250</v>
      </c>
      <c r="H234" s="235">
        <f>F234*G234</f>
        <v>30537.5</v>
      </c>
      <c r="I234" s="33"/>
      <c r="J234" s="66"/>
      <c r="K234" s="260">
        <f t="shared" si="16"/>
        <v>30537.5</v>
      </c>
      <c r="L234" s="1"/>
    </row>
    <row r="235" spans="1:12" s="44" customFormat="1" ht="15" customHeight="1">
      <c r="A235" s="284"/>
      <c r="B235" s="105" t="s">
        <v>80</v>
      </c>
      <c r="C235" s="38" t="s">
        <v>29</v>
      </c>
      <c r="D235" s="70" t="s">
        <v>81</v>
      </c>
      <c r="E235" s="64">
        <f>499*0.085*1.02/1000</f>
        <v>4.3263300000000011E-2</v>
      </c>
      <c r="F235" s="37">
        <f>F234*E235</f>
        <v>5.2846120950000017</v>
      </c>
      <c r="G235" s="32"/>
      <c r="H235" s="244"/>
      <c r="I235" s="33"/>
      <c r="J235" s="73">
        <f t="shared" ref="J235:J241" si="18">F235*I235</f>
        <v>0</v>
      </c>
      <c r="K235" s="263">
        <f t="shared" si="16"/>
        <v>0</v>
      </c>
      <c r="L235" s="1"/>
    </row>
    <row r="236" spans="1:12" s="44" customFormat="1" ht="15" customHeight="1">
      <c r="A236" s="284"/>
      <c r="B236" s="105" t="s">
        <v>82</v>
      </c>
      <c r="C236" s="38" t="s">
        <v>29</v>
      </c>
      <c r="D236" s="70" t="s">
        <v>81</v>
      </c>
      <c r="E236" s="64">
        <f>1792*0.8*0.085*1.02/1000</f>
        <v>0.12429312000000003</v>
      </c>
      <c r="F236" s="37">
        <f>F234*E236</f>
        <v>15.182404608000004</v>
      </c>
      <c r="G236" s="32"/>
      <c r="H236" s="244"/>
      <c r="I236" s="33"/>
      <c r="J236" s="73">
        <f t="shared" si="18"/>
        <v>0</v>
      </c>
      <c r="K236" s="263">
        <f t="shared" si="16"/>
        <v>0</v>
      </c>
      <c r="L236" s="1"/>
    </row>
    <row r="237" spans="1:12" s="45" customFormat="1" ht="15" customHeight="1">
      <c r="A237" s="284"/>
      <c r="B237" s="105" t="s">
        <v>83</v>
      </c>
      <c r="C237" s="38" t="s">
        <v>29</v>
      </c>
      <c r="D237" s="70" t="s">
        <v>81</v>
      </c>
      <c r="E237" s="64">
        <f>1792*0.2*0.85*1.02/1000</f>
        <v>0.31073280000000003</v>
      </c>
      <c r="F237" s="37">
        <f>F234*E237</f>
        <v>37.956011520000004</v>
      </c>
      <c r="G237" s="32"/>
      <c r="H237" s="110"/>
      <c r="I237" s="33"/>
      <c r="J237" s="73">
        <f t="shared" si="18"/>
        <v>0</v>
      </c>
      <c r="K237" s="263">
        <f t="shared" si="16"/>
        <v>0</v>
      </c>
      <c r="L237" s="1"/>
    </row>
    <row r="238" spans="1:12" s="45" customFormat="1" ht="15" customHeight="1">
      <c r="A238" s="284"/>
      <c r="B238" s="105" t="s">
        <v>84</v>
      </c>
      <c r="C238" s="38" t="s">
        <v>29</v>
      </c>
      <c r="D238" s="70" t="s">
        <v>41</v>
      </c>
      <c r="E238" s="64">
        <v>1.1000000000000001</v>
      </c>
      <c r="F238" s="37">
        <f>F234*E238</f>
        <v>134.36500000000001</v>
      </c>
      <c r="G238" s="32"/>
      <c r="H238" s="110"/>
      <c r="I238" s="33"/>
      <c r="J238" s="73">
        <f t="shared" si="18"/>
        <v>0</v>
      </c>
      <c r="K238" s="263">
        <f t="shared" si="16"/>
        <v>0</v>
      </c>
      <c r="L238" s="1"/>
    </row>
    <row r="239" spans="1:12" s="44" customFormat="1" ht="15" customHeight="1">
      <c r="A239" s="284"/>
      <c r="B239" s="105" t="s">
        <v>85</v>
      </c>
      <c r="C239" s="38" t="s">
        <v>29</v>
      </c>
      <c r="D239" s="70" t="s">
        <v>81</v>
      </c>
      <c r="E239" s="64">
        <f>0.21/1000</f>
        <v>2.0999999999999998E-4</v>
      </c>
      <c r="F239" s="37">
        <f>F234*E239</f>
        <v>2.5651499999999997E-2</v>
      </c>
      <c r="G239" s="32"/>
      <c r="H239" s="244"/>
      <c r="I239" s="33"/>
      <c r="J239" s="73">
        <f t="shared" si="18"/>
        <v>0</v>
      </c>
      <c r="K239" s="263">
        <f t="shared" si="16"/>
        <v>0</v>
      </c>
      <c r="L239" s="1"/>
    </row>
    <row r="240" spans="1:12" s="45" customFormat="1" ht="15" customHeight="1">
      <c r="A240" s="284"/>
      <c r="B240" s="105" t="s">
        <v>86</v>
      </c>
      <c r="C240" s="38" t="s">
        <v>29</v>
      </c>
      <c r="D240" s="70" t="s">
        <v>56</v>
      </c>
      <c r="E240" s="64">
        <v>4</v>
      </c>
      <c r="F240" s="37">
        <f>F234*E240</f>
        <v>488.6</v>
      </c>
      <c r="G240" s="32"/>
      <c r="H240" s="110"/>
      <c r="I240" s="33"/>
      <c r="J240" s="73">
        <f t="shared" si="18"/>
        <v>0</v>
      </c>
      <c r="K240" s="263">
        <f t="shared" si="16"/>
        <v>0</v>
      </c>
      <c r="L240" s="1"/>
    </row>
    <row r="241" spans="1:12" s="35" customFormat="1" ht="15" customHeight="1">
      <c r="A241" s="284"/>
      <c r="B241" s="105" t="s">
        <v>87</v>
      </c>
      <c r="C241" s="38" t="s">
        <v>29</v>
      </c>
      <c r="D241" s="70" t="s">
        <v>58</v>
      </c>
      <c r="E241" s="64"/>
      <c r="F241" s="37">
        <f>F234</f>
        <v>122.15</v>
      </c>
      <c r="G241" s="32"/>
      <c r="H241" s="244"/>
      <c r="I241" s="33"/>
      <c r="J241" s="73">
        <f t="shared" si="18"/>
        <v>0</v>
      </c>
      <c r="K241" s="263">
        <f t="shared" si="16"/>
        <v>0</v>
      </c>
      <c r="L241" s="1"/>
    </row>
    <row r="242" spans="1:12" ht="15" hidden="1" customHeight="1">
      <c r="A242" s="284"/>
      <c r="B242" s="105"/>
      <c r="C242" s="75"/>
      <c r="D242" s="70"/>
      <c r="E242" s="64"/>
      <c r="F242" s="37"/>
      <c r="G242" s="32"/>
      <c r="H242" s="110"/>
      <c r="I242" s="33"/>
      <c r="J242" s="73"/>
      <c r="K242" s="263"/>
    </row>
    <row r="243" spans="1:12" ht="15" hidden="1" customHeight="1">
      <c r="A243" s="282"/>
      <c r="B243" s="53" t="s">
        <v>114</v>
      </c>
      <c r="C243" s="291"/>
      <c r="D243" s="292"/>
      <c r="E243" s="293"/>
      <c r="F243" s="292"/>
      <c r="G243" s="57"/>
      <c r="H243" s="292"/>
      <c r="I243" s="59"/>
      <c r="J243" s="294"/>
      <c r="K243" s="295"/>
    </row>
    <row r="244" spans="1:12" ht="15" hidden="1" customHeight="1">
      <c r="A244" s="288">
        <f>A234+1</f>
        <v>16</v>
      </c>
      <c r="B244" s="61" t="s">
        <v>77</v>
      </c>
      <c r="C244" s="38" t="s">
        <v>23</v>
      </c>
      <c r="D244" s="38" t="s">
        <v>30</v>
      </c>
      <c r="E244" s="109"/>
      <c r="F244" s="97">
        <v>75.489999999999995</v>
      </c>
      <c r="G244" s="32">
        <v>670</v>
      </c>
      <c r="H244" s="235">
        <f>F244*G244</f>
        <v>50578.299999999996</v>
      </c>
      <c r="I244" s="33"/>
      <c r="J244" s="66"/>
      <c r="K244" s="260">
        <f t="shared" ref="K244:K260" si="19">H244+J244</f>
        <v>50578.299999999996</v>
      </c>
    </row>
    <row r="245" spans="1:12" ht="15" hidden="1" customHeight="1">
      <c r="A245" s="284"/>
      <c r="B245" s="105" t="s">
        <v>24</v>
      </c>
      <c r="C245" s="38" t="s">
        <v>23</v>
      </c>
      <c r="D245" s="70" t="s">
        <v>41</v>
      </c>
      <c r="E245" s="109">
        <v>1.1000000000000001</v>
      </c>
      <c r="F245" s="37">
        <f>F244*E245</f>
        <v>83.039000000000001</v>
      </c>
      <c r="G245" s="32"/>
      <c r="H245" s="110"/>
      <c r="I245" s="33">
        <v>401.24249999999995</v>
      </c>
      <c r="J245" s="73">
        <f>F245*I245</f>
        <v>33318.775957499995</v>
      </c>
      <c r="K245" s="263">
        <f t="shared" si="19"/>
        <v>33318.775957499995</v>
      </c>
    </row>
    <row r="246" spans="1:12" s="35" customFormat="1" ht="15" hidden="1" customHeight="1">
      <c r="A246" s="284"/>
      <c r="B246" s="105" t="s">
        <v>34</v>
      </c>
      <c r="C246" s="38" t="s">
        <v>23</v>
      </c>
      <c r="D246" s="70" t="s">
        <v>21</v>
      </c>
      <c r="E246" s="109">
        <v>0.2</v>
      </c>
      <c r="F246" s="37">
        <f>F244*E246</f>
        <v>15.097999999999999</v>
      </c>
      <c r="G246" s="32"/>
      <c r="H246" s="244"/>
      <c r="I246" s="33">
        <v>37.450000000000003</v>
      </c>
      <c r="J246" s="73">
        <f>F246*I246</f>
        <v>565.42010000000005</v>
      </c>
      <c r="K246" s="263">
        <f t="shared" si="19"/>
        <v>565.42010000000005</v>
      </c>
      <c r="L246" s="1"/>
    </row>
    <row r="247" spans="1:12" s="35" customFormat="1" ht="15" hidden="1" customHeight="1">
      <c r="A247" s="284"/>
      <c r="B247" s="105" t="s">
        <v>71</v>
      </c>
      <c r="C247" s="38" t="s">
        <v>23</v>
      </c>
      <c r="D247" s="70" t="s">
        <v>19</v>
      </c>
      <c r="E247" s="109">
        <v>7.6</v>
      </c>
      <c r="F247" s="37">
        <f>F244*E247</f>
        <v>573.72399999999993</v>
      </c>
      <c r="G247" s="32"/>
      <c r="H247" s="244"/>
      <c r="I247" s="33">
        <v>7.6</v>
      </c>
      <c r="J247" s="73">
        <f>F247*I247</f>
        <v>4360.3023999999996</v>
      </c>
      <c r="K247" s="263">
        <f t="shared" si="19"/>
        <v>4360.3023999999996</v>
      </c>
      <c r="L247" s="1"/>
    </row>
    <row r="248" spans="1:12" ht="15" hidden="1" customHeight="1">
      <c r="A248" s="284"/>
      <c r="B248" s="105" t="s">
        <v>72</v>
      </c>
      <c r="C248" s="38" t="s">
        <v>23</v>
      </c>
      <c r="D248" s="70" t="s">
        <v>56</v>
      </c>
      <c r="E248" s="109">
        <v>11</v>
      </c>
      <c r="F248" s="37">
        <f>F244*E248</f>
        <v>830.39</v>
      </c>
      <c r="G248" s="32"/>
      <c r="H248" s="110"/>
      <c r="I248" s="33">
        <v>1.3007599999999999</v>
      </c>
      <c r="J248" s="73">
        <f>F248*I248</f>
        <v>1080.1380964</v>
      </c>
      <c r="K248" s="263">
        <f t="shared" si="19"/>
        <v>1080.1380964</v>
      </c>
    </row>
    <row r="249" spans="1:12" s="35" customFormat="1" ht="15" hidden="1" customHeight="1">
      <c r="A249" s="284"/>
      <c r="B249" s="105" t="s">
        <v>73</v>
      </c>
      <c r="C249" s="38" t="s">
        <v>23</v>
      </c>
      <c r="D249" s="70" t="s">
        <v>19</v>
      </c>
      <c r="E249" s="109">
        <v>0.4</v>
      </c>
      <c r="F249" s="37">
        <f>F244*E249</f>
        <v>30.195999999999998</v>
      </c>
      <c r="G249" s="32"/>
      <c r="H249" s="244"/>
      <c r="I249" s="33">
        <v>123.5</v>
      </c>
      <c r="J249" s="73">
        <f>F249*I249</f>
        <v>3729.2059999999997</v>
      </c>
      <c r="K249" s="263">
        <f t="shared" si="19"/>
        <v>3729.2059999999997</v>
      </c>
      <c r="L249" s="1"/>
    </row>
    <row r="250" spans="1:12" ht="25.5" customHeight="1">
      <c r="A250" s="288">
        <f>A244+1</f>
        <v>17</v>
      </c>
      <c r="B250" s="61" t="s">
        <v>115</v>
      </c>
      <c r="C250" s="38" t="s">
        <v>29</v>
      </c>
      <c r="D250" s="38" t="s">
        <v>30</v>
      </c>
      <c r="E250" s="109"/>
      <c r="F250" s="97">
        <f>F244</f>
        <v>75.489999999999995</v>
      </c>
      <c r="G250" s="32">
        <v>250</v>
      </c>
      <c r="H250" s="235">
        <f>F250*G250</f>
        <v>18872.5</v>
      </c>
      <c r="I250" s="33"/>
      <c r="J250" s="66"/>
      <c r="K250" s="260">
        <f t="shared" si="19"/>
        <v>18872.5</v>
      </c>
    </row>
    <row r="251" spans="1:12" s="35" customFormat="1" ht="15" customHeight="1">
      <c r="A251" s="284"/>
      <c r="B251" s="105" t="s">
        <v>80</v>
      </c>
      <c r="C251" s="38" t="s">
        <v>29</v>
      </c>
      <c r="D251" s="70" t="s">
        <v>81</v>
      </c>
      <c r="E251" s="109">
        <f>(499*0.075*1.02)/1000</f>
        <v>3.8173499999999999E-2</v>
      </c>
      <c r="F251" s="37">
        <f>F250*E251</f>
        <v>2.8817175149999996</v>
      </c>
      <c r="G251" s="32"/>
      <c r="H251" s="244"/>
      <c r="I251" s="33"/>
      <c r="J251" s="73">
        <f t="shared" ref="J251:J257" si="20">F251*I251</f>
        <v>0</v>
      </c>
      <c r="K251" s="263">
        <f t="shared" si="19"/>
        <v>0</v>
      </c>
      <c r="L251" s="1"/>
    </row>
    <row r="252" spans="1:12" s="35" customFormat="1" ht="15" customHeight="1">
      <c r="A252" s="284"/>
      <c r="B252" s="105" t="s">
        <v>82</v>
      </c>
      <c r="C252" s="38" t="s">
        <v>29</v>
      </c>
      <c r="D252" s="70" t="s">
        <v>81</v>
      </c>
      <c r="E252" s="109">
        <f>(1792*0.8*0.075*1.02)/1000</f>
        <v>0.10967040000000002</v>
      </c>
      <c r="F252" s="37">
        <f>F250*E252</f>
        <v>8.2790184960000008</v>
      </c>
      <c r="G252" s="32"/>
      <c r="H252" s="244"/>
      <c r="I252" s="33"/>
      <c r="J252" s="73">
        <f t="shared" si="20"/>
        <v>0</v>
      </c>
      <c r="K252" s="263">
        <f t="shared" si="19"/>
        <v>0</v>
      </c>
      <c r="L252" s="1"/>
    </row>
    <row r="253" spans="1:12" ht="15" customHeight="1">
      <c r="A253" s="297"/>
      <c r="B253" s="105" t="s">
        <v>83</v>
      </c>
      <c r="C253" s="38" t="s">
        <v>29</v>
      </c>
      <c r="D253" s="70" t="s">
        <v>81</v>
      </c>
      <c r="E253" s="109">
        <f>(1792*0.2*0.075*1.02)/1000</f>
        <v>2.7417600000000004E-2</v>
      </c>
      <c r="F253" s="37">
        <f>F250*E253</f>
        <v>2.0697546240000002</v>
      </c>
      <c r="G253" s="32"/>
      <c r="H253" s="110"/>
      <c r="I253" s="33"/>
      <c r="J253" s="73">
        <f t="shared" si="20"/>
        <v>0</v>
      </c>
      <c r="K253" s="263">
        <f t="shared" si="19"/>
        <v>0</v>
      </c>
    </row>
    <row r="254" spans="1:12" ht="15" customHeight="1">
      <c r="A254" s="284"/>
      <c r="B254" s="105" t="s">
        <v>84</v>
      </c>
      <c r="C254" s="38" t="s">
        <v>29</v>
      </c>
      <c r="D254" s="70" t="s">
        <v>41</v>
      </c>
      <c r="E254" s="109">
        <v>1.1000000000000001</v>
      </c>
      <c r="F254" s="37">
        <f>F250*E254</f>
        <v>83.039000000000001</v>
      </c>
      <c r="G254" s="32"/>
      <c r="H254" s="110"/>
      <c r="I254" s="33"/>
      <c r="J254" s="73">
        <f t="shared" si="20"/>
        <v>0</v>
      </c>
      <c r="K254" s="263">
        <f t="shared" si="19"/>
        <v>0</v>
      </c>
    </row>
    <row r="255" spans="1:12" s="35" customFormat="1" ht="15" customHeight="1">
      <c r="A255" s="284"/>
      <c r="B255" s="105" t="s">
        <v>85</v>
      </c>
      <c r="C255" s="38" t="s">
        <v>29</v>
      </c>
      <c r="D255" s="70" t="s">
        <v>81</v>
      </c>
      <c r="E255" s="109">
        <f>0.21/1000</f>
        <v>2.0999999999999998E-4</v>
      </c>
      <c r="F255" s="37">
        <f>F250*E255</f>
        <v>1.5852899999999996E-2</v>
      </c>
      <c r="G255" s="32"/>
      <c r="H255" s="244"/>
      <c r="I255" s="33"/>
      <c r="J255" s="73">
        <f t="shared" si="20"/>
        <v>0</v>
      </c>
      <c r="K255" s="263">
        <f t="shared" si="19"/>
        <v>0</v>
      </c>
      <c r="L255" s="1"/>
    </row>
    <row r="256" spans="1:12" ht="15" customHeight="1">
      <c r="A256" s="284"/>
      <c r="B256" s="105" t="s">
        <v>86</v>
      </c>
      <c r="C256" s="38" t="s">
        <v>29</v>
      </c>
      <c r="D256" s="70" t="s">
        <v>56</v>
      </c>
      <c r="E256" s="109">
        <v>4</v>
      </c>
      <c r="F256" s="37">
        <f>F250*E256</f>
        <v>301.95999999999998</v>
      </c>
      <c r="G256" s="32"/>
      <c r="H256" s="110"/>
      <c r="I256" s="33"/>
      <c r="J256" s="73">
        <f t="shared" si="20"/>
        <v>0</v>
      </c>
      <c r="K256" s="263">
        <f t="shared" si="19"/>
        <v>0</v>
      </c>
    </row>
    <row r="257" spans="1:12" s="44" customFormat="1" ht="15" customHeight="1">
      <c r="A257" s="284"/>
      <c r="B257" s="105" t="s">
        <v>87</v>
      </c>
      <c r="C257" s="38" t="s">
        <v>29</v>
      </c>
      <c r="D257" s="70" t="s">
        <v>58</v>
      </c>
      <c r="E257" s="109"/>
      <c r="F257" s="37">
        <f>F250</f>
        <v>75.489999999999995</v>
      </c>
      <c r="G257" s="32"/>
      <c r="H257" s="244"/>
      <c r="I257" s="33"/>
      <c r="J257" s="73">
        <f t="shared" si="20"/>
        <v>0</v>
      </c>
      <c r="K257" s="263">
        <f t="shared" si="19"/>
        <v>0</v>
      </c>
      <c r="L257" s="1"/>
    </row>
    <row r="258" spans="1:12" s="45" customFormat="1" ht="25.5" customHeight="1">
      <c r="A258" s="288">
        <f>A250+1</f>
        <v>18</v>
      </c>
      <c r="B258" s="61" t="s">
        <v>98</v>
      </c>
      <c r="C258" s="38" t="s">
        <v>29</v>
      </c>
      <c r="D258" s="38" t="s">
        <v>30</v>
      </c>
      <c r="E258" s="109"/>
      <c r="F258" s="97">
        <f>F244</f>
        <v>75.489999999999995</v>
      </c>
      <c r="G258" s="32">
        <v>120</v>
      </c>
      <c r="H258" s="235">
        <f>F258*G258</f>
        <v>9058.7999999999993</v>
      </c>
      <c r="I258" s="33"/>
      <c r="J258" s="66"/>
      <c r="K258" s="260">
        <f t="shared" si="19"/>
        <v>9058.7999999999993</v>
      </c>
      <c r="L258" s="1"/>
    </row>
    <row r="259" spans="1:12" s="44" customFormat="1" ht="15" customHeight="1">
      <c r="A259" s="284"/>
      <c r="B259" s="105" t="s">
        <v>99</v>
      </c>
      <c r="C259" s="38" t="s">
        <v>29</v>
      </c>
      <c r="D259" s="70" t="s">
        <v>41</v>
      </c>
      <c r="E259" s="109">
        <v>1.1499999999999999</v>
      </c>
      <c r="F259" s="37">
        <f>F258*E259</f>
        <v>86.813499999999991</v>
      </c>
      <c r="G259" s="32"/>
      <c r="H259" s="244"/>
      <c r="I259" s="33"/>
      <c r="J259" s="73">
        <f>F259*I259</f>
        <v>0</v>
      </c>
      <c r="K259" s="263">
        <f t="shared" si="19"/>
        <v>0</v>
      </c>
      <c r="L259" s="1"/>
    </row>
    <row r="260" spans="1:12" s="45" customFormat="1" ht="15" customHeight="1">
      <c r="A260" s="284"/>
      <c r="B260" s="105" t="s">
        <v>100</v>
      </c>
      <c r="C260" s="38" t="s">
        <v>29</v>
      </c>
      <c r="D260" s="70" t="s">
        <v>58</v>
      </c>
      <c r="E260" s="109"/>
      <c r="F260" s="37">
        <f>F258</f>
        <v>75.489999999999995</v>
      </c>
      <c r="G260" s="32"/>
      <c r="H260" s="110"/>
      <c r="I260" s="33"/>
      <c r="J260" s="73">
        <f>F260*I260</f>
        <v>0</v>
      </c>
      <c r="K260" s="263">
        <f t="shared" si="19"/>
        <v>0</v>
      </c>
      <c r="L260" s="1"/>
    </row>
    <row r="261" spans="1:12" s="45" customFormat="1" ht="15" hidden="1" customHeight="1">
      <c r="A261" s="284"/>
      <c r="B261" s="105"/>
      <c r="C261" s="75"/>
      <c r="D261" s="70"/>
      <c r="E261" s="64"/>
      <c r="F261" s="37"/>
      <c r="G261" s="32"/>
      <c r="H261" s="110"/>
      <c r="I261" s="33"/>
      <c r="J261" s="73"/>
      <c r="K261" s="263"/>
      <c r="L261" s="1"/>
    </row>
    <row r="262" spans="1:12" s="45" customFormat="1" ht="15" hidden="1" customHeight="1">
      <c r="A262" s="282"/>
      <c r="B262" s="120" t="s">
        <v>116</v>
      </c>
      <c r="C262" s="291"/>
      <c r="D262" s="292"/>
      <c r="E262" s="293"/>
      <c r="F262" s="292"/>
      <c r="G262" s="57"/>
      <c r="H262" s="292"/>
      <c r="I262" s="59"/>
      <c r="J262" s="294"/>
      <c r="K262" s="295"/>
      <c r="L262" s="1"/>
    </row>
    <row r="263" spans="1:12" s="45" customFormat="1" ht="15" hidden="1" customHeight="1">
      <c r="A263" s="288">
        <f>A258+1</f>
        <v>19</v>
      </c>
      <c r="B263" s="61" t="s">
        <v>77</v>
      </c>
      <c r="C263" s="38" t="s">
        <v>23</v>
      </c>
      <c r="D263" s="38" t="s">
        <v>30</v>
      </c>
      <c r="E263" s="109"/>
      <c r="F263" s="97">
        <v>50.1</v>
      </c>
      <c r="G263" s="32">
        <v>670</v>
      </c>
      <c r="H263" s="235">
        <f>F263*G263</f>
        <v>33567</v>
      </c>
      <c r="I263" s="33"/>
      <c r="J263" s="66"/>
      <c r="K263" s="260">
        <f t="shared" ref="K263:K283" si="21">H263+J263</f>
        <v>33567</v>
      </c>
      <c r="L263" s="1"/>
    </row>
    <row r="264" spans="1:12" s="45" customFormat="1" ht="15" hidden="1" customHeight="1">
      <c r="A264" s="284"/>
      <c r="B264" s="105" t="s">
        <v>24</v>
      </c>
      <c r="C264" s="38" t="s">
        <v>23</v>
      </c>
      <c r="D264" s="70" t="s">
        <v>41</v>
      </c>
      <c r="E264" s="109">
        <v>1.1000000000000001</v>
      </c>
      <c r="F264" s="37">
        <f>F263*E264</f>
        <v>55.110000000000007</v>
      </c>
      <c r="G264" s="32"/>
      <c r="H264" s="110"/>
      <c r="I264" s="33">
        <v>401.24249999999995</v>
      </c>
      <c r="J264" s="73">
        <f>F264*I264</f>
        <v>22112.474174999999</v>
      </c>
      <c r="K264" s="263">
        <f t="shared" si="21"/>
        <v>22112.474174999999</v>
      </c>
      <c r="L264" s="1"/>
    </row>
    <row r="265" spans="1:12" s="44" customFormat="1" ht="15" hidden="1" customHeight="1">
      <c r="A265" s="284"/>
      <c r="B265" s="105" t="s">
        <v>34</v>
      </c>
      <c r="C265" s="38" t="s">
        <v>23</v>
      </c>
      <c r="D265" s="70" t="s">
        <v>21</v>
      </c>
      <c r="E265" s="109">
        <v>0.2</v>
      </c>
      <c r="F265" s="37">
        <f>F263*E265</f>
        <v>10.020000000000001</v>
      </c>
      <c r="G265" s="32"/>
      <c r="H265" s="244"/>
      <c r="I265" s="33">
        <v>37.450000000000003</v>
      </c>
      <c r="J265" s="73">
        <f>F265*I265</f>
        <v>375.24900000000008</v>
      </c>
      <c r="K265" s="263">
        <f t="shared" si="21"/>
        <v>375.24900000000008</v>
      </c>
      <c r="L265" s="1"/>
    </row>
    <row r="266" spans="1:12" s="44" customFormat="1" ht="15" hidden="1" customHeight="1">
      <c r="A266" s="284"/>
      <c r="B266" s="105" t="s">
        <v>71</v>
      </c>
      <c r="C266" s="38" t="s">
        <v>23</v>
      </c>
      <c r="D266" s="70" t="s">
        <v>19</v>
      </c>
      <c r="E266" s="109">
        <v>7.6</v>
      </c>
      <c r="F266" s="37">
        <f>F263*E266</f>
        <v>380.76</v>
      </c>
      <c r="G266" s="32"/>
      <c r="H266" s="244"/>
      <c r="I266" s="33">
        <v>7.6</v>
      </c>
      <c r="J266" s="73">
        <f>F266*I266</f>
        <v>2893.7759999999998</v>
      </c>
      <c r="K266" s="263">
        <f t="shared" si="21"/>
        <v>2893.7759999999998</v>
      </c>
      <c r="L266" s="1"/>
    </row>
    <row r="267" spans="1:12" s="45" customFormat="1" ht="15" hidden="1" customHeight="1">
      <c r="A267" s="284"/>
      <c r="B267" s="105" t="s">
        <v>72</v>
      </c>
      <c r="C267" s="38" t="s">
        <v>23</v>
      </c>
      <c r="D267" s="70" t="s">
        <v>56</v>
      </c>
      <c r="E267" s="109">
        <v>11</v>
      </c>
      <c r="F267" s="37">
        <f>F263*E267</f>
        <v>551.1</v>
      </c>
      <c r="G267" s="32"/>
      <c r="H267" s="110"/>
      <c r="I267" s="33">
        <v>1.3007599999999999</v>
      </c>
      <c r="J267" s="73">
        <f>F267*I267</f>
        <v>716.84883600000001</v>
      </c>
      <c r="K267" s="263">
        <f t="shared" si="21"/>
        <v>716.84883600000001</v>
      </c>
      <c r="L267" s="1"/>
    </row>
    <row r="268" spans="1:12" s="44" customFormat="1" ht="15" hidden="1" customHeight="1">
      <c r="A268" s="284"/>
      <c r="B268" s="105" t="s">
        <v>73</v>
      </c>
      <c r="C268" s="38" t="s">
        <v>23</v>
      </c>
      <c r="D268" s="70" t="s">
        <v>19</v>
      </c>
      <c r="E268" s="109">
        <v>0.4</v>
      </c>
      <c r="F268" s="37">
        <f>F263*E268</f>
        <v>20.040000000000003</v>
      </c>
      <c r="G268" s="32"/>
      <c r="H268" s="244"/>
      <c r="I268" s="33">
        <v>123.5</v>
      </c>
      <c r="J268" s="73">
        <f>F268*I268</f>
        <v>2474.9400000000005</v>
      </c>
      <c r="K268" s="263">
        <f t="shared" si="21"/>
        <v>2474.9400000000005</v>
      </c>
      <c r="L268" s="1"/>
    </row>
    <row r="269" spans="1:12" s="45" customFormat="1" ht="15" customHeight="1">
      <c r="A269" s="288">
        <f>A263+1</f>
        <v>20</v>
      </c>
      <c r="B269" s="61" t="s">
        <v>89</v>
      </c>
      <c r="C269" s="38" t="s">
        <v>29</v>
      </c>
      <c r="D269" s="38" t="s">
        <v>30</v>
      </c>
      <c r="E269" s="109"/>
      <c r="F269" s="97">
        <f>F263</f>
        <v>50.1</v>
      </c>
      <c r="G269" s="32">
        <v>100</v>
      </c>
      <c r="H269" s="235">
        <f>F269*G269</f>
        <v>5010</v>
      </c>
      <c r="I269" s="33"/>
      <c r="J269" s="66"/>
      <c r="K269" s="260">
        <f t="shared" si="21"/>
        <v>5010</v>
      </c>
      <c r="L269" s="1"/>
    </row>
    <row r="270" spans="1:12" s="44" customFormat="1" ht="15" customHeight="1">
      <c r="A270" s="284"/>
      <c r="B270" s="105" t="s">
        <v>34</v>
      </c>
      <c r="C270" s="38" t="s">
        <v>29</v>
      </c>
      <c r="D270" s="70" t="s">
        <v>21</v>
      </c>
      <c r="E270" s="109">
        <v>0.2</v>
      </c>
      <c r="F270" s="37">
        <f>F269*E270</f>
        <v>10.020000000000001</v>
      </c>
      <c r="G270" s="32"/>
      <c r="H270" s="244"/>
      <c r="I270" s="33"/>
      <c r="J270" s="73">
        <f>F270*I270</f>
        <v>0</v>
      </c>
      <c r="K270" s="263">
        <f t="shared" si="21"/>
        <v>0</v>
      </c>
      <c r="L270" s="1"/>
    </row>
    <row r="271" spans="1:12" s="44" customFormat="1" ht="15" customHeight="1">
      <c r="A271" s="284"/>
      <c r="B271" s="105" t="s">
        <v>90</v>
      </c>
      <c r="C271" s="38" t="s">
        <v>29</v>
      </c>
      <c r="D271" s="70" t="s">
        <v>19</v>
      </c>
      <c r="E271" s="109">
        <v>4.8</v>
      </c>
      <c r="F271" s="37">
        <f>F269*E271</f>
        <v>240.48</v>
      </c>
      <c r="G271" s="32"/>
      <c r="H271" s="244"/>
      <c r="I271" s="33"/>
      <c r="J271" s="73">
        <f>F271*I271</f>
        <v>0</v>
      </c>
      <c r="K271" s="263">
        <f t="shared" si="21"/>
        <v>0</v>
      </c>
      <c r="L271" s="1"/>
    </row>
    <row r="272" spans="1:12" s="45" customFormat="1" ht="25.5" customHeight="1">
      <c r="A272" s="288">
        <f>A269+1</f>
        <v>21</v>
      </c>
      <c r="B272" s="61" t="s">
        <v>185</v>
      </c>
      <c r="C272" s="38" t="s">
        <v>29</v>
      </c>
      <c r="D272" s="38" t="s">
        <v>30</v>
      </c>
      <c r="E272" s="109"/>
      <c r="F272" s="97">
        <f>F263</f>
        <v>50.1</v>
      </c>
      <c r="G272" s="32">
        <v>250</v>
      </c>
      <c r="H272" s="235">
        <f>F272*G272</f>
        <v>12525</v>
      </c>
      <c r="I272" s="33"/>
      <c r="J272" s="66"/>
      <c r="K272" s="260">
        <f t="shared" si="21"/>
        <v>12525</v>
      </c>
      <c r="L272" s="1"/>
    </row>
    <row r="273" spans="1:12" s="44" customFormat="1" ht="15" customHeight="1">
      <c r="A273" s="284"/>
      <c r="B273" s="105" t="s">
        <v>80</v>
      </c>
      <c r="C273" s="38" t="s">
        <v>29</v>
      </c>
      <c r="D273" s="70" t="s">
        <v>81</v>
      </c>
      <c r="E273" s="109">
        <f>(499*0.08*1.02)/1000</f>
        <v>4.0718400000000002E-2</v>
      </c>
      <c r="F273" s="37">
        <f>F272*E273</f>
        <v>2.0399918400000003</v>
      </c>
      <c r="G273" s="32"/>
      <c r="H273" s="244"/>
      <c r="I273" s="33"/>
      <c r="J273" s="73">
        <f t="shared" ref="J273:J279" si="22">F273*I273</f>
        <v>0</v>
      </c>
      <c r="K273" s="263">
        <f t="shared" si="21"/>
        <v>0</v>
      </c>
      <c r="L273" s="1"/>
    </row>
    <row r="274" spans="1:12" s="44" customFormat="1" ht="15" customHeight="1">
      <c r="A274" s="284"/>
      <c r="B274" s="105" t="s">
        <v>82</v>
      </c>
      <c r="C274" s="38" t="s">
        <v>29</v>
      </c>
      <c r="D274" s="70" t="s">
        <v>81</v>
      </c>
      <c r="E274" s="109">
        <f>(1792*0.8*0.08*1.02)/1000</f>
        <v>0.11698176000000002</v>
      </c>
      <c r="F274" s="37">
        <f>F272*E274</f>
        <v>5.8607861760000013</v>
      </c>
      <c r="G274" s="32"/>
      <c r="H274" s="244"/>
      <c r="I274" s="33"/>
      <c r="J274" s="73">
        <f t="shared" si="22"/>
        <v>0</v>
      </c>
      <c r="K274" s="263">
        <f t="shared" si="21"/>
        <v>0</v>
      </c>
      <c r="L274" s="1"/>
    </row>
    <row r="275" spans="1:12" s="45" customFormat="1" ht="15" customHeight="1">
      <c r="A275" s="297"/>
      <c r="B275" s="105" t="s">
        <v>83</v>
      </c>
      <c r="C275" s="38" t="s">
        <v>29</v>
      </c>
      <c r="D275" s="70" t="s">
        <v>81</v>
      </c>
      <c r="E275" s="109">
        <f>(1792*0.2*0.08*1.02)/1000</f>
        <v>2.9245440000000004E-2</v>
      </c>
      <c r="F275" s="37">
        <f>F272*E275</f>
        <v>1.4651965440000003</v>
      </c>
      <c r="G275" s="32"/>
      <c r="H275" s="110"/>
      <c r="I275" s="33"/>
      <c r="J275" s="73">
        <f t="shared" si="22"/>
        <v>0</v>
      </c>
      <c r="K275" s="263">
        <f t="shared" si="21"/>
        <v>0</v>
      </c>
      <c r="L275" s="1"/>
    </row>
    <row r="276" spans="1:12" s="45" customFormat="1" ht="15" customHeight="1">
      <c r="A276" s="284"/>
      <c r="B276" s="105" t="s">
        <v>84</v>
      </c>
      <c r="C276" s="38" t="s">
        <v>29</v>
      </c>
      <c r="D276" s="70" t="s">
        <v>41</v>
      </c>
      <c r="E276" s="109">
        <v>1.1000000000000001</v>
      </c>
      <c r="F276" s="37">
        <f>F272*E276</f>
        <v>55.110000000000007</v>
      </c>
      <c r="G276" s="32"/>
      <c r="H276" s="110"/>
      <c r="I276" s="33"/>
      <c r="J276" s="73">
        <f t="shared" si="22"/>
        <v>0</v>
      </c>
      <c r="K276" s="263">
        <f t="shared" si="21"/>
        <v>0</v>
      </c>
      <c r="L276" s="1"/>
    </row>
    <row r="277" spans="1:12" s="44" customFormat="1" ht="15" customHeight="1">
      <c r="A277" s="284"/>
      <c r="B277" s="105" t="s">
        <v>85</v>
      </c>
      <c r="C277" s="38" t="s">
        <v>29</v>
      </c>
      <c r="D277" s="70" t="s">
        <v>81</v>
      </c>
      <c r="E277" s="109">
        <f>0.21/1000</f>
        <v>2.0999999999999998E-4</v>
      </c>
      <c r="F277" s="37">
        <f>F272*E277</f>
        <v>1.0520999999999999E-2</v>
      </c>
      <c r="G277" s="32"/>
      <c r="H277" s="244"/>
      <c r="I277" s="33"/>
      <c r="J277" s="73">
        <f t="shared" si="22"/>
        <v>0</v>
      </c>
      <c r="K277" s="263">
        <f t="shared" si="21"/>
        <v>0</v>
      </c>
      <c r="L277" s="1"/>
    </row>
    <row r="278" spans="1:12" s="45" customFormat="1" ht="15" customHeight="1">
      <c r="A278" s="284"/>
      <c r="B278" s="105" t="s">
        <v>86</v>
      </c>
      <c r="C278" s="38" t="s">
        <v>29</v>
      </c>
      <c r="D278" s="70" t="s">
        <v>56</v>
      </c>
      <c r="E278" s="109">
        <v>4</v>
      </c>
      <c r="F278" s="37">
        <f>F272*E278</f>
        <v>200.4</v>
      </c>
      <c r="G278" s="32"/>
      <c r="H278" s="110"/>
      <c r="I278" s="33"/>
      <c r="J278" s="73">
        <f t="shared" si="22"/>
        <v>0</v>
      </c>
      <c r="K278" s="263">
        <f t="shared" si="21"/>
        <v>0</v>
      </c>
      <c r="L278" s="1"/>
    </row>
    <row r="279" spans="1:12" s="44" customFormat="1" ht="15" customHeight="1">
      <c r="A279" s="284"/>
      <c r="B279" s="105" t="s">
        <v>87</v>
      </c>
      <c r="C279" s="38" t="s">
        <v>29</v>
      </c>
      <c r="D279" s="70" t="s">
        <v>58</v>
      </c>
      <c r="E279" s="109"/>
      <c r="F279" s="37">
        <f>F272</f>
        <v>50.1</v>
      </c>
      <c r="G279" s="32"/>
      <c r="H279" s="244"/>
      <c r="I279" s="33"/>
      <c r="J279" s="73">
        <f t="shared" si="22"/>
        <v>0</v>
      </c>
      <c r="K279" s="263">
        <f t="shared" si="21"/>
        <v>0</v>
      </c>
      <c r="L279" s="1"/>
    </row>
    <row r="280" spans="1:12" s="45" customFormat="1" ht="15" customHeight="1">
      <c r="A280" s="288">
        <f>A272+1</f>
        <v>22</v>
      </c>
      <c r="B280" s="61" t="s">
        <v>101</v>
      </c>
      <c r="C280" s="38" t="s">
        <v>29</v>
      </c>
      <c r="D280" s="38" t="s">
        <v>30</v>
      </c>
      <c r="E280" s="109"/>
      <c r="F280" s="97">
        <f>F263</f>
        <v>50.1</v>
      </c>
      <c r="G280" s="32">
        <v>150</v>
      </c>
      <c r="H280" s="235">
        <f>F280*G280</f>
        <v>7515</v>
      </c>
      <c r="I280" s="33"/>
      <c r="J280" s="66"/>
      <c r="K280" s="260">
        <f t="shared" si="21"/>
        <v>7515</v>
      </c>
      <c r="L280" s="1"/>
    </row>
    <row r="281" spans="1:12" s="45" customFormat="1" ht="15" customHeight="1">
      <c r="A281" s="284"/>
      <c r="B281" s="105" t="s">
        <v>102</v>
      </c>
      <c r="C281" s="38" t="s">
        <v>29</v>
      </c>
      <c r="D281" s="70" t="s">
        <v>41</v>
      </c>
      <c r="E281" s="109">
        <f>1.15</f>
        <v>1.1499999999999999</v>
      </c>
      <c r="F281" s="37">
        <f>F280*E281</f>
        <v>57.614999999999995</v>
      </c>
      <c r="G281" s="32"/>
      <c r="H281" s="110"/>
      <c r="I281" s="33"/>
      <c r="J281" s="73">
        <f>F281*I281</f>
        <v>0</v>
      </c>
      <c r="K281" s="263">
        <f t="shared" si="21"/>
        <v>0</v>
      </c>
      <c r="L281" s="1"/>
    </row>
    <row r="282" spans="1:12" s="44" customFormat="1" ht="15" customHeight="1">
      <c r="A282" s="284"/>
      <c r="B282" s="105" t="s">
        <v>103</v>
      </c>
      <c r="C282" s="38" t="s">
        <v>29</v>
      </c>
      <c r="D282" s="70" t="s">
        <v>19</v>
      </c>
      <c r="E282" s="109">
        <v>0.3</v>
      </c>
      <c r="F282" s="37">
        <f>F280*E282</f>
        <v>15.03</v>
      </c>
      <c r="G282" s="32"/>
      <c r="H282" s="244"/>
      <c r="I282" s="33"/>
      <c r="J282" s="73">
        <f>F282*I282</f>
        <v>0</v>
      </c>
      <c r="K282" s="263">
        <f t="shared" si="21"/>
        <v>0</v>
      </c>
      <c r="L282" s="1"/>
    </row>
    <row r="283" spans="1:12" s="45" customFormat="1" ht="15" customHeight="1">
      <c r="A283" s="288"/>
      <c r="B283" s="105" t="s">
        <v>104</v>
      </c>
      <c r="C283" s="38" t="s">
        <v>29</v>
      </c>
      <c r="D283" s="70" t="s">
        <v>21</v>
      </c>
      <c r="E283" s="64">
        <v>1</v>
      </c>
      <c r="F283" s="37">
        <f>E283*F280</f>
        <v>50.1</v>
      </c>
      <c r="G283" s="32"/>
      <c r="H283" s="110"/>
      <c r="I283" s="33"/>
      <c r="J283" s="73">
        <f>F283*I283</f>
        <v>0</v>
      </c>
      <c r="K283" s="263">
        <f t="shared" si="21"/>
        <v>0</v>
      </c>
      <c r="L283" s="1"/>
    </row>
    <row r="284" spans="1:12" s="45" customFormat="1" ht="15" hidden="1" customHeight="1">
      <c r="A284" s="282"/>
      <c r="B284" s="120" t="s">
        <v>117</v>
      </c>
      <c r="C284" s="291"/>
      <c r="D284" s="292"/>
      <c r="E284" s="293"/>
      <c r="F284" s="292"/>
      <c r="G284" s="57"/>
      <c r="H284" s="292"/>
      <c r="I284" s="59"/>
      <c r="J284" s="294"/>
      <c r="K284" s="295"/>
      <c r="L284" s="1"/>
    </row>
    <row r="285" spans="1:12" s="45" customFormat="1" ht="15" hidden="1" customHeight="1">
      <c r="A285" s="288">
        <f>A280+1</f>
        <v>23</v>
      </c>
      <c r="B285" s="61" t="s">
        <v>77</v>
      </c>
      <c r="C285" s="38" t="s">
        <v>23</v>
      </c>
      <c r="D285" s="38" t="s">
        <v>30</v>
      </c>
      <c r="E285" s="109"/>
      <c r="F285" s="97">
        <v>58.62</v>
      </c>
      <c r="G285" s="32">
        <v>670</v>
      </c>
      <c r="H285" s="235">
        <f>F285*G285</f>
        <v>39275.4</v>
      </c>
      <c r="I285" s="33"/>
      <c r="J285" s="66"/>
      <c r="K285" s="260">
        <f t="shared" ref="K285:K298" si="23">H285+J285</f>
        <v>39275.4</v>
      </c>
      <c r="L285" s="1"/>
    </row>
    <row r="286" spans="1:12" s="45" customFormat="1" ht="15" hidden="1" customHeight="1">
      <c r="A286" s="284"/>
      <c r="B286" s="105" t="s">
        <v>24</v>
      </c>
      <c r="C286" s="38" t="s">
        <v>23</v>
      </c>
      <c r="D286" s="70" t="s">
        <v>41</v>
      </c>
      <c r="E286" s="109">
        <v>1.1000000000000001</v>
      </c>
      <c r="F286" s="37">
        <f>F285*E286</f>
        <v>64.481999999999999</v>
      </c>
      <c r="G286" s="32"/>
      <c r="H286" s="110"/>
      <c r="I286" s="33">
        <v>401.24249999999995</v>
      </c>
      <c r="J286" s="73">
        <f>F286*I286</f>
        <v>25872.918884999995</v>
      </c>
      <c r="K286" s="263">
        <f t="shared" si="23"/>
        <v>25872.918884999995</v>
      </c>
      <c r="L286" s="1"/>
    </row>
    <row r="287" spans="1:12" s="44" customFormat="1" ht="15" hidden="1" customHeight="1">
      <c r="A287" s="284"/>
      <c r="B287" s="105" t="s">
        <v>34</v>
      </c>
      <c r="C287" s="38" t="s">
        <v>23</v>
      </c>
      <c r="D287" s="70" t="s">
        <v>21</v>
      </c>
      <c r="E287" s="109">
        <v>0.2</v>
      </c>
      <c r="F287" s="37">
        <f>F285*E287</f>
        <v>11.724</v>
      </c>
      <c r="G287" s="32"/>
      <c r="H287" s="244"/>
      <c r="I287" s="33">
        <v>37.450000000000003</v>
      </c>
      <c r="J287" s="73">
        <f>F287*I287</f>
        <v>439.06380000000001</v>
      </c>
      <c r="K287" s="263">
        <f t="shared" si="23"/>
        <v>439.06380000000001</v>
      </c>
      <c r="L287" s="1"/>
    </row>
    <row r="288" spans="1:12" s="44" customFormat="1" ht="15" hidden="1" customHeight="1">
      <c r="A288" s="284"/>
      <c r="B288" s="105" t="s">
        <v>71</v>
      </c>
      <c r="C288" s="38" t="s">
        <v>23</v>
      </c>
      <c r="D288" s="70" t="s">
        <v>19</v>
      </c>
      <c r="E288" s="109">
        <v>7.6</v>
      </c>
      <c r="F288" s="37">
        <f>F285*E288</f>
        <v>445.51199999999994</v>
      </c>
      <c r="G288" s="32"/>
      <c r="H288" s="244"/>
      <c r="I288" s="33">
        <v>7.6</v>
      </c>
      <c r="J288" s="73">
        <f>F288*I288</f>
        <v>3385.8911999999996</v>
      </c>
      <c r="K288" s="263">
        <f t="shared" si="23"/>
        <v>3385.8911999999996</v>
      </c>
      <c r="L288" s="1"/>
    </row>
    <row r="289" spans="1:12" s="45" customFormat="1" ht="15" hidden="1" customHeight="1">
      <c r="A289" s="284"/>
      <c r="B289" s="105" t="s">
        <v>72</v>
      </c>
      <c r="C289" s="38" t="s">
        <v>23</v>
      </c>
      <c r="D289" s="70" t="s">
        <v>56</v>
      </c>
      <c r="E289" s="109">
        <v>11</v>
      </c>
      <c r="F289" s="37">
        <f>F285*E289</f>
        <v>644.81999999999994</v>
      </c>
      <c r="G289" s="32"/>
      <c r="H289" s="110"/>
      <c r="I289" s="33">
        <v>1.3007599999999999</v>
      </c>
      <c r="J289" s="73">
        <f>F289*I289</f>
        <v>838.75606319999986</v>
      </c>
      <c r="K289" s="263">
        <f t="shared" si="23"/>
        <v>838.75606319999986</v>
      </c>
      <c r="L289" s="1"/>
    </row>
    <row r="290" spans="1:12" s="44" customFormat="1" ht="15" hidden="1" customHeight="1">
      <c r="A290" s="284"/>
      <c r="B290" s="105" t="s">
        <v>73</v>
      </c>
      <c r="C290" s="38" t="s">
        <v>23</v>
      </c>
      <c r="D290" s="70" t="s">
        <v>19</v>
      </c>
      <c r="E290" s="109">
        <v>0.4</v>
      </c>
      <c r="F290" s="37">
        <f>F285*E290</f>
        <v>23.448</v>
      </c>
      <c r="G290" s="32"/>
      <c r="H290" s="244"/>
      <c r="I290" s="33">
        <v>123.5</v>
      </c>
      <c r="J290" s="73">
        <f>F290*I290</f>
        <v>2895.828</v>
      </c>
      <c r="K290" s="263">
        <f t="shared" si="23"/>
        <v>2895.828</v>
      </c>
      <c r="L290" s="1"/>
    </row>
    <row r="291" spans="1:12" s="45" customFormat="1" ht="25.5" customHeight="1">
      <c r="A291" s="288">
        <f>A285+1</f>
        <v>24</v>
      </c>
      <c r="B291" s="61" t="s">
        <v>186</v>
      </c>
      <c r="C291" s="38" t="s">
        <v>29</v>
      </c>
      <c r="D291" s="38" t="s">
        <v>30</v>
      </c>
      <c r="E291" s="109"/>
      <c r="F291" s="97">
        <f>F285</f>
        <v>58.62</v>
      </c>
      <c r="G291" s="32">
        <v>250</v>
      </c>
      <c r="H291" s="235">
        <f>F291*G291</f>
        <v>14655</v>
      </c>
      <c r="I291" s="33"/>
      <c r="J291" s="66"/>
      <c r="K291" s="260">
        <f t="shared" si="23"/>
        <v>14655</v>
      </c>
      <c r="L291" s="1"/>
    </row>
    <row r="292" spans="1:12" s="44" customFormat="1" ht="15" customHeight="1">
      <c r="A292" s="284"/>
      <c r="B292" s="105" t="s">
        <v>80</v>
      </c>
      <c r="C292" s="38" t="s">
        <v>29</v>
      </c>
      <c r="D292" s="70" t="s">
        <v>81</v>
      </c>
      <c r="E292" s="109">
        <f>(499*0.1*1.02)/1000</f>
        <v>5.0898000000000006E-2</v>
      </c>
      <c r="F292" s="37">
        <f>F291*E292</f>
        <v>2.9836407600000001</v>
      </c>
      <c r="G292" s="32"/>
      <c r="H292" s="244"/>
      <c r="I292" s="33"/>
      <c r="J292" s="73">
        <f t="shared" ref="J292:J298" si="24">F292*I292</f>
        <v>0</v>
      </c>
      <c r="K292" s="263">
        <f t="shared" si="23"/>
        <v>0</v>
      </c>
      <c r="L292" s="1"/>
    </row>
    <row r="293" spans="1:12" s="44" customFormat="1" ht="15" customHeight="1">
      <c r="A293" s="284"/>
      <c r="B293" s="105" t="s">
        <v>82</v>
      </c>
      <c r="C293" s="38" t="s">
        <v>29</v>
      </c>
      <c r="D293" s="70" t="s">
        <v>81</v>
      </c>
      <c r="E293" s="109">
        <f>(1792*0.8*0.1*1.02)/1000</f>
        <v>0.1462272</v>
      </c>
      <c r="F293" s="37">
        <f>F291*E293</f>
        <v>8.5718384639999989</v>
      </c>
      <c r="G293" s="32"/>
      <c r="H293" s="244"/>
      <c r="I293" s="33"/>
      <c r="J293" s="73">
        <f t="shared" si="24"/>
        <v>0</v>
      </c>
      <c r="K293" s="263">
        <f t="shared" si="23"/>
        <v>0</v>
      </c>
      <c r="L293" s="1"/>
    </row>
    <row r="294" spans="1:12" s="45" customFormat="1" ht="15" customHeight="1">
      <c r="A294" s="297"/>
      <c r="B294" s="105" t="s">
        <v>83</v>
      </c>
      <c r="C294" s="38" t="s">
        <v>29</v>
      </c>
      <c r="D294" s="70" t="s">
        <v>81</v>
      </c>
      <c r="E294" s="109">
        <f>(1792*0.2*0.1*1.02)/1000</f>
        <v>3.65568E-2</v>
      </c>
      <c r="F294" s="37">
        <f>F291*E294</f>
        <v>2.1429596159999997</v>
      </c>
      <c r="G294" s="32"/>
      <c r="H294" s="110"/>
      <c r="I294" s="33"/>
      <c r="J294" s="73">
        <f t="shared" si="24"/>
        <v>0</v>
      </c>
      <c r="K294" s="263">
        <f t="shared" si="23"/>
        <v>0</v>
      </c>
      <c r="L294" s="1"/>
    </row>
    <row r="295" spans="1:12" s="45" customFormat="1" ht="15" customHeight="1">
      <c r="A295" s="284"/>
      <c r="B295" s="105" t="s">
        <v>84</v>
      </c>
      <c r="C295" s="38" t="s">
        <v>29</v>
      </c>
      <c r="D295" s="70" t="s">
        <v>41</v>
      </c>
      <c r="E295" s="109">
        <v>1.1000000000000001</v>
      </c>
      <c r="F295" s="37">
        <f>F291*E295</f>
        <v>64.481999999999999</v>
      </c>
      <c r="G295" s="32"/>
      <c r="H295" s="110"/>
      <c r="I295" s="33"/>
      <c r="J295" s="73">
        <f t="shared" si="24"/>
        <v>0</v>
      </c>
      <c r="K295" s="263">
        <f t="shared" si="23"/>
        <v>0</v>
      </c>
      <c r="L295" s="1"/>
    </row>
    <row r="296" spans="1:12" s="44" customFormat="1" ht="15" customHeight="1">
      <c r="A296" s="284"/>
      <c r="B296" s="105" t="s">
        <v>85</v>
      </c>
      <c r="C296" s="38" t="s">
        <v>29</v>
      </c>
      <c r="D296" s="70" t="s">
        <v>81</v>
      </c>
      <c r="E296" s="109">
        <f>0.21/1000</f>
        <v>2.0999999999999998E-4</v>
      </c>
      <c r="F296" s="37">
        <f>F291*E296</f>
        <v>1.2310199999999999E-2</v>
      </c>
      <c r="G296" s="32"/>
      <c r="H296" s="244"/>
      <c r="I296" s="33"/>
      <c r="J296" s="73">
        <f t="shared" si="24"/>
        <v>0</v>
      </c>
      <c r="K296" s="263">
        <f t="shared" si="23"/>
        <v>0</v>
      </c>
      <c r="L296" s="1"/>
    </row>
    <row r="297" spans="1:12" s="45" customFormat="1" ht="15" customHeight="1">
      <c r="A297" s="284"/>
      <c r="B297" s="105" t="s">
        <v>86</v>
      </c>
      <c r="C297" s="38" t="s">
        <v>29</v>
      </c>
      <c r="D297" s="70" t="s">
        <v>56</v>
      </c>
      <c r="E297" s="109">
        <v>4</v>
      </c>
      <c r="F297" s="37">
        <f>F291*E297</f>
        <v>234.48</v>
      </c>
      <c r="G297" s="32"/>
      <c r="H297" s="110"/>
      <c r="I297" s="33"/>
      <c r="J297" s="73">
        <f t="shared" si="24"/>
        <v>0</v>
      </c>
      <c r="K297" s="263">
        <f t="shared" si="23"/>
        <v>0</v>
      </c>
      <c r="L297" s="1"/>
    </row>
    <row r="298" spans="1:12" s="44" customFormat="1" ht="15" customHeight="1">
      <c r="A298" s="284"/>
      <c r="B298" s="105" t="s">
        <v>87</v>
      </c>
      <c r="C298" s="38" t="s">
        <v>29</v>
      </c>
      <c r="D298" s="70" t="s">
        <v>58</v>
      </c>
      <c r="E298" s="109"/>
      <c r="F298" s="37">
        <f>F291</f>
        <v>58.62</v>
      </c>
      <c r="G298" s="32"/>
      <c r="H298" s="244"/>
      <c r="I298" s="33"/>
      <c r="J298" s="73">
        <f t="shared" si="24"/>
        <v>0</v>
      </c>
      <c r="K298" s="263">
        <f t="shared" si="23"/>
        <v>0</v>
      </c>
      <c r="L298" s="1"/>
    </row>
    <row r="299" spans="1:12" s="45" customFormat="1" ht="15" hidden="1" customHeight="1">
      <c r="A299" s="284"/>
      <c r="B299" s="105"/>
      <c r="C299" s="75"/>
      <c r="D299" s="70"/>
      <c r="E299" s="109"/>
      <c r="F299" s="37"/>
      <c r="G299" s="32"/>
      <c r="H299" s="110"/>
      <c r="I299" s="33"/>
      <c r="J299" s="73"/>
      <c r="K299" s="263"/>
      <c r="L299" s="1"/>
    </row>
    <row r="300" spans="1:12" s="45" customFormat="1" ht="15" hidden="1" customHeight="1">
      <c r="A300" s="282"/>
      <c r="B300" s="120" t="s">
        <v>118</v>
      </c>
      <c r="C300" s="291"/>
      <c r="D300" s="292"/>
      <c r="E300" s="293"/>
      <c r="F300" s="292"/>
      <c r="G300" s="57"/>
      <c r="H300" s="292"/>
      <c r="I300" s="59"/>
      <c r="J300" s="294"/>
      <c r="K300" s="295"/>
      <c r="L300" s="1"/>
    </row>
    <row r="301" spans="1:12" s="45" customFormat="1" ht="15" hidden="1" customHeight="1">
      <c r="A301" s="288">
        <f>A291+1</f>
        <v>25</v>
      </c>
      <c r="B301" s="61" t="s">
        <v>77</v>
      </c>
      <c r="C301" s="38" t="s">
        <v>23</v>
      </c>
      <c r="D301" s="38" t="s">
        <v>30</v>
      </c>
      <c r="E301" s="109"/>
      <c r="F301" s="97">
        <v>77.849999999999994</v>
      </c>
      <c r="G301" s="32">
        <v>670</v>
      </c>
      <c r="H301" s="235">
        <f>F301*G301</f>
        <v>52159.499999999993</v>
      </c>
      <c r="I301" s="33"/>
      <c r="J301" s="66"/>
      <c r="K301" s="260">
        <f t="shared" ref="K301:K322" si="25">H301+J301</f>
        <v>52159.499999999993</v>
      </c>
      <c r="L301" s="1"/>
    </row>
    <row r="302" spans="1:12" s="45" customFormat="1" ht="15" hidden="1" customHeight="1">
      <c r="A302" s="284"/>
      <c r="B302" s="105" t="s">
        <v>24</v>
      </c>
      <c r="C302" s="38" t="s">
        <v>23</v>
      </c>
      <c r="D302" s="70" t="s">
        <v>41</v>
      </c>
      <c r="E302" s="109">
        <v>1.1000000000000001</v>
      </c>
      <c r="F302" s="37">
        <f>F301*E302</f>
        <v>85.635000000000005</v>
      </c>
      <c r="G302" s="32"/>
      <c r="H302" s="110"/>
      <c r="I302" s="33">
        <v>401.24249999999995</v>
      </c>
      <c r="J302" s="73">
        <f>F302*I302</f>
        <v>34360.401487499999</v>
      </c>
      <c r="K302" s="263">
        <f t="shared" si="25"/>
        <v>34360.401487499999</v>
      </c>
      <c r="L302" s="1"/>
    </row>
    <row r="303" spans="1:12" s="44" customFormat="1" ht="15" hidden="1" customHeight="1">
      <c r="A303" s="284"/>
      <c r="B303" s="105" t="s">
        <v>34</v>
      </c>
      <c r="C303" s="38" t="s">
        <v>23</v>
      </c>
      <c r="D303" s="70" t="s">
        <v>21</v>
      </c>
      <c r="E303" s="109">
        <v>0.2</v>
      </c>
      <c r="F303" s="37">
        <f>F301*E303</f>
        <v>15.57</v>
      </c>
      <c r="G303" s="32"/>
      <c r="H303" s="244"/>
      <c r="I303" s="33">
        <v>37.450000000000003</v>
      </c>
      <c r="J303" s="73">
        <f>F303*I303</f>
        <v>583.09650000000011</v>
      </c>
      <c r="K303" s="263">
        <f t="shared" si="25"/>
        <v>583.09650000000011</v>
      </c>
      <c r="L303" s="1"/>
    </row>
    <row r="304" spans="1:12" s="44" customFormat="1" ht="15" hidden="1" customHeight="1">
      <c r="A304" s="284"/>
      <c r="B304" s="105" t="s">
        <v>71</v>
      </c>
      <c r="C304" s="38" t="s">
        <v>23</v>
      </c>
      <c r="D304" s="70" t="s">
        <v>19</v>
      </c>
      <c r="E304" s="109">
        <v>7.6</v>
      </c>
      <c r="F304" s="37">
        <f>F301*E304</f>
        <v>591.66</v>
      </c>
      <c r="G304" s="32"/>
      <c r="H304" s="244"/>
      <c r="I304" s="33">
        <v>7.6</v>
      </c>
      <c r="J304" s="73">
        <f>F304*I304</f>
        <v>4496.616</v>
      </c>
      <c r="K304" s="263">
        <f t="shared" si="25"/>
        <v>4496.616</v>
      </c>
      <c r="L304" s="1"/>
    </row>
    <row r="305" spans="1:12" s="45" customFormat="1" ht="15" hidden="1" customHeight="1">
      <c r="A305" s="284"/>
      <c r="B305" s="105" t="s">
        <v>72</v>
      </c>
      <c r="C305" s="38" t="s">
        <v>23</v>
      </c>
      <c r="D305" s="70" t="s">
        <v>56</v>
      </c>
      <c r="E305" s="109">
        <v>11</v>
      </c>
      <c r="F305" s="37">
        <f>F301*E305</f>
        <v>856.34999999999991</v>
      </c>
      <c r="G305" s="32"/>
      <c r="H305" s="110"/>
      <c r="I305" s="33">
        <v>1.3007599999999999</v>
      </c>
      <c r="J305" s="73">
        <f>F305*I305</f>
        <v>1113.9058259999997</v>
      </c>
      <c r="K305" s="263">
        <f t="shared" si="25"/>
        <v>1113.9058259999997</v>
      </c>
      <c r="L305" s="1"/>
    </row>
    <row r="306" spans="1:12" s="44" customFormat="1" ht="15" hidden="1" customHeight="1">
      <c r="A306" s="284"/>
      <c r="B306" s="105" t="s">
        <v>73</v>
      </c>
      <c r="C306" s="38" t="s">
        <v>23</v>
      </c>
      <c r="D306" s="70" t="s">
        <v>19</v>
      </c>
      <c r="E306" s="109">
        <v>0.4</v>
      </c>
      <c r="F306" s="37">
        <f>F301*E306</f>
        <v>31.14</v>
      </c>
      <c r="G306" s="32"/>
      <c r="H306" s="244"/>
      <c r="I306" s="33">
        <v>123.5</v>
      </c>
      <c r="J306" s="73">
        <f>F306*I306</f>
        <v>3845.79</v>
      </c>
      <c r="K306" s="263">
        <f t="shared" si="25"/>
        <v>3845.79</v>
      </c>
      <c r="L306" s="1"/>
    </row>
    <row r="307" spans="1:12" s="45" customFormat="1" ht="25.5" customHeight="1">
      <c r="A307" s="288">
        <f>A301+1</f>
        <v>26</v>
      </c>
      <c r="B307" s="61" t="s">
        <v>119</v>
      </c>
      <c r="C307" s="38" t="s">
        <v>29</v>
      </c>
      <c r="D307" s="38" t="s">
        <v>30</v>
      </c>
      <c r="E307" s="109"/>
      <c r="F307" s="97">
        <f>F301</f>
        <v>77.849999999999994</v>
      </c>
      <c r="G307" s="32">
        <v>250</v>
      </c>
      <c r="H307" s="235">
        <f>F307*G307</f>
        <v>19462.5</v>
      </c>
      <c r="I307" s="33"/>
      <c r="J307" s="66"/>
      <c r="K307" s="260">
        <f t="shared" si="25"/>
        <v>19462.5</v>
      </c>
      <c r="L307" s="1"/>
    </row>
    <row r="308" spans="1:12" s="44" customFormat="1" ht="15" customHeight="1">
      <c r="A308" s="284"/>
      <c r="B308" s="105" t="s">
        <v>80</v>
      </c>
      <c r="C308" s="38" t="s">
        <v>29</v>
      </c>
      <c r="D308" s="70" t="s">
        <v>81</v>
      </c>
      <c r="E308" s="109">
        <f>(499*0.075*1.02)/1000</f>
        <v>3.8173499999999999E-2</v>
      </c>
      <c r="F308" s="37">
        <f>F307*E308</f>
        <v>2.9718069749999998</v>
      </c>
      <c r="G308" s="32"/>
      <c r="H308" s="244"/>
      <c r="I308" s="33"/>
      <c r="J308" s="73">
        <f t="shared" ref="J308:J314" si="26">F308*I308</f>
        <v>0</v>
      </c>
      <c r="K308" s="263">
        <f t="shared" si="25"/>
        <v>0</v>
      </c>
      <c r="L308" s="1"/>
    </row>
    <row r="309" spans="1:12" s="44" customFormat="1" ht="15" customHeight="1">
      <c r="A309" s="284"/>
      <c r="B309" s="105" t="s">
        <v>82</v>
      </c>
      <c r="C309" s="38" t="s">
        <v>29</v>
      </c>
      <c r="D309" s="70" t="s">
        <v>81</v>
      </c>
      <c r="E309" s="109">
        <f>(1792*0.8*0.075*1.02)/1000</f>
        <v>0.10967040000000002</v>
      </c>
      <c r="F309" s="37">
        <f>F307*E309</f>
        <v>8.5378406400000006</v>
      </c>
      <c r="G309" s="32"/>
      <c r="H309" s="244"/>
      <c r="I309" s="33"/>
      <c r="J309" s="73">
        <f t="shared" si="26"/>
        <v>0</v>
      </c>
      <c r="K309" s="263">
        <f t="shared" si="25"/>
        <v>0</v>
      </c>
      <c r="L309" s="1"/>
    </row>
    <row r="310" spans="1:12" s="45" customFormat="1" ht="15" customHeight="1">
      <c r="A310" s="284"/>
      <c r="B310" s="105" t="s">
        <v>83</v>
      </c>
      <c r="C310" s="38" t="s">
        <v>29</v>
      </c>
      <c r="D310" s="70" t="s">
        <v>81</v>
      </c>
      <c r="E310" s="109">
        <f>(1792*0.2*0.075*1.02)/1000</f>
        <v>2.7417600000000004E-2</v>
      </c>
      <c r="F310" s="37">
        <f>F307*E310</f>
        <v>2.1344601600000002</v>
      </c>
      <c r="G310" s="32"/>
      <c r="H310" s="110"/>
      <c r="I310" s="33"/>
      <c r="J310" s="73">
        <f t="shared" si="26"/>
        <v>0</v>
      </c>
      <c r="K310" s="263">
        <f t="shared" si="25"/>
        <v>0</v>
      </c>
      <c r="L310" s="1"/>
    </row>
    <row r="311" spans="1:12" s="45" customFormat="1" ht="15" customHeight="1">
      <c r="A311" s="284"/>
      <c r="B311" s="105" t="s">
        <v>84</v>
      </c>
      <c r="C311" s="38" t="s">
        <v>29</v>
      </c>
      <c r="D311" s="70" t="s">
        <v>41</v>
      </c>
      <c r="E311" s="109">
        <v>1.1000000000000001</v>
      </c>
      <c r="F311" s="37">
        <f>F307*E311</f>
        <v>85.635000000000005</v>
      </c>
      <c r="G311" s="32"/>
      <c r="H311" s="110"/>
      <c r="I311" s="33"/>
      <c r="J311" s="73">
        <f t="shared" si="26"/>
        <v>0</v>
      </c>
      <c r="K311" s="263">
        <f t="shared" si="25"/>
        <v>0</v>
      </c>
      <c r="L311" s="1"/>
    </row>
    <row r="312" spans="1:12" s="44" customFormat="1" ht="15" customHeight="1">
      <c r="A312" s="284"/>
      <c r="B312" s="105" t="s">
        <v>85</v>
      </c>
      <c r="C312" s="38" t="s">
        <v>29</v>
      </c>
      <c r="D312" s="70" t="s">
        <v>81</v>
      </c>
      <c r="E312" s="109">
        <f>0.21/1000</f>
        <v>2.0999999999999998E-4</v>
      </c>
      <c r="F312" s="37">
        <f>F307*E312</f>
        <v>1.6348499999999998E-2</v>
      </c>
      <c r="G312" s="32"/>
      <c r="H312" s="244"/>
      <c r="I312" s="33"/>
      <c r="J312" s="73">
        <f t="shared" si="26"/>
        <v>0</v>
      </c>
      <c r="K312" s="263">
        <f t="shared" si="25"/>
        <v>0</v>
      </c>
      <c r="L312" s="1"/>
    </row>
    <row r="313" spans="1:12" s="45" customFormat="1" ht="15" customHeight="1">
      <c r="A313" s="284"/>
      <c r="B313" s="105" t="s">
        <v>86</v>
      </c>
      <c r="C313" s="38" t="s">
        <v>29</v>
      </c>
      <c r="D313" s="70" t="s">
        <v>56</v>
      </c>
      <c r="E313" s="109">
        <v>4</v>
      </c>
      <c r="F313" s="37">
        <f>F307*E313</f>
        <v>311.39999999999998</v>
      </c>
      <c r="G313" s="32"/>
      <c r="H313" s="110"/>
      <c r="I313" s="33"/>
      <c r="J313" s="73">
        <f t="shared" si="26"/>
        <v>0</v>
      </c>
      <c r="K313" s="263">
        <f t="shared" si="25"/>
        <v>0</v>
      </c>
      <c r="L313" s="1"/>
    </row>
    <row r="314" spans="1:12" s="44" customFormat="1" ht="15" customHeight="1">
      <c r="A314" s="284"/>
      <c r="B314" s="105" t="s">
        <v>87</v>
      </c>
      <c r="C314" s="38" t="s">
        <v>29</v>
      </c>
      <c r="D314" s="70" t="s">
        <v>58</v>
      </c>
      <c r="E314" s="109"/>
      <c r="F314" s="37">
        <f>F307</f>
        <v>77.849999999999994</v>
      </c>
      <c r="G314" s="32"/>
      <c r="H314" s="244"/>
      <c r="I314" s="33"/>
      <c r="J314" s="73">
        <f t="shared" si="26"/>
        <v>0</v>
      </c>
      <c r="K314" s="263">
        <f t="shared" si="25"/>
        <v>0</v>
      </c>
      <c r="L314" s="1"/>
    </row>
    <row r="315" spans="1:12" s="45" customFormat="1" ht="25.5" customHeight="1">
      <c r="A315" s="288">
        <f>A307+1</f>
        <v>27</v>
      </c>
      <c r="B315" s="61" t="s">
        <v>98</v>
      </c>
      <c r="C315" s="38" t="s">
        <v>29</v>
      </c>
      <c r="D315" s="38" t="s">
        <v>30</v>
      </c>
      <c r="E315" s="109"/>
      <c r="F315" s="97">
        <f>F301</f>
        <v>77.849999999999994</v>
      </c>
      <c r="G315" s="32">
        <v>120</v>
      </c>
      <c r="H315" s="235">
        <f>F315*G315</f>
        <v>9342</v>
      </c>
      <c r="I315" s="33"/>
      <c r="J315" s="66"/>
      <c r="K315" s="260">
        <f t="shared" si="25"/>
        <v>9342</v>
      </c>
      <c r="L315" s="1"/>
    </row>
    <row r="316" spans="1:12" s="44" customFormat="1" ht="15" customHeight="1">
      <c r="A316" s="284"/>
      <c r="B316" s="105" t="s">
        <v>99</v>
      </c>
      <c r="C316" s="38" t="s">
        <v>29</v>
      </c>
      <c r="D316" s="70" t="s">
        <v>41</v>
      </c>
      <c r="E316" s="109">
        <v>1.1499999999999999</v>
      </c>
      <c r="F316" s="37">
        <f>F315*E316</f>
        <v>89.527499999999989</v>
      </c>
      <c r="G316" s="32"/>
      <c r="H316" s="244"/>
      <c r="I316" s="33"/>
      <c r="J316" s="73">
        <f>F316*I316</f>
        <v>0</v>
      </c>
      <c r="K316" s="263">
        <f t="shared" si="25"/>
        <v>0</v>
      </c>
      <c r="L316" s="1"/>
    </row>
    <row r="317" spans="1:12" s="45" customFormat="1" ht="15" customHeight="1">
      <c r="A317" s="284"/>
      <c r="B317" s="105" t="s">
        <v>100</v>
      </c>
      <c r="C317" s="38" t="s">
        <v>29</v>
      </c>
      <c r="D317" s="70" t="s">
        <v>58</v>
      </c>
      <c r="E317" s="109"/>
      <c r="F317" s="37">
        <f>F315</f>
        <v>77.849999999999994</v>
      </c>
      <c r="G317" s="32"/>
      <c r="H317" s="110"/>
      <c r="I317" s="33"/>
      <c r="J317" s="73">
        <f>F317*I317</f>
        <v>0</v>
      </c>
      <c r="K317" s="263">
        <f t="shared" si="25"/>
        <v>0</v>
      </c>
      <c r="L317" s="1"/>
    </row>
    <row r="318" spans="1:12" s="45" customFormat="1" ht="15" customHeight="1">
      <c r="A318" s="288">
        <f>A315+1</f>
        <v>28</v>
      </c>
      <c r="B318" s="61" t="s">
        <v>91</v>
      </c>
      <c r="C318" s="38" t="s">
        <v>29</v>
      </c>
      <c r="D318" s="38" t="s">
        <v>30</v>
      </c>
      <c r="E318" s="109"/>
      <c r="F318" s="97">
        <f>F301</f>
        <v>77.849999999999994</v>
      </c>
      <c r="G318" s="32">
        <v>50</v>
      </c>
      <c r="H318" s="235">
        <f>F318*G318</f>
        <v>3892.4999999999995</v>
      </c>
      <c r="I318" s="33"/>
      <c r="J318" s="66"/>
      <c r="K318" s="260">
        <f t="shared" si="25"/>
        <v>3892.4999999999995</v>
      </c>
      <c r="L318" s="1"/>
    </row>
    <row r="319" spans="1:12" s="45" customFormat="1" ht="15" customHeight="1">
      <c r="A319" s="284"/>
      <c r="B319" s="105" t="s">
        <v>92</v>
      </c>
      <c r="C319" s="38" t="s">
        <v>29</v>
      </c>
      <c r="D319" s="70" t="s">
        <v>41</v>
      </c>
      <c r="E319" s="109">
        <v>1.1000000000000001</v>
      </c>
      <c r="F319" s="37">
        <f>F318*E319</f>
        <v>85.635000000000005</v>
      </c>
      <c r="G319" s="32"/>
      <c r="H319" s="110"/>
      <c r="I319" s="33"/>
      <c r="J319" s="73">
        <f>F319*I319</f>
        <v>0</v>
      </c>
      <c r="K319" s="263">
        <f t="shared" si="25"/>
        <v>0</v>
      </c>
      <c r="L319" s="1"/>
    </row>
    <row r="320" spans="1:12" s="44" customFormat="1" ht="15" customHeight="1">
      <c r="A320" s="284"/>
      <c r="B320" s="105" t="s">
        <v>93</v>
      </c>
      <c r="C320" s="38" t="s">
        <v>29</v>
      </c>
      <c r="D320" s="70" t="s">
        <v>58</v>
      </c>
      <c r="E320" s="109"/>
      <c r="F320" s="37">
        <f>F318*E320</f>
        <v>0</v>
      </c>
      <c r="G320" s="32"/>
      <c r="H320" s="244"/>
      <c r="I320" s="33"/>
      <c r="J320" s="73">
        <f>F320*I320</f>
        <v>0</v>
      </c>
      <c r="K320" s="263">
        <f t="shared" si="25"/>
        <v>0</v>
      </c>
      <c r="L320" s="1"/>
    </row>
    <row r="321" spans="1:12" s="45" customFormat="1" ht="15" customHeight="1">
      <c r="A321" s="288">
        <f>A318+1</f>
        <v>29</v>
      </c>
      <c r="B321" s="61" t="s">
        <v>120</v>
      </c>
      <c r="C321" s="38" t="s">
        <v>29</v>
      </c>
      <c r="D321" s="38" t="s">
        <v>30</v>
      </c>
      <c r="E321" s="109"/>
      <c r="F321" s="97">
        <f>F301</f>
        <v>77.849999999999994</v>
      </c>
      <c r="G321" s="32">
        <v>350</v>
      </c>
      <c r="H321" s="235">
        <f>F321*G321</f>
        <v>27247.499999999996</v>
      </c>
      <c r="I321" s="33"/>
      <c r="J321" s="66"/>
      <c r="K321" s="260">
        <f t="shared" si="25"/>
        <v>27247.499999999996</v>
      </c>
      <c r="L321" s="1"/>
    </row>
    <row r="322" spans="1:12" s="45" customFormat="1" ht="15" customHeight="1">
      <c r="A322" s="284"/>
      <c r="B322" s="105" t="s">
        <v>95</v>
      </c>
      <c r="C322" s="38" t="s">
        <v>29</v>
      </c>
      <c r="D322" s="70" t="s">
        <v>96</v>
      </c>
      <c r="E322" s="109">
        <f>0.3*1.02</f>
        <v>0.30599999999999999</v>
      </c>
      <c r="F322" s="37">
        <f>F321*E322</f>
        <v>23.822099999999999</v>
      </c>
      <c r="G322" s="32"/>
      <c r="H322" s="110"/>
      <c r="I322" s="33"/>
      <c r="J322" s="73">
        <f>F322*I322</f>
        <v>0</v>
      </c>
      <c r="K322" s="263">
        <f t="shared" si="25"/>
        <v>0</v>
      </c>
      <c r="L322" s="1"/>
    </row>
    <row r="323" spans="1:12" s="45" customFormat="1" ht="15" hidden="1" customHeight="1">
      <c r="A323" s="284"/>
      <c r="B323" s="105"/>
      <c r="C323" s="75"/>
      <c r="D323" s="70"/>
      <c r="E323" s="64"/>
      <c r="F323" s="37"/>
      <c r="G323" s="32"/>
      <c r="H323" s="110"/>
      <c r="I323" s="33"/>
      <c r="J323" s="73"/>
      <c r="K323" s="263"/>
      <c r="L323" s="1"/>
    </row>
    <row r="324" spans="1:12" s="45" customFormat="1" ht="15" hidden="1" customHeight="1">
      <c r="A324" s="282"/>
      <c r="B324" s="120" t="s">
        <v>121</v>
      </c>
      <c r="C324" s="291"/>
      <c r="D324" s="292"/>
      <c r="E324" s="293"/>
      <c r="F324" s="292"/>
      <c r="G324" s="57"/>
      <c r="H324" s="292"/>
      <c r="I324" s="59"/>
      <c r="J324" s="294"/>
      <c r="K324" s="295"/>
      <c r="L324" s="1"/>
    </row>
    <row r="325" spans="1:12" s="45" customFormat="1" ht="15" hidden="1" customHeight="1">
      <c r="A325" s="288">
        <f>A321+1</f>
        <v>30</v>
      </c>
      <c r="B325" s="61" t="s">
        <v>77</v>
      </c>
      <c r="C325" s="38" t="s">
        <v>23</v>
      </c>
      <c r="D325" s="38" t="s">
        <v>30</v>
      </c>
      <c r="E325" s="109"/>
      <c r="F325" s="97">
        <v>120.5</v>
      </c>
      <c r="G325" s="32">
        <v>670</v>
      </c>
      <c r="H325" s="235">
        <f>F325*G325</f>
        <v>80735</v>
      </c>
      <c r="I325" s="33"/>
      <c r="J325" s="66"/>
      <c r="K325" s="260">
        <f t="shared" ref="K325:K356" si="27">H325+J325</f>
        <v>80735</v>
      </c>
      <c r="L325" s="1"/>
    </row>
    <row r="326" spans="1:12" s="45" customFormat="1" ht="15" hidden="1" customHeight="1">
      <c r="A326" s="284"/>
      <c r="B326" s="105" t="s">
        <v>24</v>
      </c>
      <c r="C326" s="38" t="s">
        <v>23</v>
      </c>
      <c r="D326" s="70" t="s">
        <v>41</v>
      </c>
      <c r="E326" s="109">
        <v>1.1000000000000001</v>
      </c>
      <c r="F326" s="37">
        <f>F325*E326</f>
        <v>132.55000000000001</v>
      </c>
      <c r="G326" s="32"/>
      <c r="H326" s="110"/>
      <c r="I326" s="33">
        <v>401.24249999999995</v>
      </c>
      <c r="J326" s="73">
        <f>F326*I326</f>
        <v>53184.693374999995</v>
      </c>
      <c r="K326" s="263">
        <f t="shared" si="27"/>
        <v>53184.693374999995</v>
      </c>
      <c r="L326" s="1"/>
    </row>
    <row r="327" spans="1:12" s="44" customFormat="1" ht="15" hidden="1" customHeight="1">
      <c r="A327" s="284"/>
      <c r="B327" s="105" t="s">
        <v>34</v>
      </c>
      <c r="C327" s="38" t="s">
        <v>23</v>
      </c>
      <c r="D327" s="70" t="s">
        <v>21</v>
      </c>
      <c r="E327" s="109">
        <v>0.2</v>
      </c>
      <c r="F327" s="37">
        <f>F325*E327</f>
        <v>24.1</v>
      </c>
      <c r="G327" s="32"/>
      <c r="H327" s="244"/>
      <c r="I327" s="33">
        <v>37.450000000000003</v>
      </c>
      <c r="J327" s="73">
        <f>F327*I327</f>
        <v>902.54500000000007</v>
      </c>
      <c r="K327" s="263">
        <f t="shared" si="27"/>
        <v>902.54500000000007</v>
      </c>
      <c r="L327" s="1"/>
    </row>
    <row r="328" spans="1:12" s="44" customFormat="1" ht="15" hidden="1" customHeight="1">
      <c r="A328" s="284"/>
      <c r="B328" s="105" t="s">
        <v>71</v>
      </c>
      <c r="C328" s="38" t="s">
        <v>23</v>
      </c>
      <c r="D328" s="70" t="s">
        <v>19</v>
      </c>
      <c r="E328" s="109">
        <v>7.6</v>
      </c>
      <c r="F328" s="37">
        <f>F325*E328</f>
        <v>915.8</v>
      </c>
      <c r="G328" s="32"/>
      <c r="H328" s="244"/>
      <c r="I328" s="33">
        <v>7.6</v>
      </c>
      <c r="J328" s="73">
        <f>F328*I328</f>
        <v>6960.079999999999</v>
      </c>
      <c r="K328" s="263">
        <f t="shared" si="27"/>
        <v>6960.079999999999</v>
      </c>
      <c r="L328" s="1"/>
    </row>
    <row r="329" spans="1:12" s="45" customFormat="1" ht="15" hidden="1" customHeight="1">
      <c r="A329" s="284"/>
      <c r="B329" s="105" t="s">
        <v>72</v>
      </c>
      <c r="C329" s="38" t="s">
        <v>23</v>
      </c>
      <c r="D329" s="70" t="s">
        <v>56</v>
      </c>
      <c r="E329" s="109">
        <v>11</v>
      </c>
      <c r="F329" s="37">
        <f>F325*E329</f>
        <v>1325.5</v>
      </c>
      <c r="G329" s="32"/>
      <c r="H329" s="110"/>
      <c r="I329" s="33">
        <v>1.3007599999999999</v>
      </c>
      <c r="J329" s="73">
        <f>F329*I329</f>
        <v>1724.1573799999999</v>
      </c>
      <c r="K329" s="263">
        <f t="shared" si="27"/>
        <v>1724.1573799999999</v>
      </c>
      <c r="L329" s="1"/>
    </row>
    <row r="330" spans="1:12" s="44" customFormat="1" ht="15" hidden="1" customHeight="1">
      <c r="A330" s="284"/>
      <c r="B330" s="105" t="s">
        <v>73</v>
      </c>
      <c r="C330" s="38" t="s">
        <v>23</v>
      </c>
      <c r="D330" s="70" t="s">
        <v>19</v>
      </c>
      <c r="E330" s="109">
        <v>0.4</v>
      </c>
      <c r="F330" s="37">
        <f>F325*E330</f>
        <v>48.2</v>
      </c>
      <c r="G330" s="32"/>
      <c r="H330" s="244"/>
      <c r="I330" s="33">
        <v>123.5</v>
      </c>
      <c r="J330" s="73">
        <f>F330*I330</f>
        <v>5952.7000000000007</v>
      </c>
      <c r="K330" s="263">
        <f t="shared" si="27"/>
        <v>5952.7000000000007</v>
      </c>
      <c r="L330" s="1"/>
    </row>
    <row r="331" spans="1:12" s="45" customFormat="1" ht="15" customHeight="1">
      <c r="A331" s="288">
        <f>A325+1</f>
        <v>31</v>
      </c>
      <c r="B331" s="61" t="s">
        <v>89</v>
      </c>
      <c r="C331" s="38" t="s">
        <v>29</v>
      </c>
      <c r="D331" s="38" t="s">
        <v>30</v>
      </c>
      <c r="E331" s="109"/>
      <c r="F331" s="97">
        <f>F325</f>
        <v>120.5</v>
      </c>
      <c r="G331" s="32">
        <v>100</v>
      </c>
      <c r="H331" s="235">
        <f>F331*G331</f>
        <v>12050</v>
      </c>
      <c r="I331" s="33"/>
      <c r="J331" s="66"/>
      <c r="K331" s="260">
        <f t="shared" si="27"/>
        <v>12050</v>
      </c>
      <c r="L331" s="1"/>
    </row>
    <row r="332" spans="1:12" s="44" customFormat="1" ht="15" customHeight="1">
      <c r="A332" s="284"/>
      <c r="B332" s="105" t="s">
        <v>34</v>
      </c>
      <c r="C332" s="38" t="s">
        <v>29</v>
      </c>
      <c r="D332" s="70" t="s">
        <v>21</v>
      </c>
      <c r="E332" s="109">
        <v>0.2</v>
      </c>
      <c r="F332" s="37">
        <f>F331*E332</f>
        <v>24.1</v>
      </c>
      <c r="G332" s="32"/>
      <c r="H332" s="244"/>
      <c r="I332" s="33"/>
      <c r="J332" s="73">
        <f>F332*I332</f>
        <v>0</v>
      </c>
      <c r="K332" s="263">
        <f t="shared" si="27"/>
        <v>0</v>
      </c>
      <c r="L332" s="1"/>
    </row>
    <row r="333" spans="1:12" s="44" customFormat="1" ht="15" customHeight="1">
      <c r="A333" s="284"/>
      <c r="B333" s="105" t="s">
        <v>90</v>
      </c>
      <c r="C333" s="38" t="s">
        <v>29</v>
      </c>
      <c r="D333" s="70" t="s">
        <v>19</v>
      </c>
      <c r="E333" s="109">
        <v>4.8</v>
      </c>
      <c r="F333" s="37">
        <f>F331*E333</f>
        <v>578.4</v>
      </c>
      <c r="G333" s="32"/>
      <c r="H333" s="244"/>
      <c r="I333" s="33"/>
      <c r="J333" s="73">
        <f>F333*I333</f>
        <v>0</v>
      </c>
      <c r="K333" s="263">
        <f t="shared" si="27"/>
        <v>0</v>
      </c>
      <c r="L333" s="1"/>
    </row>
    <row r="334" spans="1:12" s="45" customFormat="1" ht="25.5" customHeight="1">
      <c r="A334" s="288">
        <f>A331+1</f>
        <v>32</v>
      </c>
      <c r="B334" s="61" t="s">
        <v>122</v>
      </c>
      <c r="C334" s="38" t="s">
        <v>29</v>
      </c>
      <c r="D334" s="38" t="s">
        <v>30</v>
      </c>
      <c r="E334" s="109"/>
      <c r="F334" s="97">
        <f>F325</f>
        <v>120.5</v>
      </c>
      <c r="G334" s="32">
        <v>250</v>
      </c>
      <c r="H334" s="235">
        <f>F334*G334</f>
        <v>30125</v>
      </c>
      <c r="I334" s="33"/>
      <c r="J334" s="66"/>
      <c r="K334" s="260">
        <f t="shared" si="27"/>
        <v>30125</v>
      </c>
      <c r="L334" s="1"/>
    </row>
    <row r="335" spans="1:12" s="44" customFormat="1" ht="15" customHeight="1">
      <c r="A335" s="284"/>
      <c r="B335" s="105" t="s">
        <v>80</v>
      </c>
      <c r="C335" s="38" t="s">
        <v>29</v>
      </c>
      <c r="D335" s="70" t="s">
        <v>81</v>
      </c>
      <c r="E335" s="109">
        <f>(499*0.07*1.02)/1000</f>
        <v>3.5628600000000003E-2</v>
      </c>
      <c r="F335" s="37">
        <f>F334*E335</f>
        <v>4.2932463000000007</v>
      </c>
      <c r="G335" s="32"/>
      <c r="H335" s="244"/>
      <c r="I335" s="33"/>
      <c r="J335" s="73">
        <f t="shared" ref="J335:J341" si="28">F335*I335</f>
        <v>0</v>
      </c>
      <c r="K335" s="263">
        <f t="shared" si="27"/>
        <v>0</v>
      </c>
      <c r="L335" s="1"/>
    </row>
    <row r="336" spans="1:12" s="44" customFormat="1" ht="15" customHeight="1">
      <c r="A336" s="284"/>
      <c r="B336" s="105" t="s">
        <v>82</v>
      </c>
      <c r="C336" s="38" t="s">
        <v>29</v>
      </c>
      <c r="D336" s="70" t="s">
        <v>81</v>
      </c>
      <c r="E336" s="109">
        <f>(1792*0.8*0.07*1.02)/1000</f>
        <v>0.10235904000000003</v>
      </c>
      <c r="F336" s="37">
        <f>F334*E336</f>
        <v>12.334264320000003</v>
      </c>
      <c r="G336" s="32"/>
      <c r="H336" s="244"/>
      <c r="I336" s="33"/>
      <c r="J336" s="73">
        <f t="shared" si="28"/>
        <v>0</v>
      </c>
      <c r="K336" s="263">
        <f t="shared" si="27"/>
        <v>0</v>
      </c>
      <c r="L336" s="1"/>
    </row>
    <row r="337" spans="1:12" s="45" customFormat="1" ht="15" customHeight="1">
      <c r="A337" s="284"/>
      <c r="B337" s="105" t="s">
        <v>83</v>
      </c>
      <c r="C337" s="38" t="s">
        <v>29</v>
      </c>
      <c r="D337" s="70" t="s">
        <v>81</v>
      </c>
      <c r="E337" s="109">
        <f>(1792*0.2*0.07*1.02)/1000</f>
        <v>2.5589760000000007E-2</v>
      </c>
      <c r="F337" s="37">
        <f>F334*E337</f>
        <v>3.0835660800000007</v>
      </c>
      <c r="G337" s="32"/>
      <c r="H337" s="110"/>
      <c r="I337" s="33"/>
      <c r="J337" s="73">
        <f t="shared" si="28"/>
        <v>0</v>
      </c>
      <c r="K337" s="263">
        <f t="shared" si="27"/>
        <v>0</v>
      </c>
      <c r="L337" s="1"/>
    </row>
    <row r="338" spans="1:12" s="45" customFormat="1" ht="15" customHeight="1">
      <c r="A338" s="284"/>
      <c r="B338" s="105" t="s">
        <v>84</v>
      </c>
      <c r="C338" s="38" t="s">
        <v>29</v>
      </c>
      <c r="D338" s="70" t="s">
        <v>41</v>
      </c>
      <c r="E338" s="109">
        <v>1.1000000000000001</v>
      </c>
      <c r="F338" s="37">
        <f>F334*E338</f>
        <v>132.55000000000001</v>
      </c>
      <c r="G338" s="32"/>
      <c r="H338" s="110"/>
      <c r="I338" s="33"/>
      <c r="J338" s="73">
        <f t="shared" si="28"/>
        <v>0</v>
      </c>
      <c r="K338" s="263">
        <f t="shared" si="27"/>
        <v>0</v>
      </c>
      <c r="L338" s="1"/>
    </row>
    <row r="339" spans="1:12" s="44" customFormat="1" ht="15" customHeight="1">
      <c r="A339" s="284"/>
      <c r="B339" s="105" t="s">
        <v>85</v>
      </c>
      <c r="C339" s="38" t="s">
        <v>29</v>
      </c>
      <c r="D339" s="70" t="s">
        <v>81</v>
      </c>
      <c r="E339" s="109">
        <f>0.21/1000</f>
        <v>2.0999999999999998E-4</v>
      </c>
      <c r="F339" s="37">
        <f>F334*E339</f>
        <v>2.5304999999999998E-2</v>
      </c>
      <c r="G339" s="32"/>
      <c r="H339" s="244"/>
      <c r="I339" s="33"/>
      <c r="J339" s="73">
        <f t="shared" si="28"/>
        <v>0</v>
      </c>
      <c r="K339" s="263">
        <f t="shared" si="27"/>
        <v>0</v>
      </c>
      <c r="L339" s="1"/>
    </row>
    <row r="340" spans="1:12" s="45" customFormat="1" ht="15" customHeight="1">
      <c r="A340" s="284"/>
      <c r="B340" s="105" t="s">
        <v>86</v>
      </c>
      <c r="C340" s="38" t="s">
        <v>29</v>
      </c>
      <c r="D340" s="70" t="s">
        <v>56</v>
      </c>
      <c r="E340" s="109">
        <v>4</v>
      </c>
      <c r="F340" s="37">
        <f>F334*E340</f>
        <v>482</v>
      </c>
      <c r="G340" s="32"/>
      <c r="H340" s="110"/>
      <c r="I340" s="33"/>
      <c r="J340" s="73">
        <f t="shared" si="28"/>
        <v>0</v>
      </c>
      <c r="K340" s="263">
        <f t="shared" si="27"/>
        <v>0</v>
      </c>
      <c r="L340" s="1"/>
    </row>
    <row r="341" spans="1:12" s="44" customFormat="1" ht="15" customHeight="1">
      <c r="A341" s="284"/>
      <c r="B341" s="105" t="s">
        <v>87</v>
      </c>
      <c r="C341" s="38" t="s">
        <v>29</v>
      </c>
      <c r="D341" s="70" t="s">
        <v>58</v>
      </c>
      <c r="E341" s="109"/>
      <c r="F341" s="37">
        <f>F334</f>
        <v>120.5</v>
      </c>
      <c r="G341" s="32"/>
      <c r="H341" s="244"/>
      <c r="I341" s="33"/>
      <c r="J341" s="73">
        <f t="shared" si="28"/>
        <v>0</v>
      </c>
      <c r="K341" s="263">
        <f t="shared" si="27"/>
        <v>0</v>
      </c>
      <c r="L341" s="1"/>
    </row>
    <row r="342" spans="1:12" s="45" customFormat="1" ht="25.5" customHeight="1">
      <c r="A342" s="288">
        <f>A334+1</f>
        <v>33</v>
      </c>
      <c r="B342" s="61" t="s">
        <v>123</v>
      </c>
      <c r="C342" s="38" t="s">
        <v>29</v>
      </c>
      <c r="D342" s="38" t="s">
        <v>30</v>
      </c>
      <c r="E342" s="109"/>
      <c r="F342" s="97">
        <f>F325</f>
        <v>120.5</v>
      </c>
      <c r="G342" s="32">
        <v>120</v>
      </c>
      <c r="H342" s="235">
        <f>F342*G342</f>
        <v>14460</v>
      </c>
      <c r="I342" s="33"/>
      <c r="J342" s="66"/>
      <c r="K342" s="260">
        <f t="shared" si="27"/>
        <v>14460</v>
      </c>
      <c r="L342" s="1"/>
    </row>
    <row r="343" spans="1:12" s="44" customFormat="1" ht="15" customHeight="1">
      <c r="A343" s="284"/>
      <c r="B343" s="105" t="s">
        <v>99</v>
      </c>
      <c r="C343" s="38" t="s">
        <v>29</v>
      </c>
      <c r="D343" s="70" t="s">
        <v>41</v>
      </c>
      <c r="E343" s="109">
        <v>1.3</v>
      </c>
      <c r="F343" s="37">
        <f>F342*E343</f>
        <v>156.65</v>
      </c>
      <c r="G343" s="32"/>
      <c r="H343" s="244"/>
      <c r="I343" s="33"/>
      <c r="J343" s="73">
        <f>F343*I343</f>
        <v>0</v>
      </c>
      <c r="K343" s="263">
        <f t="shared" si="27"/>
        <v>0</v>
      </c>
      <c r="L343" s="1"/>
    </row>
    <row r="344" spans="1:12" s="45" customFormat="1" ht="15" customHeight="1">
      <c r="A344" s="284"/>
      <c r="B344" s="105" t="s">
        <v>100</v>
      </c>
      <c r="C344" s="38" t="s">
        <v>29</v>
      </c>
      <c r="D344" s="70" t="s">
        <v>58</v>
      </c>
      <c r="E344" s="109"/>
      <c r="F344" s="37">
        <f>F342</f>
        <v>120.5</v>
      </c>
      <c r="G344" s="32"/>
      <c r="H344" s="110"/>
      <c r="I344" s="33"/>
      <c r="J344" s="73">
        <f>F344*I344</f>
        <v>0</v>
      </c>
      <c r="K344" s="263">
        <f t="shared" si="27"/>
        <v>0</v>
      </c>
      <c r="L344" s="1"/>
    </row>
    <row r="345" spans="1:12" s="45" customFormat="1" ht="15" customHeight="1">
      <c r="A345" s="288">
        <f>A342+1</f>
        <v>34</v>
      </c>
      <c r="B345" s="61" t="s">
        <v>101</v>
      </c>
      <c r="C345" s="38" t="s">
        <v>29</v>
      </c>
      <c r="D345" s="38" t="s">
        <v>30</v>
      </c>
      <c r="E345" s="109"/>
      <c r="F345" s="97">
        <f>F325</f>
        <v>120.5</v>
      </c>
      <c r="G345" s="32">
        <v>150</v>
      </c>
      <c r="H345" s="235">
        <f>F345*G345</f>
        <v>18075</v>
      </c>
      <c r="I345" s="33"/>
      <c r="J345" s="66"/>
      <c r="K345" s="260">
        <f t="shared" si="27"/>
        <v>18075</v>
      </c>
      <c r="L345" s="1"/>
    </row>
    <row r="346" spans="1:12" s="45" customFormat="1" ht="15" customHeight="1">
      <c r="A346" s="284"/>
      <c r="B346" s="105" t="s">
        <v>102</v>
      </c>
      <c r="C346" s="38" t="s">
        <v>29</v>
      </c>
      <c r="D346" s="70" t="s">
        <v>41</v>
      </c>
      <c r="E346" s="109">
        <f>1.15</f>
        <v>1.1499999999999999</v>
      </c>
      <c r="F346" s="37">
        <f>F345*E346</f>
        <v>138.57499999999999</v>
      </c>
      <c r="G346" s="32"/>
      <c r="H346" s="110"/>
      <c r="I346" s="33"/>
      <c r="J346" s="73">
        <f>F346*I346</f>
        <v>0</v>
      </c>
      <c r="K346" s="263">
        <f t="shared" si="27"/>
        <v>0</v>
      </c>
      <c r="L346" s="1"/>
    </row>
    <row r="347" spans="1:12" s="44" customFormat="1" ht="15" customHeight="1">
      <c r="A347" s="284"/>
      <c r="B347" s="105" t="s">
        <v>103</v>
      </c>
      <c r="C347" s="38" t="s">
        <v>29</v>
      </c>
      <c r="D347" s="70" t="s">
        <v>19</v>
      </c>
      <c r="E347" s="109">
        <v>0.3</v>
      </c>
      <c r="F347" s="37">
        <f>F345*E347</f>
        <v>36.15</v>
      </c>
      <c r="G347" s="32"/>
      <c r="H347" s="244"/>
      <c r="I347" s="33"/>
      <c r="J347" s="73">
        <f>F347*I347</f>
        <v>0</v>
      </c>
      <c r="K347" s="263">
        <f t="shared" si="27"/>
        <v>0</v>
      </c>
      <c r="L347" s="1"/>
    </row>
    <row r="348" spans="1:12" s="45" customFormat="1" ht="15" customHeight="1">
      <c r="A348" s="288"/>
      <c r="B348" s="105" t="s">
        <v>104</v>
      </c>
      <c r="C348" s="38" t="s">
        <v>29</v>
      </c>
      <c r="D348" s="70" t="s">
        <v>21</v>
      </c>
      <c r="E348" s="64">
        <v>1</v>
      </c>
      <c r="F348" s="37">
        <f>E348*F345</f>
        <v>120.5</v>
      </c>
      <c r="G348" s="32"/>
      <c r="H348" s="110"/>
      <c r="I348" s="33"/>
      <c r="J348" s="73">
        <f>F348*I348</f>
        <v>0</v>
      </c>
      <c r="K348" s="263">
        <f t="shared" si="27"/>
        <v>0</v>
      </c>
      <c r="L348" s="1"/>
    </row>
    <row r="349" spans="1:12" s="45" customFormat="1" ht="25.5" customHeight="1">
      <c r="A349" s="288">
        <f>A345+1</f>
        <v>35</v>
      </c>
      <c r="B349" s="121" t="s">
        <v>124</v>
      </c>
      <c r="C349" s="38" t="s">
        <v>29</v>
      </c>
      <c r="D349" s="38" t="s">
        <v>125</v>
      </c>
      <c r="E349" s="64"/>
      <c r="F349" s="91">
        <f>1.3*0.9*0.2</f>
        <v>0.23400000000000004</v>
      </c>
      <c r="G349" s="241">
        <v>12000</v>
      </c>
      <c r="H349" s="235">
        <f>F349*G349</f>
        <v>2808.0000000000005</v>
      </c>
      <c r="I349" s="33"/>
      <c r="J349" s="66"/>
      <c r="K349" s="260">
        <f t="shared" si="27"/>
        <v>2808.0000000000005</v>
      </c>
      <c r="L349" s="122"/>
    </row>
    <row r="350" spans="1:12" s="45" customFormat="1" ht="15" customHeight="1">
      <c r="A350" s="284"/>
      <c r="B350" s="123" t="s">
        <v>126</v>
      </c>
      <c r="C350" s="38" t="s">
        <v>29</v>
      </c>
      <c r="D350" s="70" t="s">
        <v>25</v>
      </c>
      <c r="E350" s="64"/>
      <c r="F350" s="37">
        <v>12</v>
      </c>
      <c r="G350" s="32"/>
      <c r="H350" s="110"/>
      <c r="I350" s="33"/>
      <c r="J350" s="73">
        <f t="shared" ref="J350:J356" si="29">F350*I350</f>
        <v>0</v>
      </c>
      <c r="K350" s="263">
        <f t="shared" si="27"/>
        <v>0</v>
      </c>
      <c r="L350" s="1"/>
    </row>
    <row r="351" spans="1:12" s="45" customFormat="1" ht="25.5" customHeight="1">
      <c r="A351" s="284"/>
      <c r="B351" s="123" t="s">
        <v>127</v>
      </c>
      <c r="C351" s="38" t="s">
        <v>29</v>
      </c>
      <c r="D351" s="70" t="s">
        <v>19</v>
      </c>
      <c r="E351" s="64"/>
      <c r="F351" s="37">
        <f>0.11*0.14*12</f>
        <v>0.18480000000000002</v>
      </c>
      <c r="G351" s="32"/>
      <c r="H351" s="110"/>
      <c r="I351" s="33"/>
      <c r="J351" s="73">
        <f t="shared" si="29"/>
        <v>0</v>
      </c>
      <c r="K351" s="263">
        <f t="shared" si="27"/>
        <v>0</v>
      </c>
      <c r="L351" s="1"/>
    </row>
    <row r="352" spans="1:12" s="45" customFormat="1" ht="15" customHeight="1">
      <c r="A352" s="284"/>
      <c r="B352" s="123" t="s">
        <v>128</v>
      </c>
      <c r="C352" s="38" t="s">
        <v>29</v>
      </c>
      <c r="D352" s="123" t="s">
        <v>125</v>
      </c>
      <c r="E352" s="124">
        <v>1.0149999999999999</v>
      </c>
      <c r="F352" s="125">
        <f>F349*E352</f>
        <v>0.23751000000000003</v>
      </c>
      <c r="G352" s="32"/>
      <c r="H352" s="110"/>
      <c r="I352" s="33"/>
      <c r="J352" s="73">
        <f t="shared" si="29"/>
        <v>0</v>
      </c>
      <c r="K352" s="263">
        <f t="shared" si="27"/>
        <v>0</v>
      </c>
      <c r="L352" s="1"/>
    </row>
    <row r="353" spans="1:12" s="44" customFormat="1" ht="15" customHeight="1">
      <c r="A353" s="284"/>
      <c r="B353" s="123" t="s">
        <v>129</v>
      </c>
      <c r="C353" s="38" t="s">
        <v>29</v>
      </c>
      <c r="D353" s="123" t="s">
        <v>18</v>
      </c>
      <c r="E353" s="124">
        <v>1.05</v>
      </c>
      <c r="F353" s="125">
        <f>1.3*0.9*E353</f>
        <v>1.2285000000000001</v>
      </c>
      <c r="G353" s="32"/>
      <c r="H353" s="244"/>
      <c r="I353" s="33"/>
      <c r="J353" s="73">
        <f t="shared" si="29"/>
        <v>0</v>
      </c>
      <c r="K353" s="263">
        <f t="shared" si="27"/>
        <v>0</v>
      </c>
      <c r="L353" s="1"/>
    </row>
    <row r="354" spans="1:12" s="44" customFormat="1" ht="15" customHeight="1">
      <c r="A354" s="284"/>
      <c r="B354" s="123" t="s">
        <v>130</v>
      </c>
      <c r="C354" s="38" t="s">
        <v>29</v>
      </c>
      <c r="D354" s="123" t="s">
        <v>18</v>
      </c>
      <c r="E354" s="124">
        <v>1.1000000000000001</v>
      </c>
      <c r="F354" s="125">
        <f>1.3*0.9*E354</f>
        <v>1.2870000000000004</v>
      </c>
      <c r="G354" s="32"/>
      <c r="H354" s="244"/>
      <c r="I354" s="33"/>
      <c r="J354" s="73">
        <f t="shared" si="29"/>
        <v>0</v>
      </c>
      <c r="K354" s="263">
        <f t="shared" si="27"/>
        <v>0</v>
      </c>
      <c r="L354" s="1"/>
    </row>
    <row r="355" spans="1:12" s="44" customFormat="1" ht="15" customHeight="1">
      <c r="A355" s="284"/>
      <c r="B355" s="98" t="s">
        <v>131</v>
      </c>
      <c r="C355" s="38" t="s">
        <v>29</v>
      </c>
      <c r="D355" s="41" t="s">
        <v>19</v>
      </c>
      <c r="E355" s="21">
        <v>0.15</v>
      </c>
      <c r="F355" s="68">
        <f>E355*((1.3*2+0.9*2)*0.15+1.3*0.9)</f>
        <v>0.27450000000000002</v>
      </c>
      <c r="G355" s="32"/>
      <c r="H355" s="244"/>
      <c r="I355" s="33"/>
      <c r="J355" s="73">
        <f t="shared" si="29"/>
        <v>0</v>
      </c>
      <c r="K355" s="263">
        <f t="shared" si="27"/>
        <v>0</v>
      </c>
      <c r="L355" s="1"/>
    </row>
    <row r="356" spans="1:12" s="44" customFormat="1" ht="15" customHeight="1">
      <c r="A356" s="284"/>
      <c r="B356" s="105" t="s">
        <v>132</v>
      </c>
      <c r="C356" s="38" t="s">
        <v>29</v>
      </c>
      <c r="D356" s="70" t="s">
        <v>19</v>
      </c>
      <c r="E356" s="64">
        <v>0.3</v>
      </c>
      <c r="F356" s="68">
        <f>E356*((1.3*2+0.9*2)*0.15+1.3*0.9)</f>
        <v>0.54900000000000004</v>
      </c>
      <c r="G356" s="32"/>
      <c r="H356" s="244"/>
      <c r="I356" s="33"/>
      <c r="J356" s="73">
        <f t="shared" si="29"/>
        <v>0</v>
      </c>
      <c r="K356" s="263">
        <f t="shared" si="27"/>
        <v>0</v>
      </c>
      <c r="L356" s="1"/>
    </row>
    <row r="357" spans="1:12" s="45" customFormat="1" ht="15" customHeight="1">
      <c r="A357" s="284"/>
      <c r="B357" s="126"/>
      <c r="C357" s="38" t="s">
        <v>29</v>
      </c>
      <c r="D357" s="123"/>
      <c r="E357" s="124"/>
      <c r="F357" s="125"/>
      <c r="G357" s="32"/>
      <c r="H357" s="110"/>
      <c r="I357" s="33"/>
      <c r="J357" s="73"/>
      <c r="K357" s="263"/>
      <c r="L357" s="1"/>
    </row>
    <row r="358" spans="1:12" s="45" customFormat="1" ht="25.5" customHeight="1">
      <c r="A358" s="288">
        <f>A349+1</f>
        <v>36</v>
      </c>
      <c r="B358" s="121" t="s">
        <v>133</v>
      </c>
      <c r="C358" s="38" t="s">
        <v>29</v>
      </c>
      <c r="D358" s="38" t="s">
        <v>125</v>
      </c>
      <c r="E358" s="64"/>
      <c r="F358" s="91">
        <f>1.23*0.87*0.2</f>
        <v>0.21402000000000002</v>
      </c>
      <c r="G358" s="241">
        <v>12000</v>
      </c>
      <c r="H358" s="235">
        <f>F358*G358</f>
        <v>2568.2400000000002</v>
      </c>
      <c r="I358" s="33"/>
      <c r="J358" s="66"/>
      <c r="K358" s="260">
        <f t="shared" ref="K358:K365" si="30">H358+J358</f>
        <v>2568.2400000000002</v>
      </c>
      <c r="L358" s="122"/>
    </row>
    <row r="359" spans="1:12" s="45" customFormat="1" ht="15" customHeight="1">
      <c r="A359" s="284"/>
      <c r="B359" s="123" t="s">
        <v>126</v>
      </c>
      <c r="C359" s="38" t="s">
        <v>29</v>
      </c>
      <c r="D359" s="70" t="s">
        <v>25</v>
      </c>
      <c r="E359" s="64"/>
      <c r="F359" s="37">
        <v>12</v>
      </c>
      <c r="G359" s="32"/>
      <c r="H359" s="110"/>
      <c r="I359" s="33"/>
      <c r="J359" s="73">
        <f t="shared" ref="J359:J365" si="31">F359*I359</f>
        <v>0</v>
      </c>
      <c r="K359" s="263">
        <f t="shared" si="30"/>
        <v>0</v>
      </c>
      <c r="L359" s="1"/>
    </row>
    <row r="360" spans="1:12" s="45" customFormat="1" ht="25.5" customHeight="1">
      <c r="A360" s="284"/>
      <c r="B360" s="123" t="s">
        <v>127</v>
      </c>
      <c r="C360" s="38" t="s">
        <v>29</v>
      </c>
      <c r="D360" s="70" t="s">
        <v>19</v>
      </c>
      <c r="E360" s="64"/>
      <c r="F360" s="37">
        <f>0.11*0.14*12</f>
        <v>0.18480000000000002</v>
      </c>
      <c r="G360" s="32"/>
      <c r="H360" s="110"/>
      <c r="I360" s="33"/>
      <c r="J360" s="73">
        <f t="shared" si="31"/>
        <v>0</v>
      </c>
      <c r="K360" s="263">
        <f t="shared" si="30"/>
        <v>0</v>
      </c>
      <c r="L360" s="1"/>
    </row>
    <row r="361" spans="1:12" s="45" customFormat="1" ht="15" customHeight="1">
      <c r="A361" s="284"/>
      <c r="B361" s="123" t="s">
        <v>128</v>
      </c>
      <c r="C361" s="38" t="s">
        <v>29</v>
      </c>
      <c r="D361" s="123" t="s">
        <v>125</v>
      </c>
      <c r="E361" s="124">
        <v>1.0149999999999999</v>
      </c>
      <c r="F361" s="125">
        <f>F358*E361</f>
        <v>0.21723029999999999</v>
      </c>
      <c r="G361" s="32"/>
      <c r="H361" s="110"/>
      <c r="I361" s="33"/>
      <c r="J361" s="73">
        <f t="shared" si="31"/>
        <v>0</v>
      </c>
      <c r="K361" s="263">
        <f t="shared" si="30"/>
        <v>0</v>
      </c>
      <c r="L361" s="1"/>
    </row>
    <row r="362" spans="1:12" s="44" customFormat="1" ht="15" customHeight="1">
      <c r="A362" s="284"/>
      <c r="B362" s="123" t="s">
        <v>129</v>
      </c>
      <c r="C362" s="38" t="s">
        <v>29</v>
      </c>
      <c r="D362" s="123" t="s">
        <v>18</v>
      </c>
      <c r="E362" s="124">
        <v>1.05</v>
      </c>
      <c r="F362" s="125">
        <f>1.23*0.87*E362</f>
        <v>1.1236050000000002</v>
      </c>
      <c r="G362" s="32"/>
      <c r="H362" s="244"/>
      <c r="I362" s="33"/>
      <c r="J362" s="73">
        <f t="shared" si="31"/>
        <v>0</v>
      </c>
      <c r="K362" s="263">
        <f t="shared" si="30"/>
        <v>0</v>
      </c>
      <c r="L362" s="1"/>
    </row>
    <row r="363" spans="1:12" s="44" customFormat="1" ht="15" customHeight="1">
      <c r="A363" s="284"/>
      <c r="B363" s="123" t="s">
        <v>130</v>
      </c>
      <c r="C363" s="38" t="s">
        <v>29</v>
      </c>
      <c r="D363" s="123" t="s">
        <v>18</v>
      </c>
      <c r="E363" s="124">
        <v>1.1000000000000001</v>
      </c>
      <c r="F363" s="125">
        <f>1.23*0.87*E363</f>
        <v>1.1771100000000001</v>
      </c>
      <c r="G363" s="32"/>
      <c r="H363" s="244"/>
      <c r="I363" s="33"/>
      <c r="J363" s="73">
        <f t="shared" si="31"/>
        <v>0</v>
      </c>
      <c r="K363" s="263">
        <f t="shared" si="30"/>
        <v>0</v>
      </c>
      <c r="L363" s="1"/>
    </row>
    <row r="364" spans="1:12" s="44" customFormat="1" ht="15" customHeight="1">
      <c r="A364" s="284"/>
      <c r="B364" s="98" t="s">
        <v>131</v>
      </c>
      <c r="C364" s="38" t="s">
        <v>29</v>
      </c>
      <c r="D364" s="41" t="s">
        <v>19</v>
      </c>
      <c r="E364" s="21">
        <v>0.15</v>
      </c>
      <c r="F364" s="68">
        <f>E364*((1.23*2+0.87*2)*0.15+1.23*0.87)</f>
        <v>0.25501499999999999</v>
      </c>
      <c r="G364" s="32"/>
      <c r="H364" s="244"/>
      <c r="I364" s="33"/>
      <c r="J364" s="73">
        <f t="shared" si="31"/>
        <v>0</v>
      </c>
      <c r="K364" s="263">
        <f t="shared" si="30"/>
        <v>0</v>
      </c>
      <c r="L364" s="1"/>
    </row>
    <row r="365" spans="1:12" s="44" customFormat="1" ht="15" customHeight="1">
      <c r="A365" s="284"/>
      <c r="B365" s="105" t="s">
        <v>132</v>
      </c>
      <c r="C365" s="38" t="s">
        <v>29</v>
      </c>
      <c r="D365" s="70" t="s">
        <v>19</v>
      </c>
      <c r="E365" s="64">
        <v>0.3</v>
      </c>
      <c r="F365" s="68">
        <f>E365*((1.23*2+0.87*2)*0.15+1.23*0.87)</f>
        <v>0.51002999999999998</v>
      </c>
      <c r="G365" s="32"/>
      <c r="H365" s="244"/>
      <c r="I365" s="33"/>
      <c r="J365" s="73">
        <f t="shared" si="31"/>
        <v>0</v>
      </c>
      <c r="K365" s="263">
        <f t="shared" si="30"/>
        <v>0</v>
      </c>
      <c r="L365" s="1"/>
    </row>
    <row r="366" spans="1:12" s="45" customFormat="1" ht="15" customHeight="1">
      <c r="A366" s="284"/>
      <c r="B366" s="127"/>
      <c r="C366" s="38" t="s">
        <v>29</v>
      </c>
      <c r="D366" s="123"/>
      <c r="E366" s="124"/>
      <c r="F366" s="125"/>
      <c r="G366" s="32"/>
      <c r="H366" s="110"/>
      <c r="I366" s="33"/>
      <c r="J366" s="73"/>
      <c r="K366" s="263"/>
      <c r="L366" s="1"/>
    </row>
    <row r="367" spans="1:12" s="45" customFormat="1" ht="25.5" customHeight="1">
      <c r="A367" s="288">
        <f>A358+1</f>
        <v>37</v>
      </c>
      <c r="B367" s="121" t="s">
        <v>134</v>
      </c>
      <c r="C367" s="38" t="s">
        <v>29</v>
      </c>
      <c r="D367" s="38" t="s">
        <v>125</v>
      </c>
      <c r="E367" s="64"/>
      <c r="F367" s="91">
        <f>0.8*0.5*0.2</f>
        <v>8.0000000000000016E-2</v>
      </c>
      <c r="G367" s="241">
        <v>12000</v>
      </c>
      <c r="H367" s="235">
        <f>F367*G367</f>
        <v>960.00000000000023</v>
      </c>
      <c r="I367" s="33"/>
      <c r="J367" s="66"/>
      <c r="K367" s="260">
        <f t="shared" ref="K367:K374" si="32">H367+J367</f>
        <v>960.00000000000023</v>
      </c>
      <c r="L367" s="122"/>
    </row>
    <row r="368" spans="1:12" s="45" customFormat="1" ht="15" customHeight="1">
      <c r="A368" s="284"/>
      <c r="B368" s="123" t="s">
        <v>126</v>
      </c>
      <c r="C368" s="38" t="s">
        <v>29</v>
      </c>
      <c r="D368" s="70" t="s">
        <v>25</v>
      </c>
      <c r="E368" s="64"/>
      <c r="F368" s="37">
        <v>6</v>
      </c>
      <c r="G368" s="32"/>
      <c r="H368" s="110"/>
      <c r="I368" s="33"/>
      <c r="J368" s="73">
        <f t="shared" ref="J368:J374" si="33">F368*I368</f>
        <v>0</v>
      </c>
      <c r="K368" s="263">
        <f t="shared" si="32"/>
        <v>0</v>
      </c>
      <c r="L368" s="1"/>
    </row>
    <row r="369" spans="1:12" s="45" customFormat="1" ht="25.5" customHeight="1">
      <c r="A369" s="284"/>
      <c r="B369" s="123" t="s">
        <v>127</v>
      </c>
      <c r="C369" s="38" t="s">
        <v>29</v>
      </c>
      <c r="D369" s="70" t="s">
        <v>19</v>
      </c>
      <c r="E369" s="64"/>
      <c r="F369" s="37">
        <f>0.14*0.14*6</f>
        <v>0.11760000000000001</v>
      </c>
      <c r="G369" s="32"/>
      <c r="H369" s="110"/>
      <c r="I369" s="33"/>
      <c r="J369" s="73">
        <f t="shared" si="33"/>
        <v>0</v>
      </c>
      <c r="K369" s="263">
        <f t="shared" si="32"/>
        <v>0</v>
      </c>
      <c r="L369" s="1"/>
    </row>
    <row r="370" spans="1:12" s="45" customFormat="1" ht="15" customHeight="1">
      <c r="A370" s="284"/>
      <c r="B370" s="123" t="s">
        <v>128</v>
      </c>
      <c r="C370" s="38" t="s">
        <v>29</v>
      </c>
      <c r="D370" s="123" t="s">
        <v>125</v>
      </c>
      <c r="E370" s="124">
        <v>1.0149999999999999</v>
      </c>
      <c r="F370" s="125">
        <f>F367*E370</f>
        <v>8.1200000000000008E-2</v>
      </c>
      <c r="G370" s="32"/>
      <c r="H370" s="110"/>
      <c r="I370" s="33"/>
      <c r="J370" s="73">
        <f t="shared" si="33"/>
        <v>0</v>
      </c>
      <c r="K370" s="263">
        <f t="shared" si="32"/>
        <v>0</v>
      </c>
      <c r="L370" s="1"/>
    </row>
    <row r="371" spans="1:12" s="44" customFormat="1" ht="15" customHeight="1">
      <c r="A371" s="284"/>
      <c r="B371" s="123" t="s">
        <v>129</v>
      </c>
      <c r="C371" s="38" t="s">
        <v>29</v>
      </c>
      <c r="D371" s="123" t="s">
        <v>18</v>
      </c>
      <c r="E371" s="124">
        <v>1.05</v>
      </c>
      <c r="F371" s="125">
        <f>0.5*0.8*E371</f>
        <v>0.42000000000000004</v>
      </c>
      <c r="G371" s="32"/>
      <c r="H371" s="244"/>
      <c r="I371" s="33"/>
      <c r="J371" s="73">
        <f t="shared" si="33"/>
        <v>0</v>
      </c>
      <c r="K371" s="263">
        <f t="shared" si="32"/>
        <v>0</v>
      </c>
      <c r="L371" s="1"/>
    </row>
    <row r="372" spans="1:12" s="44" customFormat="1" ht="15" customHeight="1">
      <c r="A372" s="284"/>
      <c r="B372" s="123" t="s">
        <v>130</v>
      </c>
      <c r="C372" s="38" t="s">
        <v>29</v>
      </c>
      <c r="D372" s="123" t="s">
        <v>18</v>
      </c>
      <c r="E372" s="124">
        <v>1.1000000000000001</v>
      </c>
      <c r="F372" s="125">
        <f>0.5*0.8*E372</f>
        <v>0.44000000000000006</v>
      </c>
      <c r="G372" s="32"/>
      <c r="H372" s="244"/>
      <c r="I372" s="33"/>
      <c r="J372" s="73">
        <f t="shared" si="33"/>
        <v>0</v>
      </c>
      <c r="K372" s="263">
        <f t="shared" si="32"/>
        <v>0</v>
      </c>
      <c r="L372" s="1"/>
    </row>
    <row r="373" spans="1:12" s="44" customFormat="1" ht="15" customHeight="1">
      <c r="A373" s="284"/>
      <c r="B373" s="98" t="s">
        <v>131</v>
      </c>
      <c r="C373" s="38" t="s">
        <v>29</v>
      </c>
      <c r="D373" s="41" t="s">
        <v>19</v>
      </c>
      <c r="E373" s="21">
        <v>0.15</v>
      </c>
      <c r="F373" s="68">
        <f>E373*((0.8*2+0.5*2)*0.15+0.8*0.5)</f>
        <v>0.11849999999999999</v>
      </c>
      <c r="G373" s="32"/>
      <c r="H373" s="244"/>
      <c r="I373" s="33"/>
      <c r="J373" s="73">
        <f t="shared" si="33"/>
        <v>0</v>
      </c>
      <c r="K373" s="263">
        <f t="shared" si="32"/>
        <v>0</v>
      </c>
      <c r="L373" s="1"/>
    </row>
    <row r="374" spans="1:12" s="44" customFormat="1" ht="15" customHeight="1">
      <c r="A374" s="284"/>
      <c r="B374" s="105" t="s">
        <v>132</v>
      </c>
      <c r="C374" s="38" t="s">
        <v>29</v>
      </c>
      <c r="D374" s="70" t="s">
        <v>19</v>
      </c>
      <c r="E374" s="64">
        <v>0.3</v>
      </c>
      <c r="F374" s="68">
        <f>E374*((0.8*2+0.5*2)*0.15+0.8*0.5)</f>
        <v>0.23699999999999999</v>
      </c>
      <c r="G374" s="32"/>
      <c r="H374" s="244"/>
      <c r="I374" s="33"/>
      <c r="J374" s="73">
        <f t="shared" si="33"/>
        <v>0</v>
      </c>
      <c r="K374" s="263">
        <f t="shared" si="32"/>
        <v>0</v>
      </c>
      <c r="L374" s="1"/>
    </row>
    <row r="375" spans="1:12" s="45" customFormat="1" ht="15" customHeight="1">
      <c r="A375" s="284"/>
      <c r="B375" s="127"/>
      <c r="C375" s="38" t="s">
        <v>29</v>
      </c>
      <c r="D375" s="123"/>
      <c r="E375" s="124"/>
      <c r="F375" s="125"/>
      <c r="G375" s="32"/>
      <c r="H375" s="110"/>
      <c r="I375" s="33"/>
      <c r="J375" s="73"/>
      <c r="K375" s="263"/>
      <c r="L375" s="1"/>
    </row>
    <row r="376" spans="1:12" s="45" customFormat="1" ht="25.5" customHeight="1">
      <c r="A376" s="288">
        <f>A367+1</f>
        <v>38</v>
      </c>
      <c r="B376" s="121" t="s">
        <v>135</v>
      </c>
      <c r="C376" s="38" t="s">
        <v>29</v>
      </c>
      <c r="D376" s="38" t="s">
        <v>125</v>
      </c>
      <c r="E376" s="64"/>
      <c r="F376" s="91">
        <f>2.2*1.1*0.15</f>
        <v>0.36300000000000004</v>
      </c>
      <c r="G376" s="241">
        <v>12000</v>
      </c>
      <c r="H376" s="235">
        <f>F376*G376</f>
        <v>4356.0000000000009</v>
      </c>
      <c r="I376" s="33"/>
      <c r="J376" s="66"/>
      <c r="K376" s="260">
        <f t="shared" ref="K376:K383" si="34">H376+J376</f>
        <v>4356.0000000000009</v>
      </c>
      <c r="L376" s="22"/>
    </row>
    <row r="377" spans="1:12" s="45" customFormat="1" ht="15" customHeight="1">
      <c r="A377" s="284"/>
      <c r="B377" s="123" t="s">
        <v>126</v>
      </c>
      <c r="C377" s="38" t="s">
        <v>29</v>
      </c>
      <c r="D377" s="70" t="s">
        <v>25</v>
      </c>
      <c r="E377" s="64"/>
      <c r="F377" s="37">
        <v>14</v>
      </c>
      <c r="G377" s="32"/>
      <c r="H377" s="110"/>
      <c r="I377" s="33"/>
      <c r="J377" s="73">
        <f t="shared" ref="J377:J383" si="35">F377*I377</f>
        <v>0</v>
      </c>
      <c r="K377" s="263">
        <f t="shared" si="34"/>
        <v>0</v>
      </c>
      <c r="L377" s="1"/>
    </row>
    <row r="378" spans="1:12" s="45" customFormat="1" ht="25.5" customHeight="1">
      <c r="A378" s="284"/>
      <c r="B378" s="123" t="s">
        <v>127</v>
      </c>
      <c r="C378" s="38" t="s">
        <v>29</v>
      </c>
      <c r="D378" s="70" t="s">
        <v>19</v>
      </c>
      <c r="E378" s="64"/>
      <c r="F378" s="37">
        <f>0.14*0.14*14</f>
        <v>0.27440000000000003</v>
      </c>
      <c r="G378" s="32"/>
      <c r="H378" s="110"/>
      <c r="I378" s="33"/>
      <c r="J378" s="73">
        <f t="shared" si="35"/>
        <v>0</v>
      </c>
      <c r="K378" s="263">
        <f t="shared" si="34"/>
        <v>0</v>
      </c>
      <c r="L378" s="1"/>
    </row>
    <row r="379" spans="1:12" s="45" customFormat="1" ht="15" customHeight="1">
      <c r="A379" s="284"/>
      <c r="B379" s="302" t="s">
        <v>128</v>
      </c>
      <c r="C379" s="38" t="s">
        <v>29</v>
      </c>
      <c r="D379" s="304" t="s">
        <v>125</v>
      </c>
      <c r="E379" s="124">
        <v>1.0149999999999999</v>
      </c>
      <c r="F379" s="125">
        <f>F376*E379</f>
        <v>0.36844500000000002</v>
      </c>
      <c r="G379" s="32"/>
      <c r="H379" s="110"/>
      <c r="I379" s="33"/>
      <c r="J379" s="73">
        <f t="shared" si="35"/>
        <v>0</v>
      </c>
      <c r="K379" s="263">
        <f t="shared" si="34"/>
        <v>0</v>
      </c>
      <c r="L379" s="1"/>
    </row>
    <row r="380" spans="1:12" s="44" customFormat="1" ht="15" customHeight="1">
      <c r="A380" s="284"/>
      <c r="B380" s="302" t="s">
        <v>129</v>
      </c>
      <c r="C380" s="38" t="s">
        <v>29</v>
      </c>
      <c r="D380" s="304" t="s">
        <v>18</v>
      </c>
      <c r="E380" s="124">
        <v>1.05</v>
      </c>
      <c r="F380" s="125">
        <f>2.2*1.1*0.87*E380</f>
        <v>2.2106700000000004</v>
      </c>
      <c r="G380" s="32"/>
      <c r="H380" s="244"/>
      <c r="I380" s="33"/>
      <c r="J380" s="73">
        <f t="shared" si="35"/>
        <v>0</v>
      </c>
      <c r="K380" s="263">
        <f t="shared" si="34"/>
        <v>0</v>
      </c>
      <c r="L380" s="1"/>
    </row>
    <row r="381" spans="1:12" s="44" customFormat="1" ht="15" customHeight="1">
      <c r="A381" s="284"/>
      <c r="B381" s="302" t="s">
        <v>130</v>
      </c>
      <c r="C381" s="38" t="s">
        <v>29</v>
      </c>
      <c r="D381" s="304" t="s">
        <v>18</v>
      </c>
      <c r="E381" s="124">
        <v>1.1000000000000001</v>
      </c>
      <c r="F381" s="125">
        <f>2.2*1.1*E381</f>
        <v>2.6620000000000008</v>
      </c>
      <c r="G381" s="32"/>
      <c r="H381" s="244"/>
      <c r="I381" s="33"/>
      <c r="J381" s="73">
        <f t="shared" si="35"/>
        <v>0</v>
      </c>
      <c r="K381" s="263">
        <f t="shared" si="34"/>
        <v>0</v>
      </c>
      <c r="L381" s="1"/>
    </row>
    <row r="382" spans="1:12" s="44" customFormat="1" ht="15" customHeight="1">
      <c r="A382" s="284"/>
      <c r="B382" s="303" t="s">
        <v>131</v>
      </c>
      <c r="C382" s="38" t="s">
        <v>29</v>
      </c>
      <c r="D382" s="305" t="s">
        <v>19</v>
      </c>
      <c r="E382" s="21">
        <v>0.15</v>
      </c>
      <c r="F382" s="68">
        <f>E382*((2.2*2+1.1*2)*0.15+2.2*1.1)</f>
        <v>0.51149999999999995</v>
      </c>
      <c r="G382" s="32"/>
      <c r="H382" s="244"/>
      <c r="I382" s="33"/>
      <c r="J382" s="73">
        <f t="shared" si="35"/>
        <v>0</v>
      </c>
      <c r="K382" s="263">
        <f t="shared" si="34"/>
        <v>0</v>
      </c>
      <c r="L382" s="1"/>
    </row>
    <row r="383" spans="1:12" s="44" customFormat="1" thickBot="1">
      <c r="A383" s="284"/>
      <c r="B383" s="105" t="s">
        <v>132</v>
      </c>
      <c r="C383" s="38" t="s">
        <v>29</v>
      </c>
      <c r="D383" s="70" t="s">
        <v>19</v>
      </c>
      <c r="E383" s="64">
        <v>0.3</v>
      </c>
      <c r="F383" s="68">
        <f>E383*((2.2*2+1.1*2)*0.15+2.2*1.1)</f>
        <v>1.0229999999999999</v>
      </c>
      <c r="G383" s="32"/>
      <c r="H383" s="244"/>
      <c r="I383" s="33"/>
      <c r="J383" s="73">
        <f t="shared" si="35"/>
        <v>0</v>
      </c>
      <c r="K383" s="263">
        <f t="shared" si="34"/>
        <v>0</v>
      </c>
      <c r="L383" s="1"/>
    </row>
    <row r="384" spans="1:12" s="45" customFormat="1" ht="15" hidden="1" customHeight="1">
      <c r="A384" s="284"/>
      <c r="B384" s="105"/>
      <c r="C384" s="75"/>
      <c r="D384" s="70"/>
      <c r="E384" s="64"/>
      <c r="F384" s="37"/>
      <c r="G384" s="32"/>
      <c r="H384" s="110"/>
      <c r="I384" s="33"/>
      <c r="J384" s="73"/>
      <c r="K384" s="263"/>
      <c r="L384" s="1"/>
    </row>
    <row r="385" spans="1:12" s="45" customFormat="1" ht="15" hidden="1" customHeight="1">
      <c r="A385" s="282"/>
      <c r="B385" s="117" t="s">
        <v>105</v>
      </c>
      <c r="C385" s="291"/>
      <c r="D385" s="292"/>
      <c r="E385" s="293"/>
      <c r="F385" s="292"/>
      <c r="G385" s="57"/>
      <c r="H385" s="292"/>
      <c r="I385" s="59"/>
      <c r="J385" s="294"/>
      <c r="K385" s="295"/>
      <c r="L385" s="1"/>
    </row>
    <row r="386" spans="1:12" s="45" customFormat="1" ht="25.5" hidden="1" customHeight="1">
      <c r="A386" s="288">
        <f>A376+1</f>
        <v>39</v>
      </c>
      <c r="B386" s="61" t="s">
        <v>106</v>
      </c>
      <c r="C386" s="38" t="s">
        <v>23</v>
      </c>
      <c r="D386" s="38" t="s">
        <v>58</v>
      </c>
      <c r="E386" s="64"/>
      <c r="F386" s="97">
        <f>671.6+95.2+133.06</f>
        <v>899.86000000000013</v>
      </c>
      <c r="G386" s="32">
        <v>200</v>
      </c>
      <c r="H386" s="235">
        <f>F386*G386</f>
        <v>179972.00000000003</v>
      </c>
      <c r="I386" s="33"/>
      <c r="J386" s="66"/>
      <c r="K386" s="260">
        <f>H386+J386</f>
        <v>179972.00000000003</v>
      </c>
      <c r="L386" s="1"/>
    </row>
    <row r="387" spans="1:12" s="45" customFormat="1" ht="15" hidden="1" customHeight="1">
      <c r="A387" s="284"/>
      <c r="B387" s="105" t="s">
        <v>24</v>
      </c>
      <c r="C387" s="38" t="s">
        <v>23</v>
      </c>
      <c r="D387" s="70" t="s">
        <v>41</v>
      </c>
      <c r="E387" s="64">
        <f>1.1*0.1</f>
        <v>0.11000000000000001</v>
      </c>
      <c r="F387" s="37">
        <f>F386*E387</f>
        <v>98.984600000000029</v>
      </c>
      <c r="G387" s="32"/>
      <c r="H387" s="110"/>
      <c r="I387" s="33">
        <v>401.24249999999995</v>
      </c>
      <c r="J387" s="73">
        <f>F387*I387</f>
        <v>39716.828365500005</v>
      </c>
      <c r="K387" s="263">
        <f>H387+J387</f>
        <v>39716.828365500005</v>
      </c>
      <c r="L387" s="1"/>
    </row>
    <row r="388" spans="1:12" s="44" customFormat="1" ht="15" hidden="1" customHeight="1">
      <c r="A388" s="284"/>
      <c r="B388" s="105" t="s">
        <v>34</v>
      </c>
      <c r="C388" s="38" t="s">
        <v>23</v>
      </c>
      <c r="D388" s="70" t="s">
        <v>21</v>
      </c>
      <c r="E388" s="64">
        <f>0.15*0.1</f>
        <v>1.4999999999999999E-2</v>
      </c>
      <c r="F388" s="37">
        <f>F386*E388</f>
        <v>13.497900000000001</v>
      </c>
      <c r="G388" s="32"/>
      <c r="H388" s="244"/>
      <c r="I388" s="33">
        <v>37.450000000000003</v>
      </c>
      <c r="J388" s="73">
        <f>F388*I388</f>
        <v>505.49635500000011</v>
      </c>
      <c r="K388" s="263">
        <f>H388+J388</f>
        <v>505.49635500000011</v>
      </c>
      <c r="L388" s="1"/>
    </row>
    <row r="389" spans="1:12" s="44" customFormat="1" ht="15" hidden="1" customHeight="1">
      <c r="A389" s="284"/>
      <c r="B389" s="105" t="s">
        <v>71</v>
      </c>
      <c r="C389" s="38" t="s">
        <v>23</v>
      </c>
      <c r="D389" s="70" t="s">
        <v>19</v>
      </c>
      <c r="E389" s="64">
        <f>7.6*0.1</f>
        <v>0.76</v>
      </c>
      <c r="F389" s="37">
        <f>F386*E389</f>
        <v>683.89360000000011</v>
      </c>
      <c r="G389" s="32"/>
      <c r="H389" s="244"/>
      <c r="I389" s="33">
        <v>7.6</v>
      </c>
      <c r="J389" s="73">
        <f>F389*I389</f>
        <v>5197.5913600000003</v>
      </c>
      <c r="K389" s="263">
        <f>H389+J389</f>
        <v>5197.5913600000003</v>
      </c>
      <c r="L389" s="1"/>
    </row>
    <row r="390" spans="1:12" s="44" customFormat="1" ht="15" hidden="1" customHeight="1" thickBot="1">
      <c r="A390" s="284"/>
      <c r="B390" s="105" t="s">
        <v>73</v>
      </c>
      <c r="C390" s="38" t="s">
        <v>23</v>
      </c>
      <c r="D390" s="70" t="s">
        <v>19</v>
      </c>
      <c r="E390" s="64">
        <f>0.4*0.1</f>
        <v>4.0000000000000008E-2</v>
      </c>
      <c r="F390" s="37">
        <f>F386*E390</f>
        <v>35.994400000000013</v>
      </c>
      <c r="G390" s="32"/>
      <c r="H390" s="244"/>
      <c r="I390" s="33">
        <v>123.5</v>
      </c>
      <c r="J390" s="73">
        <f>F390*I390</f>
        <v>4445.3084000000017</v>
      </c>
      <c r="K390" s="263">
        <f>H390+J390</f>
        <v>4445.3084000000017</v>
      </c>
      <c r="L390" s="1"/>
    </row>
    <row r="391" spans="1:12" ht="15" hidden="1" customHeight="1" thickBot="1">
      <c r="A391" s="298"/>
      <c r="B391" s="185"/>
      <c r="C391" s="186"/>
      <c r="D391" s="187"/>
      <c r="E391" s="128"/>
      <c r="F391" s="188"/>
      <c r="G391" s="130"/>
      <c r="H391" s="189"/>
      <c r="I391" s="129"/>
      <c r="J391" s="129"/>
      <c r="K391" s="299"/>
    </row>
    <row r="392" spans="1:12" ht="14.4">
      <c r="A392" s="190"/>
      <c r="B392" s="191" t="s">
        <v>136</v>
      </c>
      <c r="C392" s="192"/>
      <c r="D392" s="193" t="s">
        <v>137</v>
      </c>
      <c r="E392" s="194"/>
      <c r="F392" s="193"/>
      <c r="G392" s="195"/>
      <c r="H392" s="196">
        <f>SUBTOTAL(9,H16:H383)</f>
        <v>775742.44000000006</v>
      </c>
      <c r="I392" s="197"/>
      <c r="J392" s="198">
        <f>SUBTOTAL(9,J16:J383)</f>
        <v>0</v>
      </c>
      <c r="K392" s="199">
        <f>SUBTOTAL(9,K16:K383)</f>
        <v>775742.44000000006</v>
      </c>
    </row>
    <row r="393" spans="1:12" ht="14.4">
      <c r="A393" s="228"/>
      <c r="B393" s="229"/>
      <c r="C393" s="38"/>
      <c r="D393" s="230"/>
      <c r="E393" s="64"/>
      <c r="F393" s="230"/>
      <c r="G393" s="231"/>
      <c r="H393" s="232"/>
      <c r="I393" s="233"/>
      <c r="J393" s="233"/>
      <c r="K393" s="234"/>
    </row>
    <row r="394" spans="1:12" ht="14.4">
      <c r="A394" s="200"/>
      <c r="B394" s="201" t="s">
        <v>138</v>
      </c>
      <c r="C394" s="202"/>
      <c r="D394" s="207"/>
      <c r="E394" s="208"/>
      <c r="F394" s="207"/>
      <c r="G394" s="245">
        <v>1.4999999999999999E-2</v>
      </c>
      <c r="H394" s="209">
        <f>H392*G394</f>
        <v>11636.1366</v>
      </c>
      <c r="I394" s="210"/>
      <c r="J394" s="210"/>
      <c r="K394" s="211">
        <f>H394+J394</f>
        <v>11636.1366</v>
      </c>
    </row>
    <row r="395" spans="1:12" ht="14.4">
      <c r="A395" s="200"/>
      <c r="B395" s="212" t="s">
        <v>139</v>
      </c>
      <c r="C395" s="202"/>
      <c r="D395" s="207"/>
      <c r="E395" s="208"/>
      <c r="F395" s="207"/>
      <c r="G395" s="246">
        <v>0.02</v>
      </c>
      <c r="H395" s="205"/>
      <c r="I395" s="210"/>
      <c r="J395" s="213">
        <f>J392*G395</f>
        <v>0</v>
      </c>
      <c r="K395" s="211">
        <f>H395+J395</f>
        <v>0</v>
      </c>
    </row>
    <row r="396" spans="1:12" ht="14.4">
      <c r="A396" s="200"/>
      <c r="B396" s="214" t="s">
        <v>140</v>
      </c>
      <c r="C396" s="207"/>
      <c r="D396" s="203" t="s">
        <v>137</v>
      </c>
      <c r="E396" s="204"/>
      <c r="F396" s="203"/>
      <c r="G396" s="215"/>
      <c r="H396" s="216">
        <f>H392+H394</f>
        <v>787378.57660000003</v>
      </c>
      <c r="I396" s="206"/>
      <c r="J396" s="206">
        <f>J392+J395</f>
        <v>0</v>
      </c>
      <c r="K396" s="217">
        <f>K392+K394+K395</f>
        <v>787378.57660000003</v>
      </c>
    </row>
    <row r="397" spans="1:12" ht="14.4">
      <c r="A397" s="200"/>
      <c r="B397" s="214" t="s">
        <v>141</v>
      </c>
      <c r="C397" s="207"/>
      <c r="D397" s="203" t="s">
        <v>137</v>
      </c>
      <c r="E397" s="204"/>
      <c r="F397" s="203"/>
      <c r="G397" s="218"/>
      <c r="H397" s="219">
        <f>H396/5</f>
        <v>157475.71532000002</v>
      </c>
      <c r="I397" s="206"/>
      <c r="J397" s="206"/>
      <c r="K397" s="217">
        <f>K396*0.2</f>
        <v>157475.71532000002</v>
      </c>
    </row>
    <row r="398" spans="1:12" s="131" customFormat="1" ht="14.4" thickBot="1">
      <c r="A398" s="220"/>
      <c r="B398" s="221" t="s">
        <v>142</v>
      </c>
      <c r="C398" s="222"/>
      <c r="D398" s="222" t="s">
        <v>137</v>
      </c>
      <c r="E398" s="223"/>
      <c r="F398" s="223"/>
      <c r="G398" s="224"/>
      <c r="H398" s="225">
        <f>H396*1.2</f>
        <v>944854.29191999999</v>
      </c>
      <c r="I398" s="226"/>
      <c r="J398" s="226"/>
      <c r="K398" s="227">
        <f>K396+K397</f>
        <v>944854.29191999999</v>
      </c>
      <c r="L398" s="134">
        <v>944854.29191999999</v>
      </c>
    </row>
    <row r="399" spans="1:12" s="149" customFormat="1" ht="16.5" customHeight="1">
      <c r="A399" s="142"/>
      <c r="B399" s="143"/>
      <c r="C399" s="144"/>
      <c r="D399" s="145"/>
      <c r="E399" s="146"/>
      <c r="F399" s="147"/>
      <c r="G399" s="148"/>
      <c r="I399" s="150"/>
      <c r="J399" s="150"/>
      <c r="K399" s="151"/>
    </row>
    <row r="400" spans="1:12" ht="15" customHeight="1">
      <c r="K400" s="151"/>
    </row>
    <row r="401" spans="1:11" ht="15.75" customHeight="1">
      <c r="A401" s="152" t="s">
        <v>143</v>
      </c>
      <c r="B401" s="153"/>
      <c r="C401" s="154"/>
      <c r="D401" s="153"/>
      <c r="E401" s="155"/>
      <c r="F401" s="153"/>
      <c r="G401" s="156"/>
      <c r="H401" s="153"/>
      <c r="I401" s="157"/>
      <c r="J401" s="157"/>
      <c r="K401" s="158"/>
    </row>
    <row r="402" spans="1:11" s="45" customFormat="1" ht="15" customHeight="1">
      <c r="A402" s="160" t="s">
        <v>144</v>
      </c>
      <c r="B402" s="161"/>
      <c r="C402" s="162"/>
      <c r="D402" s="161"/>
      <c r="E402" s="163"/>
      <c r="F402" s="161"/>
      <c r="G402" s="164"/>
      <c r="H402" s="161"/>
      <c r="I402" s="165"/>
      <c r="J402" s="165"/>
      <c r="K402" s="159"/>
    </row>
    <row r="403" spans="1:11" s="45" customFormat="1" ht="15" customHeight="1">
      <c r="A403" s="160" t="s">
        <v>145</v>
      </c>
      <c r="B403" s="161"/>
      <c r="C403" s="162"/>
      <c r="D403" s="161"/>
      <c r="E403" s="163"/>
      <c r="F403" s="161"/>
      <c r="G403" s="164"/>
      <c r="H403" s="161"/>
      <c r="I403" s="165"/>
      <c r="J403" s="165"/>
      <c r="K403" s="159"/>
    </row>
    <row r="404" spans="1:11" s="45" customFormat="1" ht="15" customHeight="1">
      <c r="A404" s="160"/>
      <c r="B404" s="161"/>
      <c r="C404" s="162"/>
      <c r="D404" s="161"/>
      <c r="E404" s="163"/>
      <c r="F404" s="161"/>
      <c r="G404" s="164"/>
      <c r="H404" s="161"/>
      <c r="I404" s="165"/>
      <c r="J404" s="165"/>
      <c r="K404" s="159"/>
    </row>
    <row r="405" spans="1:11" s="45" customFormat="1" ht="15" customHeight="1">
      <c r="A405" s="160" t="s">
        <v>146</v>
      </c>
      <c r="B405" s="161"/>
      <c r="C405" s="162"/>
      <c r="D405" s="161"/>
      <c r="E405" s="163"/>
      <c r="F405" s="161"/>
      <c r="G405" s="164"/>
      <c r="H405" s="161"/>
      <c r="I405" s="165"/>
      <c r="J405" s="165"/>
      <c r="K405" s="159"/>
    </row>
    <row r="406" spans="1:11" s="45" customFormat="1" ht="48.75" customHeight="1">
      <c r="A406" s="375" t="s">
        <v>147</v>
      </c>
      <c r="B406" s="375"/>
      <c r="C406" s="375"/>
      <c r="D406" s="375"/>
      <c r="E406" s="375"/>
      <c r="F406" s="375"/>
      <c r="G406" s="375"/>
      <c r="H406" s="375"/>
      <c r="I406" s="375"/>
      <c r="J406" s="375"/>
      <c r="K406" s="375"/>
    </row>
    <row r="407" spans="1:11" s="45" customFormat="1" ht="15" customHeight="1">
      <c r="A407" s="160" t="s">
        <v>148</v>
      </c>
      <c r="B407" s="161"/>
      <c r="C407" s="162"/>
      <c r="D407" s="161"/>
      <c r="E407" s="163"/>
      <c r="F407" s="161"/>
      <c r="G407" s="164"/>
      <c r="H407" s="161"/>
      <c r="I407" s="165"/>
      <c r="J407" s="165"/>
      <c r="K407" s="159"/>
    </row>
    <row r="408" spans="1:11" s="45" customFormat="1" ht="15" customHeight="1">
      <c r="A408" s="160" t="s">
        <v>149</v>
      </c>
      <c r="B408" s="161"/>
      <c r="C408" s="162"/>
      <c r="D408" s="161"/>
      <c r="E408" s="163"/>
      <c r="F408" s="161"/>
      <c r="G408" s="164"/>
      <c r="H408" s="161"/>
      <c r="I408" s="165"/>
      <c r="J408" s="165"/>
      <c r="K408" s="159"/>
    </row>
    <row r="409" spans="1:11" s="45" customFormat="1" ht="15" customHeight="1">
      <c r="A409" s="160" t="s">
        <v>150</v>
      </c>
      <c r="B409" s="161"/>
      <c r="C409" s="162"/>
      <c r="D409" s="161"/>
      <c r="E409" s="163"/>
      <c r="F409" s="161"/>
      <c r="G409" s="164"/>
      <c r="H409" s="161"/>
      <c r="I409" s="165"/>
      <c r="J409" s="165"/>
      <c r="K409" s="159"/>
    </row>
    <row r="410" spans="1:11" s="45" customFormat="1" ht="15" customHeight="1">
      <c r="A410" s="160" t="s">
        <v>151</v>
      </c>
      <c r="B410" s="161"/>
      <c r="C410" s="162"/>
      <c r="D410" s="161"/>
      <c r="E410" s="163"/>
      <c r="F410" s="161"/>
      <c r="G410" s="164"/>
      <c r="H410" s="161"/>
      <c r="I410" s="165"/>
      <c r="J410" s="165"/>
      <c r="K410" s="159"/>
    </row>
    <row r="411" spans="1:11" s="45" customFormat="1" ht="15" customHeight="1">
      <c r="A411" s="160" t="s">
        <v>152</v>
      </c>
      <c r="B411" s="161"/>
      <c r="C411" s="162"/>
      <c r="D411" s="161"/>
      <c r="E411" s="163"/>
      <c r="F411" s="161"/>
      <c r="G411" s="164"/>
      <c r="H411" s="161"/>
      <c r="I411" s="165"/>
      <c r="J411" s="165"/>
      <c r="K411" s="159"/>
    </row>
    <row r="412" spans="1:11" s="45" customFormat="1" ht="36" customHeight="1">
      <c r="A412" s="375" t="s">
        <v>153</v>
      </c>
      <c r="B412" s="375"/>
      <c r="C412" s="375"/>
      <c r="D412" s="375"/>
      <c r="E412" s="375"/>
      <c r="F412" s="375"/>
      <c r="G412" s="375"/>
      <c r="H412" s="375"/>
      <c r="I412" s="375"/>
      <c r="J412" s="375"/>
      <c r="K412" s="375"/>
    </row>
    <row r="413" spans="1:11" s="45" customFormat="1" ht="15" customHeight="1">
      <c r="A413" s="160" t="s">
        <v>154</v>
      </c>
      <c r="B413" s="161"/>
      <c r="C413" s="162"/>
      <c r="D413" s="161"/>
      <c r="E413" s="163"/>
      <c r="F413" s="161"/>
      <c r="G413" s="164"/>
      <c r="H413" s="161"/>
      <c r="I413" s="165"/>
      <c r="J413" s="165"/>
      <c r="K413" s="159"/>
    </row>
    <row r="414" spans="1:11" s="45" customFormat="1" ht="15" customHeight="1">
      <c r="A414" s="356" t="s">
        <v>155</v>
      </c>
      <c r="B414" s="356"/>
      <c r="C414" s="356"/>
      <c r="D414" s="356"/>
      <c r="E414" s="356"/>
      <c r="F414" s="356"/>
      <c r="G414" s="356"/>
      <c r="H414" s="356"/>
      <c r="I414" s="165"/>
      <c r="J414" s="165"/>
      <c r="K414" s="159"/>
    </row>
    <row r="415" spans="1:11" s="45" customFormat="1" ht="15" customHeight="1">
      <c r="A415" s="356" t="s">
        <v>156</v>
      </c>
      <c r="B415" s="356"/>
      <c r="C415" s="356"/>
      <c r="D415" s="356"/>
      <c r="E415" s="356"/>
      <c r="F415" s="356"/>
      <c r="G415" s="356"/>
      <c r="H415" s="356"/>
      <c r="I415" s="165"/>
      <c r="J415" s="165"/>
      <c r="K415" s="159"/>
    </row>
    <row r="416" spans="1:11" s="45" customFormat="1" ht="15" customHeight="1">
      <c r="A416" s="160" t="s">
        <v>157</v>
      </c>
      <c r="B416" s="161"/>
      <c r="C416" s="162"/>
      <c r="D416" s="161"/>
      <c r="E416" s="163"/>
      <c r="F416" s="161"/>
      <c r="G416" s="164"/>
      <c r="H416" s="161"/>
      <c r="I416" s="165"/>
      <c r="J416" s="165"/>
      <c r="K416" s="159"/>
    </row>
    <row r="417" spans="1:13" s="45" customFormat="1" ht="33" customHeight="1">
      <c r="A417" s="356" t="s">
        <v>158</v>
      </c>
      <c r="B417" s="356"/>
      <c r="C417" s="356"/>
      <c r="D417" s="356"/>
      <c r="E417" s="356"/>
      <c r="F417" s="356"/>
      <c r="G417" s="356"/>
      <c r="H417" s="356"/>
      <c r="I417" s="165"/>
      <c r="J417" s="165"/>
      <c r="K417" s="159"/>
    </row>
    <row r="418" spans="1:13" s="45" customFormat="1" ht="15" customHeight="1">
      <c r="A418" s="160" t="s">
        <v>159</v>
      </c>
      <c r="B418" s="161"/>
      <c r="C418" s="162"/>
      <c r="D418" s="161"/>
      <c r="E418" s="163"/>
      <c r="F418" s="161"/>
      <c r="G418" s="164"/>
      <c r="H418" s="161"/>
      <c r="I418" s="165"/>
      <c r="J418" s="165"/>
      <c r="K418" s="159"/>
    </row>
    <row r="419" spans="1:13" s="45" customFormat="1" ht="15" customHeight="1">
      <c r="A419" s="357" t="s">
        <v>160</v>
      </c>
      <c r="B419" s="357"/>
      <c r="C419" s="357"/>
      <c r="D419" s="357"/>
      <c r="E419" s="357"/>
      <c r="F419" s="357"/>
      <c r="G419" s="357"/>
      <c r="H419" s="357"/>
      <c r="I419" s="165"/>
      <c r="J419" s="165"/>
      <c r="K419" s="159"/>
    </row>
    <row r="420" spans="1:13" s="45" customFormat="1" ht="42.6" customHeight="1">
      <c r="A420" s="355" t="s">
        <v>161</v>
      </c>
      <c r="B420" s="355"/>
      <c r="C420" s="355"/>
      <c r="D420" s="355"/>
      <c r="E420" s="355"/>
      <c r="F420" s="355"/>
      <c r="G420" s="355"/>
      <c r="H420" s="355"/>
      <c r="I420" s="165"/>
      <c r="J420" s="165"/>
      <c r="K420" s="159"/>
    </row>
    <row r="421" spans="1:13" s="45" customFormat="1" ht="15" customHeight="1">
      <c r="A421" s="355" t="s">
        <v>162</v>
      </c>
      <c r="B421" s="355"/>
      <c r="C421" s="355"/>
      <c r="D421" s="355"/>
      <c r="E421" s="355"/>
      <c r="F421" s="355"/>
      <c r="G421" s="355"/>
      <c r="H421" s="355"/>
      <c r="I421" s="165"/>
      <c r="J421" s="165"/>
      <c r="K421" s="159"/>
    </row>
    <row r="422" spans="1:13" s="45" customFormat="1" ht="15" customHeight="1">
      <c r="A422" s="355" t="s">
        <v>163</v>
      </c>
      <c r="B422" s="355"/>
      <c r="C422" s="355"/>
      <c r="D422" s="355"/>
      <c r="E422" s="355"/>
      <c r="F422" s="355"/>
      <c r="G422" s="355"/>
      <c r="H422" s="355"/>
      <c r="I422" s="165"/>
      <c r="J422" s="165"/>
      <c r="K422" s="159"/>
    </row>
    <row r="423" spans="1:13" s="45" customFormat="1" ht="15" customHeight="1">
      <c r="A423" s="355" t="s">
        <v>164</v>
      </c>
      <c r="B423" s="355"/>
      <c r="C423" s="355"/>
      <c r="D423" s="355"/>
      <c r="E423" s="355"/>
      <c r="F423" s="355"/>
      <c r="G423" s="355"/>
      <c r="H423" s="355"/>
      <c r="I423" s="165"/>
      <c r="J423" s="165"/>
      <c r="K423" s="159"/>
    </row>
    <row r="424" spans="1:13" s="45" customFormat="1" ht="15" customHeight="1">
      <c r="A424" s="355" t="s">
        <v>165</v>
      </c>
      <c r="B424" s="355"/>
      <c r="C424" s="355"/>
      <c r="D424" s="355"/>
      <c r="E424" s="355"/>
      <c r="F424" s="355"/>
      <c r="G424" s="355"/>
      <c r="H424" s="355"/>
      <c r="I424" s="165"/>
      <c r="J424" s="165"/>
      <c r="K424" s="159"/>
    </row>
    <row r="425" spans="1:13" s="45" customFormat="1" ht="15" customHeight="1">
      <c r="A425" s="355" t="s">
        <v>166</v>
      </c>
      <c r="B425" s="355"/>
      <c r="C425" s="355"/>
      <c r="D425" s="355"/>
      <c r="E425" s="355"/>
      <c r="F425" s="355"/>
      <c r="G425" s="355"/>
      <c r="H425" s="355"/>
      <c r="I425" s="165"/>
      <c r="J425" s="165"/>
      <c r="K425" s="159"/>
    </row>
    <row r="426" spans="1:13" s="45" customFormat="1" ht="15" customHeight="1">
      <c r="A426" s="355" t="s">
        <v>167</v>
      </c>
      <c r="B426" s="355"/>
      <c r="C426" s="355"/>
      <c r="D426" s="355"/>
      <c r="E426" s="355"/>
      <c r="F426" s="355"/>
      <c r="G426" s="355"/>
      <c r="H426" s="355"/>
      <c r="I426" s="165"/>
      <c r="J426" s="165"/>
      <c r="K426" s="159"/>
    </row>
    <row r="427" spans="1:13" s="45" customFormat="1" ht="15" customHeight="1">
      <c r="A427" s="355" t="s">
        <v>168</v>
      </c>
      <c r="B427" s="355"/>
      <c r="C427" s="355"/>
      <c r="D427" s="355"/>
      <c r="E427" s="355"/>
      <c r="F427" s="355"/>
      <c r="G427" s="355"/>
      <c r="H427" s="355"/>
      <c r="I427" s="165"/>
      <c r="J427" s="165"/>
      <c r="K427" s="159"/>
    </row>
    <row r="428" spans="1:13" s="45" customFormat="1" ht="15" customHeight="1">
      <c r="A428" s="355" t="s">
        <v>169</v>
      </c>
      <c r="B428" s="355"/>
      <c r="C428" s="355"/>
      <c r="D428" s="355"/>
      <c r="E428" s="355"/>
      <c r="F428" s="355"/>
      <c r="G428" s="355"/>
      <c r="H428" s="355"/>
      <c r="I428" s="165"/>
      <c r="J428" s="165"/>
      <c r="K428" s="1"/>
      <c r="L428" s="1"/>
      <c r="M428" s="1"/>
    </row>
    <row r="429" spans="1:13" s="45" customFormat="1" ht="15" customHeight="1">
      <c r="A429" s="355" t="s">
        <v>170</v>
      </c>
      <c r="B429" s="355"/>
      <c r="C429" s="355"/>
      <c r="D429" s="355"/>
      <c r="E429" s="355"/>
      <c r="F429" s="355"/>
      <c r="G429" s="355"/>
      <c r="H429" s="355"/>
      <c r="I429" s="165"/>
      <c r="J429" s="165"/>
      <c r="K429" s="1"/>
      <c r="L429" s="1"/>
      <c r="M429" s="1"/>
    </row>
    <row r="430" spans="1:13" s="45" customFormat="1" ht="15" customHeight="1">
      <c r="A430" s="353" t="s">
        <v>171</v>
      </c>
      <c r="B430" s="353"/>
      <c r="C430" s="353"/>
      <c r="D430" s="353"/>
      <c r="E430" s="353"/>
      <c r="F430" s="353"/>
      <c r="G430" s="353"/>
      <c r="H430" s="353"/>
      <c r="I430" s="353"/>
      <c r="J430" s="353"/>
      <c r="K430" s="353"/>
      <c r="L430" s="1"/>
      <c r="M430" s="1"/>
    </row>
    <row r="431" spans="1:13" s="135" customFormat="1" ht="15" customHeight="1">
      <c r="A431" s="136"/>
      <c r="C431" s="170"/>
      <c r="E431" s="171"/>
      <c r="I431" s="172"/>
      <c r="J431" s="172"/>
      <c r="K431" s="173"/>
    </row>
    <row r="432" spans="1:13" s="135" customFormat="1" ht="15" customHeight="1">
      <c r="A432" s="136"/>
      <c r="C432" s="170"/>
      <c r="E432" s="171"/>
      <c r="I432" s="172"/>
      <c r="J432" s="172"/>
      <c r="K432" s="173"/>
    </row>
    <row r="433" spans="1:17" s="135" customFormat="1" ht="15" customHeight="1">
      <c r="A433" s="174"/>
      <c r="C433" s="170"/>
      <c r="E433" s="175"/>
      <c r="G433" s="176"/>
      <c r="I433" s="172"/>
      <c r="J433" s="172"/>
      <c r="K433" s="173"/>
    </row>
    <row r="434" spans="1:17" s="181" customFormat="1" ht="15.6">
      <c r="A434" s="177"/>
      <c r="B434" s="350" t="s">
        <v>175</v>
      </c>
      <c r="C434" s="350"/>
      <c r="D434" s="179"/>
      <c r="E434" s="178"/>
      <c r="F434" s="178"/>
      <c r="G434" s="178"/>
      <c r="H434" s="354" t="s">
        <v>176</v>
      </c>
      <c r="I434" s="354"/>
      <c r="J434" s="180"/>
      <c r="K434" s="180"/>
      <c r="M434" s="182"/>
      <c r="N434" s="183"/>
      <c r="O434" s="183"/>
      <c r="P434" s="183"/>
      <c r="Q434" s="183"/>
    </row>
    <row r="435" spans="1:17" s="181" customFormat="1" ht="15.6">
      <c r="A435" s="177"/>
      <c r="B435" s="178" t="s">
        <v>177</v>
      </c>
      <c r="C435" s="178"/>
      <c r="D435" s="179"/>
      <c r="E435" s="178"/>
      <c r="F435" s="178"/>
      <c r="G435" s="178"/>
      <c r="H435" s="354" t="s">
        <v>178</v>
      </c>
      <c r="I435" s="354"/>
      <c r="J435" s="180"/>
      <c r="K435" s="180"/>
      <c r="M435" s="182"/>
      <c r="N435" s="183"/>
      <c r="O435" s="183"/>
      <c r="P435" s="183"/>
      <c r="Q435" s="183"/>
    </row>
    <row r="436" spans="1:17" s="181" customFormat="1" ht="15.6">
      <c r="A436" s="177"/>
      <c r="B436" s="178"/>
      <c r="C436" s="178"/>
      <c r="D436" s="179"/>
      <c r="E436" s="178"/>
      <c r="F436" s="178"/>
      <c r="G436" s="178"/>
      <c r="H436" s="180"/>
      <c r="I436" s="180"/>
      <c r="J436" s="180"/>
      <c r="K436" s="180"/>
      <c r="M436" s="182"/>
      <c r="N436" s="183"/>
      <c r="O436" s="183"/>
      <c r="P436" s="183"/>
      <c r="Q436" s="183"/>
    </row>
    <row r="437" spans="1:17" s="181" customFormat="1" ht="15.6">
      <c r="A437" s="177"/>
      <c r="B437" s="350" t="s">
        <v>179</v>
      </c>
      <c r="C437" s="350"/>
      <c r="D437" s="179"/>
      <c r="E437" s="178"/>
      <c r="F437" s="178"/>
      <c r="G437" s="178"/>
      <c r="H437" s="352" t="s">
        <v>179</v>
      </c>
      <c r="I437" s="352"/>
      <c r="J437" s="352"/>
      <c r="K437" s="352"/>
      <c r="M437" s="182"/>
      <c r="N437" s="183"/>
      <c r="O437" s="183"/>
      <c r="P437" s="183"/>
      <c r="Q437" s="183"/>
    </row>
    <row r="438" spans="1:17" s="181" customFormat="1" ht="15.6">
      <c r="A438" s="177"/>
      <c r="B438" s="178" t="s">
        <v>180</v>
      </c>
      <c r="C438" s="179"/>
      <c r="D438" s="179"/>
      <c r="E438" s="178"/>
      <c r="F438" s="178"/>
      <c r="G438" s="178"/>
      <c r="H438" s="180"/>
      <c r="I438" s="180"/>
      <c r="J438" s="180"/>
      <c r="K438" s="184"/>
      <c r="M438" s="182"/>
      <c r="N438" s="183"/>
      <c r="O438" s="183"/>
      <c r="P438" s="183"/>
      <c r="Q438" s="183"/>
    </row>
    <row r="439" spans="1:17" s="181" customFormat="1" ht="15.6">
      <c r="A439" s="177"/>
      <c r="B439" s="350" t="s">
        <v>181</v>
      </c>
      <c r="C439" s="350"/>
      <c r="D439" s="351"/>
      <c r="E439" s="350"/>
      <c r="F439" s="350"/>
      <c r="G439" s="350"/>
      <c r="H439" s="352" t="s">
        <v>182</v>
      </c>
      <c r="I439" s="352"/>
      <c r="J439" s="352"/>
      <c r="K439" s="352"/>
      <c r="M439" s="182"/>
      <c r="N439" s="183"/>
      <c r="O439" s="183"/>
      <c r="P439" s="183"/>
      <c r="Q439" s="183"/>
    </row>
    <row r="440" spans="1:17" s="135" customFormat="1" ht="6" customHeight="1">
      <c r="A440" s="174"/>
      <c r="C440" s="170"/>
      <c r="E440" s="175"/>
      <c r="G440" s="176"/>
      <c r="I440" s="172"/>
      <c r="J440" s="172"/>
      <c r="K440" s="173"/>
    </row>
  </sheetData>
  <autoFilter ref="A12:K398">
    <filterColumn colId="2">
      <filters>
        <filter val="43.99"/>
      </filters>
    </filterColumn>
  </autoFilter>
  <mergeCells count="44">
    <mergeCell ref="A4:F4"/>
    <mergeCell ref="G4:K4"/>
    <mergeCell ref="A1:F1"/>
    <mergeCell ref="G1:K1"/>
    <mergeCell ref="A2:F2"/>
    <mergeCell ref="G2:K2"/>
    <mergeCell ref="G3:K3"/>
    <mergeCell ref="A415:H415"/>
    <mergeCell ref="A6:K6"/>
    <mergeCell ref="A7:K7"/>
    <mergeCell ref="A8:K8"/>
    <mergeCell ref="A10:A11"/>
    <mergeCell ref="B10:B11"/>
    <mergeCell ref="C10:C11"/>
    <mergeCell ref="D10:D11"/>
    <mergeCell ref="E10:E11"/>
    <mergeCell ref="F10:F11"/>
    <mergeCell ref="G10:H10"/>
    <mergeCell ref="I10:J10"/>
    <mergeCell ref="K10:K11"/>
    <mergeCell ref="A406:K406"/>
    <mergeCell ref="A412:K412"/>
    <mergeCell ref="A414:H414"/>
    <mergeCell ref="A429:H429"/>
    <mergeCell ref="A417:H417"/>
    <mergeCell ref="A419:H419"/>
    <mergeCell ref="A420:H420"/>
    <mergeCell ref="A421:H421"/>
    <mergeCell ref="A422:H422"/>
    <mergeCell ref="A423:H423"/>
    <mergeCell ref="A424:H424"/>
    <mergeCell ref="A425:H425"/>
    <mergeCell ref="A426:H426"/>
    <mergeCell ref="A427:H427"/>
    <mergeCell ref="A428:H428"/>
    <mergeCell ref="B439:D439"/>
    <mergeCell ref="E439:G439"/>
    <mergeCell ref="H439:K439"/>
    <mergeCell ref="A430:K430"/>
    <mergeCell ref="B434:C434"/>
    <mergeCell ref="H434:I434"/>
    <mergeCell ref="H435:I435"/>
    <mergeCell ref="B437:C437"/>
    <mergeCell ref="H437:K437"/>
  </mergeCells>
  <pageMargins left="0.19685039370078741" right="0.19685039370078741" top="0.59055118110236227" bottom="0.19685039370078741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ТЗ</vt:lpstr>
      <vt:lpstr>43.29</vt:lpstr>
      <vt:lpstr>43.31</vt:lpstr>
      <vt:lpstr>43.33</vt:lpstr>
      <vt:lpstr>43.34</vt:lpstr>
      <vt:lpstr>43.99</vt:lpstr>
      <vt:lpstr>'43.29'!Область_друку</vt:lpstr>
      <vt:lpstr>'43.31'!Область_друку</vt:lpstr>
      <vt:lpstr>'43.33'!Область_друку</vt:lpstr>
      <vt:lpstr>'43.34'!Область_друку</vt:lpstr>
      <vt:lpstr>'43.99'!Область_друку</vt:lpstr>
      <vt:lpstr>ТЗ!Область_друку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Драгунов</dc:creator>
  <cp:lastModifiedBy>User</cp:lastModifiedBy>
  <cp:lastPrinted>2026-03-23T09:04:28Z</cp:lastPrinted>
  <dcterms:created xsi:type="dcterms:W3CDTF">2015-06-05T18:19:34Z</dcterms:created>
  <dcterms:modified xsi:type="dcterms:W3CDTF">2026-06-30T11:16:40Z</dcterms:modified>
</cp:coreProperties>
</file>