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ytysenko\OneDrive\Documents\Кудряшова\ГП\КДР-2\"/>
    </mc:Choice>
  </mc:AlternateContent>
  <xr:revisionPtr revIDLastSave="0" documentId="13_ncr:1_{7EEF4E21-947D-4A69-A2FF-B771C215C738}" xr6:coauthVersionLast="47" xr6:coauthVersionMax="47" xr10:uidLastSave="{00000000-0000-0000-0000-000000000000}"/>
  <bookViews>
    <workbookView xWindow="-120" yWindow="-120" windowWidth="29040" windowHeight="15720" tabRatio="500" firstSheet="11" activeTab="11" xr2:uid="{00000000-000D-0000-FFFF-FFFF00000000}"/>
  </bookViews>
  <sheets>
    <sheet name="ФУНД_Б№2" sheetId="1" state="hidden" r:id="rId1"/>
    <sheet name="ФУНД_БУД№3" sheetId="2" state="hidden" r:id="rId2"/>
    <sheet name="ФУНД_БУД№4" sheetId="3" state="hidden" r:id="rId3"/>
    <sheet name="КОТЛОВАН_Б№2" sheetId="4" state="hidden" r:id="rId4"/>
    <sheet name="КОТЛОВАН_Б№3" sheetId="5" state="hidden" r:id="rId5"/>
    <sheet name="КОТЛОВАН_№4" sheetId="6" state="hidden" r:id="rId6"/>
    <sheet name="ОБЩИЙ БЮДЖЕТ" sheetId="7" state="hidden" r:id="rId7"/>
    <sheet name="СЛУЖБОВА" sheetId="8" state="hidden" r:id="rId8"/>
    <sheet name="СУ630" sheetId="9" state="hidden" r:id="rId9"/>
    <sheet name="материалы" sheetId="10" state="hidden" r:id="rId10"/>
    <sheet name="БЮДЖЕТ_ГАТНЕ (замечания)" sheetId="11" state="hidden" r:id="rId11"/>
    <sheet name="кошторис " sheetId="12" r:id="rId12"/>
  </sheets>
  <externalReferences>
    <externalReference r:id="rId13"/>
  </externalReferences>
  <definedNames>
    <definedName name="_xlnm._FilterDatabase" localSheetId="10" hidden="1">'БЮДЖЕТ_ГАТНЕ (замечания)'!$D$6:$D$204</definedName>
    <definedName name="_xlnm._FilterDatabase" localSheetId="5">КОТЛОВАН_№4!$D$6:$D$15</definedName>
    <definedName name="_xlnm._FilterDatabase" localSheetId="3">КОТЛОВАН_Б№2!$D$6:$D$15</definedName>
    <definedName name="_xlnm._FilterDatabase" localSheetId="4">КОТЛОВАН_Б№3!$D$6:$D$16</definedName>
    <definedName name="_xlnm._FilterDatabase" localSheetId="11">'кошторис '!$B$2:$B$15</definedName>
    <definedName name="_xlnm._FilterDatabase" localSheetId="6" hidden="1">'ОБЩИЙ БЮДЖЕТ'!$D$6:$D$208</definedName>
    <definedName name="_xlnm._FilterDatabase" localSheetId="8" hidden="1">СУ630!$D$11:$D$18</definedName>
    <definedName name="_xlnm._FilterDatabase" localSheetId="0">ФУНД_Б№2!$D$6:$D$51</definedName>
    <definedName name="_xlnm._FilterDatabase" localSheetId="1">ФУНД_БУД№3!$D$6:$D$42</definedName>
    <definedName name="_xlnm._FilterDatabase" localSheetId="2">ФУНД_БУД№4!$D$6:$D$45</definedName>
    <definedName name="Z_0A146247_FAFB_4843_8B2E_6BE105ECB0AF_.wvu.Rows" localSheetId="10">'БЮДЖЕТ_ГАТНЕ (замечания)'!#REF!,'БЮДЖЕТ_ГАТНЕ (замечания)'!#REF!,'БЮДЖЕТ_ГАТНЕ (замечания)'!#REF!,'БЮДЖЕТ_ГАТНЕ (замечания)'!#REF!,'БЮДЖЕТ_ГАТНЕ (замечания)'!#REF!,'БЮДЖЕТ_ГАТНЕ (замечания)'!#REF!,'БЮДЖЕТ_ГАТНЕ (замечания)'!#REF!</definedName>
    <definedName name="Z_0A146247_FAFB_4843_8B2E_6BE105ECB0AF_.wvu.Rows" localSheetId="5">КОТЛОВАН_№4!#REF!,КОТЛОВАН_№4!#REF!,КОТЛОВАН_№4!#REF!,КОТЛОВАН_№4!#REF!,КОТЛОВАН_№4!#REF!,КОТЛОВАН_№4!#REF!,КОТЛОВАН_№4!#REF!</definedName>
    <definedName name="Z_0A146247_FAFB_4843_8B2E_6BE105ECB0AF_.wvu.Rows" localSheetId="3">КОТЛОВАН_Б№2!#REF!,КОТЛОВАН_Б№2!#REF!,КОТЛОВАН_Б№2!#REF!,КОТЛОВАН_Б№2!#REF!,КОТЛОВАН_Б№2!#REF!,КОТЛОВАН_Б№2!#REF!,КОТЛОВАН_Б№2!#REF!</definedName>
    <definedName name="Z_0A146247_FAFB_4843_8B2E_6BE105ECB0AF_.wvu.Rows" localSheetId="4">КОТЛОВАН_Б№3!#REF!,КОТЛОВАН_Б№3!#REF!,КОТЛОВАН_Б№3!#REF!,КОТЛОВАН_Б№3!#REF!,КОТЛОВАН_Б№3!#REF!,КОТЛОВАН_Б№3!#REF!,КОТЛОВАН_Б№3!#REF!</definedName>
    <definedName name="Z_0A146247_FAFB_4843_8B2E_6BE105ECB0AF_.wvu.Rows" localSheetId="9">материалы!#REF!,материалы!#REF!,материалы!#REF!,материалы!#REF!,материалы!#REF!,материалы!#REF!,материалы!#REF!</definedName>
    <definedName name="Z_0A146247_FAFB_4843_8B2E_6BE105ECB0AF_.wvu.Rows" localSheetId="6">'ОБЩИЙ БЮДЖЕТ'!#REF!,'ОБЩИЙ БЮДЖЕТ'!#REF!,'ОБЩИЙ БЮДЖЕТ'!#REF!,'ОБЩИЙ БЮДЖЕТ'!#REF!,'ОБЩИЙ БЮДЖЕТ'!#REF!,'ОБЩИЙ БЮДЖЕТ'!#REF!,'ОБЩИЙ БЮДЖЕТ'!#REF!</definedName>
    <definedName name="Z_0A146247_FAFB_4843_8B2E_6BE105ECB0AF_.wvu.Rows" localSheetId="8">СУ630!#REF!,СУ630!#REF!,СУ630!#REF!,СУ630!#REF!,СУ630!#REF!,СУ630!#REF!,СУ630!#REF!</definedName>
    <definedName name="Z_0A146247_FAFB_4843_8B2E_6BE105ECB0AF_.wvu.Rows" localSheetId="0">ФУНД_Б№2!#REF!,ФУНД_Б№2!#REF!,ФУНД_Б№2!#REF!,ФУНД_Б№2!#REF!,ФУНД_Б№2!#REF!,ФУНД_Б№2!#REF!,ФУНД_Б№2!#REF!</definedName>
    <definedName name="Z_0A146247_FAFB_4843_8B2E_6BE105ECB0AF_.wvu.Rows" localSheetId="1">ФУНД_БУД№3!#REF!,ФУНД_БУД№3!#REF!,ФУНД_БУД№3!#REF!,ФУНД_БУД№3!#REF!,ФУНД_БУД№3!#REF!,ФУНД_БУД№3!#REF!,ФУНД_БУД№3!#REF!</definedName>
    <definedName name="Z_0A146247_FAFB_4843_8B2E_6BE105ECB0AF_.wvu.Rows" localSheetId="2">ФУНД_БУД№4!#REF!,ФУНД_БУД№4!#REF!,ФУНД_БУД№4!#REF!,ФУНД_БУД№4!#REF!,ФУНД_БУД№4!#REF!,ФУНД_БУД№4!#REF!,ФУНД_БУД№4!#REF!</definedName>
    <definedName name="Z_113B2A23_FF7A_4D4F_9232_F6E7E074691C_.wvu.Rows" localSheetId="10">'БЮДЖЕТ_ГАТНЕ (замечания)'!#REF!,'БЮДЖЕТ_ГАТНЕ (замечания)'!#REF!,'БЮДЖЕТ_ГАТНЕ (замечания)'!#REF!,'БЮДЖЕТ_ГАТНЕ (замечания)'!#REF!,'БЮДЖЕТ_ГАТНЕ (замечания)'!#REF!,'БЮДЖЕТ_ГАТНЕ (замечания)'!#REF!,'БЮДЖЕТ_ГАТНЕ (замечания)'!#REF!,'БЮДЖЕТ_ГАТНЕ (замечания)'!#REF!</definedName>
    <definedName name="Z_113B2A23_FF7A_4D4F_9232_F6E7E074691C_.wvu.Rows" localSheetId="5">КОТЛОВАН_№4!#REF!,КОТЛОВАН_№4!#REF!,КОТЛОВАН_№4!#REF!,КОТЛОВАН_№4!#REF!,КОТЛОВАН_№4!#REF!,КОТЛОВАН_№4!#REF!,КОТЛОВАН_№4!#REF!,КОТЛОВАН_№4!#REF!</definedName>
    <definedName name="Z_113B2A23_FF7A_4D4F_9232_F6E7E074691C_.wvu.Rows" localSheetId="3">КОТЛОВАН_Б№2!#REF!,КОТЛОВАН_Б№2!#REF!,КОТЛОВАН_Б№2!#REF!,КОТЛОВАН_Б№2!#REF!,КОТЛОВАН_Б№2!#REF!,КОТЛОВАН_Б№2!#REF!,КОТЛОВАН_Б№2!#REF!,КОТЛОВАН_Б№2!#REF!</definedName>
    <definedName name="Z_113B2A23_FF7A_4D4F_9232_F6E7E074691C_.wvu.Rows" localSheetId="4">КОТЛОВАН_Б№3!#REF!,КОТЛОВАН_Б№3!#REF!,КОТЛОВАН_Б№3!#REF!,КОТЛОВАН_Б№3!#REF!,КОТЛОВАН_Б№3!#REF!,КОТЛОВАН_Б№3!#REF!,КОТЛОВАН_Б№3!#REF!,КОТЛОВАН_Б№3!#REF!</definedName>
    <definedName name="Z_113B2A23_FF7A_4D4F_9232_F6E7E074691C_.wvu.Rows" localSheetId="9">материалы!#REF!,материалы!#REF!,материалы!#REF!,материалы!#REF!,материалы!#REF!,материалы!#REF!,материалы!#REF!,материалы!#REF!</definedName>
    <definedName name="Z_113B2A23_FF7A_4D4F_9232_F6E7E074691C_.wvu.Rows" localSheetId="6">'ОБЩИЙ БЮДЖЕТ'!#REF!,'ОБЩИЙ БЮДЖЕТ'!#REF!,'ОБЩИЙ БЮДЖЕТ'!#REF!,'ОБЩИЙ БЮДЖЕТ'!#REF!,'ОБЩИЙ БЮДЖЕТ'!#REF!,'ОБЩИЙ БЮДЖЕТ'!#REF!,'ОБЩИЙ БЮДЖЕТ'!#REF!,'ОБЩИЙ БЮДЖЕТ'!#REF!</definedName>
    <definedName name="Z_113B2A23_FF7A_4D4F_9232_F6E7E074691C_.wvu.Rows" localSheetId="8">СУ630!#REF!,СУ630!#REF!,СУ630!#REF!,СУ630!#REF!,СУ630!#REF!,СУ630!#REF!,СУ630!#REF!,СУ630!#REF!</definedName>
    <definedName name="Z_113B2A23_FF7A_4D4F_9232_F6E7E074691C_.wvu.Rows" localSheetId="0">ФУНД_Б№2!#REF!,ФУНД_Б№2!#REF!,ФУНД_Б№2!#REF!,ФУНД_Б№2!#REF!,ФУНД_Б№2!#REF!,ФУНД_Б№2!#REF!,ФУНД_Б№2!#REF!,ФУНД_Б№2!#REF!</definedName>
    <definedName name="Z_113B2A23_FF7A_4D4F_9232_F6E7E074691C_.wvu.Rows" localSheetId="1">ФУНД_БУД№3!#REF!,ФУНД_БУД№3!#REF!,ФУНД_БУД№3!#REF!,ФУНД_БУД№3!#REF!,ФУНД_БУД№3!#REF!,ФУНД_БУД№3!#REF!,ФУНД_БУД№3!#REF!,ФУНД_БУД№3!#REF!</definedName>
    <definedName name="Z_113B2A23_FF7A_4D4F_9232_F6E7E074691C_.wvu.Rows" localSheetId="2">ФУНД_БУД№4!#REF!,ФУНД_БУД№4!#REF!,ФУНД_БУД№4!#REF!,ФУНД_БУД№4!#REF!,ФУНД_БУД№4!#REF!,ФУНД_БУД№4!#REF!,ФУНД_БУД№4!#REF!,ФУНД_БУД№4!#REF!</definedName>
    <definedName name="Z_99585AE0_310A_443B_AA88_42ECDEB16C11_.wvu.FilterData" localSheetId="10">'БЮДЖЕТ_ГАТНЕ (замечания)'!$C$9:$K$27</definedName>
    <definedName name="Z_99585AE0_310A_443B_AA88_42ECDEB16C11_.wvu.FilterData" localSheetId="5">КОТЛОВАН_№4!$C$9:$K$9</definedName>
    <definedName name="Z_99585AE0_310A_443B_AA88_42ECDEB16C11_.wvu.FilterData" localSheetId="3">КОТЛОВАН_Б№2!$C$9:$K$9</definedName>
    <definedName name="Z_99585AE0_310A_443B_AA88_42ECDEB16C11_.wvu.FilterData" localSheetId="4">КОТЛОВАН_Б№3!$C$9:$K$9</definedName>
    <definedName name="Z_99585AE0_310A_443B_AA88_42ECDEB16C11_.wvu.FilterData" localSheetId="9">материалы!$C$3:$I$36</definedName>
    <definedName name="Z_99585AE0_310A_443B_AA88_42ECDEB16C11_.wvu.FilterData" localSheetId="6">'ОБЩИЙ БЮДЖЕТ'!$C$9:$K$27</definedName>
    <definedName name="Z_99585AE0_310A_443B_AA88_42ECDEB16C11_.wvu.FilterData" localSheetId="8">СУ630!$C$14:$K$14</definedName>
    <definedName name="Z_99585AE0_310A_443B_AA88_42ECDEB16C11_.wvu.FilterData" localSheetId="0">ФУНД_Б№2!$C$9:$K$10</definedName>
    <definedName name="Z_99585AE0_310A_443B_AA88_42ECDEB16C11_.wvu.FilterData" localSheetId="1">ФУНД_БУД№3!$C$9:$K$9</definedName>
    <definedName name="Z_99585AE0_310A_443B_AA88_42ECDEB16C11_.wvu.FilterData" localSheetId="2">ФУНД_БУД№4!$C$9:$K$9</definedName>
    <definedName name="Z_99585AE0_310A_443B_AA88_42ECDEB16C11_.wvu.PrintArea" localSheetId="10">'БЮДЖЕТ_ГАТНЕ (замечания)'!$C$2:$M$27</definedName>
    <definedName name="Z_99585AE0_310A_443B_AA88_42ECDEB16C11_.wvu.PrintArea" localSheetId="5">КОТЛОВАН_№4!$C$2:$M$9</definedName>
    <definedName name="Z_99585AE0_310A_443B_AA88_42ECDEB16C11_.wvu.PrintArea" localSheetId="3">КОТЛОВАН_Б№2!$C$2:$M$9</definedName>
    <definedName name="Z_99585AE0_310A_443B_AA88_42ECDEB16C11_.wvu.PrintArea" localSheetId="4">КОТЛОВАН_Б№3!$C$2:$M$9</definedName>
    <definedName name="Z_99585AE0_310A_443B_AA88_42ECDEB16C11_.wvu.PrintArea" localSheetId="9">материалы!$C$3:$J$36</definedName>
    <definedName name="Z_99585AE0_310A_443B_AA88_42ECDEB16C11_.wvu.PrintArea" localSheetId="6">'ОБЩИЙ БЮДЖЕТ'!$C$2:$M$27</definedName>
    <definedName name="Z_99585AE0_310A_443B_AA88_42ECDEB16C11_.wvu.PrintArea" localSheetId="8">СУ630!$C$9:$M$14</definedName>
    <definedName name="Z_99585AE0_310A_443B_AA88_42ECDEB16C11_.wvu.PrintArea" localSheetId="0">ФУНД_Б№2!$C$2:$M$10</definedName>
    <definedName name="Z_99585AE0_310A_443B_AA88_42ECDEB16C11_.wvu.PrintArea" localSheetId="1">ФУНД_БУД№3!$C$2:$M$9</definedName>
    <definedName name="Z_99585AE0_310A_443B_AA88_42ECDEB16C11_.wvu.PrintArea" localSheetId="2">ФУНД_БУД№4!$C$2:$M$9</definedName>
    <definedName name="Z_99585AE0_310A_443B_AA88_42ECDEB16C11_.wvu.Rows" localSheetId="10">'БЮДЖЕТ_ГАТНЕ (замечания)'!#REF!,'БЮДЖЕТ_ГАТНЕ (замечания)'!#REF!,'БЮДЖЕТ_ГАТНЕ (замечания)'!#REF!</definedName>
    <definedName name="Z_99585AE0_310A_443B_AA88_42ECDEB16C11_.wvu.Rows" localSheetId="5">КОТЛОВАН_№4!#REF!,КОТЛОВАН_№4!#REF!,КОТЛОВАН_№4!#REF!</definedName>
    <definedName name="Z_99585AE0_310A_443B_AA88_42ECDEB16C11_.wvu.Rows" localSheetId="3">КОТЛОВАН_Б№2!#REF!,КОТЛОВАН_Б№2!#REF!,КОТЛОВАН_Б№2!#REF!</definedName>
    <definedName name="Z_99585AE0_310A_443B_AA88_42ECDEB16C11_.wvu.Rows" localSheetId="4">КОТЛОВАН_Б№3!#REF!,КОТЛОВАН_Б№3!#REF!,КОТЛОВАН_Б№3!#REF!</definedName>
    <definedName name="Z_99585AE0_310A_443B_AA88_42ECDEB16C11_.wvu.Rows" localSheetId="9">материалы!#REF!,материалы!#REF!,материалы!#REF!</definedName>
    <definedName name="Z_99585AE0_310A_443B_AA88_42ECDEB16C11_.wvu.Rows" localSheetId="6">'ОБЩИЙ БЮДЖЕТ'!#REF!,'ОБЩИЙ БЮДЖЕТ'!#REF!,'ОБЩИЙ БЮДЖЕТ'!#REF!</definedName>
    <definedName name="Z_99585AE0_310A_443B_AA88_42ECDEB16C11_.wvu.Rows" localSheetId="8">СУ630!#REF!,СУ630!#REF!,СУ630!#REF!</definedName>
    <definedName name="Z_99585AE0_310A_443B_AA88_42ECDEB16C11_.wvu.Rows" localSheetId="0">ФУНД_Б№2!#REF!,ФУНД_Б№2!#REF!,ФУНД_Б№2!#REF!</definedName>
    <definedName name="Z_99585AE0_310A_443B_AA88_42ECDEB16C11_.wvu.Rows" localSheetId="1">ФУНД_БУД№3!#REF!,ФУНД_БУД№3!#REF!,ФУНД_БУД№3!#REF!</definedName>
    <definedName name="Z_99585AE0_310A_443B_AA88_42ECDEB16C11_.wvu.Rows" localSheetId="2">ФУНД_БУД№4!#REF!,ФУНД_БУД№4!#REF!,ФУНД_БУД№4!#REF!</definedName>
    <definedName name="Z_99BCB7DF_9412_4CAE_8A7F_F86A00F8A872_.wvu.Rows" localSheetId="10">'БЮДЖЕТ_ГАТНЕ (замечания)'!#REF!,'БЮДЖЕТ_ГАТНЕ (замечания)'!#REF!,'БЮДЖЕТ_ГАТНЕ (замечания)'!#REF!</definedName>
    <definedName name="Z_99BCB7DF_9412_4CAE_8A7F_F86A00F8A872_.wvu.Rows" localSheetId="5">КОТЛОВАН_№4!#REF!,КОТЛОВАН_№4!#REF!,КОТЛОВАН_№4!#REF!</definedName>
    <definedName name="Z_99BCB7DF_9412_4CAE_8A7F_F86A00F8A872_.wvu.Rows" localSheetId="3">КОТЛОВАН_Б№2!#REF!,КОТЛОВАН_Б№2!#REF!,КОТЛОВАН_Б№2!#REF!</definedName>
    <definedName name="Z_99BCB7DF_9412_4CAE_8A7F_F86A00F8A872_.wvu.Rows" localSheetId="4">КОТЛОВАН_Б№3!#REF!,КОТЛОВАН_Б№3!#REF!,КОТЛОВАН_Б№3!#REF!</definedName>
    <definedName name="Z_99BCB7DF_9412_4CAE_8A7F_F86A00F8A872_.wvu.Rows" localSheetId="9">материалы!#REF!,материалы!#REF!,материалы!#REF!</definedName>
    <definedName name="Z_99BCB7DF_9412_4CAE_8A7F_F86A00F8A872_.wvu.Rows" localSheetId="6">'ОБЩИЙ БЮДЖЕТ'!#REF!,'ОБЩИЙ БЮДЖЕТ'!#REF!,'ОБЩИЙ БЮДЖЕТ'!#REF!</definedName>
    <definedName name="Z_99BCB7DF_9412_4CAE_8A7F_F86A00F8A872_.wvu.Rows" localSheetId="8">СУ630!#REF!,СУ630!#REF!,СУ630!#REF!</definedName>
    <definedName name="Z_99BCB7DF_9412_4CAE_8A7F_F86A00F8A872_.wvu.Rows" localSheetId="0">ФУНД_Б№2!#REF!,ФУНД_Б№2!#REF!,ФУНД_Б№2!#REF!</definedName>
    <definedName name="Z_99BCB7DF_9412_4CAE_8A7F_F86A00F8A872_.wvu.Rows" localSheetId="1">ФУНД_БУД№3!#REF!,ФУНД_БУД№3!#REF!,ФУНД_БУД№3!#REF!</definedName>
    <definedName name="Z_99BCB7DF_9412_4CAE_8A7F_F86A00F8A872_.wvu.Rows" localSheetId="2">ФУНД_БУД№4!#REF!,ФУНД_БУД№4!#REF!,ФУНД_БУД№4!#REF!</definedName>
    <definedName name="матеріали">'[1]матер-ли'!$B$6:$B$244</definedName>
    <definedName name="_xlnm.Print_Area" localSheetId="10">'БЮДЖЕТ_ГАТНЕ (замечания)'!$B$2:$N$201</definedName>
    <definedName name="_xlnm.Print_Area" localSheetId="5">КОТЛОВАН_№4!$B$2:$Q$47</definedName>
    <definedName name="_xlnm.Print_Area" localSheetId="3">КОТЛОВАН_Б№2!$B$2:$Q$15</definedName>
    <definedName name="_xlnm.Print_Area" localSheetId="4">КОТЛОВАН_Б№3!$B$2:$Q$16</definedName>
    <definedName name="_xlnm.Print_Area" localSheetId="11">'кошторис '!$A$2:$I$17</definedName>
    <definedName name="_xlnm.Print_Area" localSheetId="9">материалы!$B$2:$H$150</definedName>
    <definedName name="_xlnm.Print_Area" localSheetId="6">'ОБЩИЙ БЮДЖЕТ'!$B$2:$Q$205</definedName>
    <definedName name="_xlnm.Print_Area" localSheetId="7">СЛУЖБОВА!$B$2:$K$37</definedName>
    <definedName name="_xlnm.Print_Area" localSheetId="8">СУ630!$B$2:$N$46</definedName>
    <definedName name="_xlnm.Print_Area" localSheetId="0">ФУНД_Б№2!$B$2:$L$48</definedName>
    <definedName name="_xlnm.Print_Area" localSheetId="1">ФУНД_БУД№3!$B$2:$L$42</definedName>
    <definedName name="_xlnm.Print_Area" localSheetId="2">ФУНД_БУД№4!$B$2:$L$45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2" l="1"/>
  <c r="D15" i="12" l="1"/>
  <c r="I197" i="11"/>
  <c r="K197" i="11" s="1"/>
  <c r="L196" i="11"/>
  <c r="I195" i="11"/>
  <c r="K195" i="11" s="1"/>
  <c r="I194" i="11"/>
  <c r="K194" i="11" s="1"/>
  <c r="I193" i="11"/>
  <c r="K193" i="11" s="1"/>
  <c r="I192" i="11"/>
  <c r="L192" i="11" s="1"/>
  <c r="L191" i="11" s="1"/>
  <c r="J191" i="11"/>
  <c r="L189" i="11"/>
  <c r="G188" i="11"/>
  <c r="I188" i="11" s="1"/>
  <c r="K188" i="11" s="1"/>
  <c r="G187" i="11"/>
  <c r="I187" i="11" s="1"/>
  <c r="G186" i="11"/>
  <c r="I186" i="11" s="1"/>
  <c r="K186" i="11" s="1"/>
  <c r="G185" i="11"/>
  <c r="I185" i="11" s="1"/>
  <c r="K185" i="11" s="1"/>
  <c r="J184" i="11"/>
  <c r="G183" i="11"/>
  <c r="I183" i="11" s="1"/>
  <c r="K183" i="11" s="1"/>
  <c r="G182" i="11"/>
  <c r="I182" i="11" s="1"/>
  <c r="G181" i="11"/>
  <c r="I181" i="11" s="1"/>
  <c r="K181" i="11" s="1"/>
  <c r="G180" i="11"/>
  <c r="I180" i="11" s="1"/>
  <c r="K180" i="11" s="1"/>
  <c r="J179" i="11"/>
  <c r="G178" i="11"/>
  <c r="I178" i="11" s="1"/>
  <c r="K178" i="11" s="1"/>
  <c r="G177" i="11"/>
  <c r="I177" i="11" s="1"/>
  <c r="K177" i="11" s="1"/>
  <c r="G176" i="11"/>
  <c r="I176" i="11" s="1"/>
  <c r="J175" i="11"/>
  <c r="J174" i="11"/>
  <c r="J173" i="11" s="1"/>
  <c r="G173" i="11"/>
  <c r="I173" i="11" s="1"/>
  <c r="G172" i="11"/>
  <c r="I172" i="11" s="1"/>
  <c r="H167" i="11"/>
  <c r="J167" i="11" s="1"/>
  <c r="H166" i="11"/>
  <c r="J166" i="11" s="1"/>
  <c r="H165" i="11"/>
  <c r="F165" i="11"/>
  <c r="I164" i="11"/>
  <c r="L164" i="11" s="1"/>
  <c r="H163" i="11"/>
  <c r="F163" i="11"/>
  <c r="J163" i="11" s="1"/>
  <c r="J162" i="11"/>
  <c r="F160" i="11"/>
  <c r="J160" i="11" s="1"/>
  <c r="F159" i="11"/>
  <c r="J159" i="11" s="1"/>
  <c r="F158" i="11"/>
  <c r="H157" i="11"/>
  <c r="F157" i="11"/>
  <c r="I156" i="11"/>
  <c r="L156" i="11" s="1"/>
  <c r="H155" i="11"/>
  <c r="F155" i="11"/>
  <c r="J155" i="11" s="1"/>
  <c r="J154" i="11" s="1"/>
  <c r="I154" i="11"/>
  <c r="L154" i="11" s="1"/>
  <c r="F151" i="11"/>
  <c r="J151" i="11" s="1"/>
  <c r="J150" i="11" s="1"/>
  <c r="I150" i="11"/>
  <c r="L150" i="11" s="1"/>
  <c r="F149" i="11"/>
  <c r="F152" i="11" s="1"/>
  <c r="I152" i="11" s="1"/>
  <c r="H147" i="11"/>
  <c r="J147" i="11" s="1"/>
  <c r="H146" i="11"/>
  <c r="J146" i="11" s="1"/>
  <c r="H145" i="11"/>
  <c r="J145" i="11" s="1"/>
  <c r="I144" i="11"/>
  <c r="L144" i="11" s="1"/>
  <c r="H143" i="11"/>
  <c r="J143" i="11" s="1"/>
  <c r="F143" i="11"/>
  <c r="J142" i="11"/>
  <c r="F141" i="11"/>
  <c r="J141" i="11" s="1"/>
  <c r="F140" i="11"/>
  <c r="J140" i="11" s="1"/>
  <c r="F139" i="11"/>
  <c r="J139" i="11" s="1"/>
  <c r="F138" i="11"/>
  <c r="J138" i="11" s="1"/>
  <c r="H137" i="11"/>
  <c r="F137" i="11"/>
  <c r="I136" i="11"/>
  <c r="L136" i="11" s="1"/>
  <c r="H135" i="11"/>
  <c r="F135" i="11"/>
  <c r="I134" i="11"/>
  <c r="L134" i="11" s="1"/>
  <c r="F133" i="11"/>
  <c r="J133" i="11" s="1"/>
  <c r="J132" i="11" s="1"/>
  <c r="I132" i="11"/>
  <c r="L132" i="11" s="1"/>
  <c r="L131" i="11"/>
  <c r="I131" i="11"/>
  <c r="K131" i="11" s="1"/>
  <c r="H129" i="11"/>
  <c r="F129" i="11"/>
  <c r="H128" i="11"/>
  <c r="F128" i="11"/>
  <c r="J127" i="11"/>
  <c r="H127" i="11"/>
  <c r="F127" i="11"/>
  <c r="F126" i="11"/>
  <c r="I126" i="11" s="1"/>
  <c r="L126" i="11" s="1"/>
  <c r="H125" i="11"/>
  <c r="F125" i="11"/>
  <c r="J124" i="11"/>
  <c r="F122" i="11"/>
  <c r="J122" i="11" s="1"/>
  <c r="F121" i="11"/>
  <c r="J121" i="11" s="1"/>
  <c r="F120" i="11"/>
  <c r="H119" i="11"/>
  <c r="F118" i="11"/>
  <c r="F196" i="11" s="1"/>
  <c r="I196" i="11" s="1"/>
  <c r="K196" i="11" s="1"/>
  <c r="H117" i="11"/>
  <c r="J117" i="11" s="1"/>
  <c r="F116" i="11"/>
  <c r="J116" i="11" s="1"/>
  <c r="J115" i="11"/>
  <c r="I114" i="11"/>
  <c r="L114" i="11" s="1"/>
  <c r="J113" i="11"/>
  <c r="J112" i="11" s="1"/>
  <c r="I112" i="11"/>
  <c r="L112" i="11" s="1"/>
  <c r="H111" i="11"/>
  <c r="F111" i="11"/>
  <c r="J111" i="11" s="1"/>
  <c r="J110" i="11" s="1"/>
  <c r="I110" i="11"/>
  <c r="L110" i="11" s="1"/>
  <c r="F109" i="11"/>
  <c r="J109" i="11" s="1"/>
  <c r="J108" i="11"/>
  <c r="I108" i="11"/>
  <c r="L108" i="11" s="1"/>
  <c r="F107" i="11"/>
  <c r="J107" i="11" s="1"/>
  <c r="J106" i="11" s="1"/>
  <c r="I106" i="11"/>
  <c r="L106" i="11" s="1"/>
  <c r="F105" i="11"/>
  <c r="F99" i="11"/>
  <c r="I99" i="11" s="1"/>
  <c r="I98" i="11"/>
  <c r="K98" i="11" s="1"/>
  <c r="F97" i="11"/>
  <c r="F94" i="11"/>
  <c r="J91" i="11"/>
  <c r="J90" i="11"/>
  <c r="H89" i="11"/>
  <c r="J89" i="11" s="1"/>
  <c r="F88" i="11"/>
  <c r="J88" i="11" s="1"/>
  <c r="F87" i="11"/>
  <c r="J87" i="11" s="1"/>
  <c r="I86" i="11"/>
  <c r="L86" i="11" s="1"/>
  <c r="H85" i="11"/>
  <c r="H84" i="11"/>
  <c r="F84" i="11"/>
  <c r="F85" i="11" s="1"/>
  <c r="H83" i="11"/>
  <c r="F83" i="11"/>
  <c r="F80" i="11" s="1"/>
  <c r="I80" i="11" s="1"/>
  <c r="H82" i="11"/>
  <c r="J82" i="11" s="1"/>
  <c r="F79" i="11"/>
  <c r="I79" i="11" s="1"/>
  <c r="L79" i="11" s="1"/>
  <c r="H78" i="11"/>
  <c r="H77" i="11"/>
  <c r="F77" i="11"/>
  <c r="F78" i="11" s="1"/>
  <c r="H76" i="11"/>
  <c r="F76" i="11"/>
  <c r="F73" i="11" s="1"/>
  <c r="I73" i="11" s="1"/>
  <c r="H75" i="11"/>
  <c r="J75" i="11" s="1"/>
  <c r="F72" i="11"/>
  <c r="I72" i="11" s="1"/>
  <c r="L72" i="11" s="1"/>
  <c r="H71" i="11"/>
  <c r="F71" i="11"/>
  <c r="F69" i="11"/>
  <c r="I69" i="11" s="1"/>
  <c r="H68" i="11"/>
  <c r="H67" i="11"/>
  <c r="J67" i="11" s="1"/>
  <c r="F67" i="11"/>
  <c r="F63" i="11" s="1"/>
  <c r="I63" i="11" s="1"/>
  <c r="H66" i="11"/>
  <c r="F66" i="11"/>
  <c r="F62" i="11" s="1"/>
  <c r="I62" i="11" s="1"/>
  <c r="L62" i="11" s="1"/>
  <c r="H65" i="11"/>
  <c r="J65" i="11" s="1"/>
  <c r="H64" i="11"/>
  <c r="J64" i="11" s="1"/>
  <c r="F61" i="11"/>
  <c r="I61" i="11" s="1"/>
  <c r="L61" i="11" s="1"/>
  <c r="I60" i="11"/>
  <c r="K60" i="11" s="1"/>
  <c r="F57" i="11"/>
  <c r="I57" i="11" s="1"/>
  <c r="F55" i="11"/>
  <c r="F56" i="11" s="1"/>
  <c r="I53" i="11"/>
  <c r="K53" i="11" s="1"/>
  <c r="F52" i="11"/>
  <c r="I52" i="11" s="1"/>
  <c r="I51" i="11"/>
  <c r="K51" i="11" s="1"/>
  <c r="I50" i="11"/>
  <c r="K50" i="11" s="1"/>
  <c r="J48" i="11"/>
  <c r="J47" i="11" s="1"/>
  <c r="I47" i="11"/>
  <c r="L47" i="11" s="1"/>
  <c r="F46" i="11"/>
  <c r="J46" i="11" s="1"/>
  <c r="H45" i="11"/>
  <c r="F45" i="11"/>
  <c r="I44" i="11"/>
  <c r="L44" i="11" s="1"/>
  <c r="J43" i="11"/>
  <c r="J42" i="11"/>
  <c r="H41" i="11"/>
  <c r="J41" i="11" s="1"/>
  <c r="H40" i="11"/>
  <c r="F40" i="11"/>
  <c r="H39" i="11"/>
  <c r="F39" i="11"/>
  <c r="I38" i="11"/>
  <c r="L38" i="11" s="1"/>
  <c r="H37" i="11"/>
  <c r="H36" i="11"/>
  <c r="F36" i="11"/>
  <c r="F37" i="11" s="1"/>
  <c r="H35" i="11"/>
  <c r="F35" i="11"/>
  <c r="F32" i="11" s="1"/>
  <c r="I32" i="11" s="1"/>
  <c r="H34" i="11"/>
  <c r="J34" i="11" s="1"/>
  <c r="F31" i="11"/>
  <c r="I31" i="11" s="1"/>
  <c r="L31" i="11" s="1"/>
  <c r="H30" i="11"/>
  <c r="H29" i="11"/>
  <c r="H28" i="11"/>
  <c r="J28" i="11" s="1"/>
  <c r="H27" i="11"/>
  <c r="F27" i="11"/>
  <c r="F28" i="11" s="1"/>
  <c r="F25" i="11" s="1"/>
  <c r="I25" i="11" s="1"/>
  <c r="H23" i="11"/>
  <c r="F23" i="11"/>
  <c r="J23" i="11" s="1"/>
  <c r="J21" i="11" s="1"/>
  <c r="F21" i="11"/>
  <c r="I21" i="11" s="1"/>
  <c r="L21" i="11" s="1"/>
  <c r="H20" i="11"/>
  <c r="F20" i="11"/>
  <c r="J20" i="11" s="1"/>
  <c r="H19" i="11"/>
  <c r="F19" i="11"/>
  <c r="F15" i="11" s="1"/>
  <c r="I15" i="11" s="1"/>
  <c r="H18" i="11"/>
  <c r="F18" i="11"/>
  <c r="H17" i="11"/>
  <c r="J17" i="11" s="1"/>
  <c r="H16" i="11"/>
  <c r="J16" i="11" s="1"/>
  <c r="F14" i="11"/>
  <c r="I14" i="11" s="1"/>
  <c r="F13" i="11"/>
  <c r="I13" i="11" s="1"/>
  <c r="L13" i="11" s="1"/>
  <c r="F12" i="11"/>
  <c r="I12" i="11" s="1"/>
  <c r="L12" i="11" s="1"/>
  <c r="F148" i="10"/>
  <c r="E148" i="10"/>
  <c r="D148" i="10"/>
  <c r="F143" i="10"/>
  <c r="E143" i="10"/>
  <c r="D143" i="10"/>
  <c r="F138" i="10"/>
  <c r="E138" i="10"/>
  <c r="D138" i="10"/>
  <c r="F133" i="10"/>
  <c r="E133" i="10"/>
  <c r="D133" i="10"/>
  <c r="F128" i="10"/>
  <c r="E128" i="10"/>
  <c r="D128" i="10"/>
  <c r="F123" i="10"/>
  <c r="E123" i="10"/>
  <c r="D123" i="10"/>
  <c r="F118" i="10"/>
  <c r="E118" i="10"/>
  <c r="D118" i="10"/>
  <c r="F113" i="10"/>
  <c r="E113" i="10"/>
  <c r="D113" i="10"/>
  <c r="F108" i="10"/>
  <c r="E108" i="10"/>
  <c r="D108" i="10"/>
  <c r="F105" i="10"/>
  <c r="E105" i="10"/>
  <c r="D105" i="10"/>
  <c r="F102" i="10"/>
  <c r="E102" i="10"/>
  <c r="D102" i="10"/>
  <c r="F99" i="10"/>
  <c r="E99" i="10"/>
  <c r="D99" i="10"/>
  <c r="F96" i="10"/>
  <c r="E96" i="10"/>
  <c r="D96" i="10"/>
  <c r="F93" i="10"/>
  <c r="E93" i="10"/>
  <c r="D93" i="10"/>
  <c r="F89" i="10"/>
  <c r="E89" i="10"/>
  <c r="D89" i="10"/>
  <c r="F86" i="10"/>
  <c r="E86" i="10"/>
  <c r="D86" i="10"/>
  <c r="F83" i="10"/>
  <c r="E83" i="10"/>
  <c r="D83" i="10"/>
  <c r="F79" i="10"/>
  <c r="E79" i="10"/>
  <c r="D79" i="10"/>
  <c r="F74" i="10"/>
  <c r="E74" i="10"/>
  <c r="D74" i="10"/>
  <c r="F71" i="10"/>
  <c r="E71" i="10"/>
  <c r="D71" i="10"/>
  <c r="F68" i="10"/>
  <c r="E68" i="10"/>
  <c r="D68" i="10"/>
  <c r="F64" i="10"/>
  <c r="E64" i="10"/>
  <c r="D64" i="10"/>
  <c r="F60" i="10"/>
  <c r="E60" i="10"/>
  <c r="D60" i="10"/>
  <c r="F56" i="10"/>
  <c r="E56" i="10"/>
  <c r="D56" i="10"/>
  <c r="F51" i="10"/>
  <c r="E51" i="10"/>
  <c r="D51" i="10"/>
  <c r="F46" i="10"/>
  <c r="E46" i="10"/>
  <c r="D46" i="10"/>
  <c r="F38" i="10"/>
  <c r="E38" i="10"/>
  <c r="D38" i="10"/>
  <c r="F35" i="10"/>
  <c r="E35" i="10"/>
  <c r="D35" i="10"/>
  <c r="F28" i="10"/>
  <c r="E28" i="10"/>
  <c r="D28" i="10"/>
  <c r="F20" i="10"/>
  <c r="E20" i="10"/>
  <c r="D20" i="10"/>
  <c r="F12" i="10"/>
  <c r="E12" i="10"/>
  <c r="D12" i="10"/>
  <c r="F8" i="10"/>
  <c r="E8" i="10"/>
  <c r="D8" i="10"/>
  <c r="F2" i="10"/>
  <c r="E2" i="10"/>
  <c r="D2" i="10"/>
  <c r="G27" i="9"/>
  <c r="I27" i="9" s="1"/>
  <c r="K27" i="9" s="1"/>
  <c r="G26" i="9"/>
  <c r="G25" i="9"/>
  <c r="F25" i="9"/>
  <c r="F26" i="9" s="1"/>
  <c r="J24" i="9"/>
  <c r="G23" i="9"/>
  <c r="I23" i="9" s="1"/>
  <c r="K23" i="9" s="1"/>
  <c r="G22" i="9"/>
  <c r="F22" i="9"/>
  <c r="I22" i="9" s="1"/>
  <c r="K22" i="9" s="1"/>
  <c r="G21" i="9"/>
  <c r="I21" i="9" s="1"/>
  <c r="K21" i="9" s="1"/>
  <c r="G20" i="9"/>
  <c r="I20" i="9" s="1"/>
  <c r="J19" i="9"/>
  <c r="G18" i="9"/>
  <c r="I18" i="9" s="1"/>
  <c r="K18" i="9" s="1"/>
  <c r="G17" i="9"/>
  <c r="G16" i="9"/>
  <c r="F16" i="9"/>
  <c r="J15" i="9"/>
  <c r="I202" i="7"/>
  <c r="K202" i="7" s="1"/>
  <c r="I201" i="7"/>
  <c r="K201" i="7" s="1"/>
  <c r="L200" i="7"/>
  <c r="I199" i="7"/>
  <c r="K199" i="7" s="1"/>
  <c r="I198" i="7"/>
  <c r="K198" i="7" s="1"/>
  <c r="I197" i="7"/>
  <c r="K197" i="7" s="1"/>
  <c r="I196" i="7"/>
  <c r="L196" i="7" s="1"/>
  <c r="J195" i="7"/>
  <c r="L193" i="7"/>
  <c r="G192" i="7"/>
  <c r="I192" i="7" s="1"/>
  <c r="K192" i="7" s="1"/>
  <c r="G191" i="7"/>
  <c r="I191" i="7" s="1"/>
  <c r="K191" i="7" s="1"/>
  <c r="G190" i="7"/>
  <c r="F190" i="7"/>
  <c r="G189" i="7"/>
  <c r="F189" i="7"/>
  <c r="J188" i="7"/>
  <c r="G187" i="7"/>
  <c r="I187" i="7" s="1"/>
  <c r="K187" i="7" s="1"/>
  <c r="G186" i="7"/>
  <c r="I186" i="7" s="1"/>
  <c r="K186" i="7" s="1"/>
  <c r="G185" i="7"/>
  <c r="I185" i="7" s="1"/>
  <c r="K185" i="7" s="1"/>
  <c r="G184" i="7"/>
  <c r="I184" i="7" s="1"/>
  <c r="J183" i="7"/>
  <c r="G182" i="7"/>
  <c r="I182" i="7" s="1"/>
  <c r="K182" i="7" s="1"/>
  <c r="G181" i="7"/>
  <c r="G180" i="7"/>
  <c r="F180" i="7"/>
  <c r="G179" i="7"/>
  <c r="F179" i="7"/>
  <c r="F181" i="7" s="1"/>
  <c r="J178" i="7"/>
  <c r="J177" i="7"/>
  <c r="J176" i="7" s="1"/>
  <c r="J174" i="7" s="1"/>
  <c r="I176" i="7"/>
  <c r="G175" i="7"/>
  <c r="I175" i="7" s="1"/>
  <c r="H170" i="7"/>
  <c r="J170" i="7" s="1"/>
  <c r="H169" i="7"/>
  <c r="J169" i="7" s="1"/>
  <c r="H168" i="7"/>
  <c r="F168" i="7"/>
  <c r="I167" i="7"/>
  <c r="L167" i="7" s="1"/>
  <c r="H166" i="7"/>
  <c r="F166" i="7"/>
  <c r="F165" i="7"/>
  <c r="J165" i="7" s="1"/>
  <c r="J164" i="7"/>
  <c r="J162" i="7"/>
  <c r="J161" i="7"/>
  <c r="F160" i="7"/>
  <c r="J160" i="7" s="1"/>
  <c r="H159" i="7"/>
  <c r="F159" i="7"/>
  <c r="I158" i="7"/>
  <c r="L158" i="7" s="1"/>
  <c r="H157" i="7"/>
  <c r="F157" i="7"/>
  <c r="I156" i="7"/>
  <c r="L156" i="7" s="1"/>
  <c r="F155" i="7"/>
  <c r="J155" i="7" s="1"/>
  <c r="J154" i="7" s="1"/>
  <c r="I154" i="7"/>
  <c r="L154" i="7" s="1"/>
  <c r="F153" i="7"/>
  <c r="J153" i="7" s="1"/>
  <c r="J152" i="7" s="1"/>
  <c r="I152" i="7"/>
  <c r="L152" i="7" s="1"/>
  <c r="L151" i="7"/>
  <c r="I151" i="7"/>
  <c r="K151" i="7" s="1"/>
  <c r="H149" i="7"/>
  <c r="J149" i="7" s="1"/>
  <c r="H148" i="7"/>
  <c r="J148" i="7" s="1"/>
  <c r="H147" i="7"/>
  <c r="J147" i="7" s="1"/>
  <c r="I146" i="7"/>
  <c r="L146" i="7" s="1"/>
  <c r="H145" i="7"/>
  <c r="F145" i="7"/>
  <c r="J144" i="7"/>
  <c r="F143" i="7"/>
  <c r="J143" i="7" s="1"/>
  <c r="J141" i="7"/>
  <c r="J140" i="7"/>
  <c r="F139" i="7"/>
  <c r="F142" i="7" s="1"/>
  <c r="J142" i="7" s="1"/>
  <c r="H138" i="7"/>
  <c r="F138" i="7"/>
  <c r="J138" i="7" s="1"/>
  <c r="I137" i="7"/>
  <c r="L137" i="7" s="1"/>
  <c r="H136" i="7"/>
  <c r="F136" i="7"/>
  <c r="I135" i="7"/>
  <c r="L135" i="7" s="1"/>
  <c r="F134" i="7"/>
  <c r="J134" i="7" s="1"/>
  <c r="J133" i="7" s="1"/>
  <c r="I133" i="7"/>
  <c r="L133" i="7" s="1"/>
  <c r="L132" i="7"/>
  <c r="I132" i="7"/>
  <c r="H130" i="7"/>
  <c r="F130" i="7"/>
  <c r="J130" i="7" s="1"/>
  <c r="H129" i="7"/>
  <c r="J129" i="7" s="1"/>
  <c r="F129" i="7"/>
  <c r="H128" i="7"/>
  <c r="F128" i="7"/>
  <c r="F127" i="7"/>
  <c r="I127" i="7" s="1"/>
  <c r="L127" i="7" s="1"/>
  <c r="H126" i="7"/>
  <c r="F126" i="7"/>
  <c r="J125" i="7"/>
  <c r="F124" i="7"/>
  <c r="J124" i="7" s="1"/>
  <c r="F123" i="7"/>
  <c r="J123" i="7" s="1"/>
  <c r="J122" i="7"/>
  <c r="J121" i="7"/>
  <c r="J120" i="7"/>
  <c r="H119" i="7"/>
  <c r="F118" i="7"/>
  <c r="F200" i="7" s="1"/>
  <c r="I200" i="7" s="1"/>
  <c r="K200" i="7" s="1"/>
  <c r="H117" i="7"/>
  <c r="J117" i="7" s="1"/>
  <c r="F116" i="7"/>
  <c r="J116" i="7" s="1"/>
  <c r="J115" i="7"/>
  <c r="I114" i="7"/>
  <c r="L114" i="7" s="1"/>
  <c r="J113" i="7"/>
  <c r="J112" i="7" s="1"/>
  <c r="I112" i="7"/>
  <c r="L112" i="7" s="1"/>
  <c r="H111" i="7"/>
  <c r="F111" i="7"/>
  <c r="I110" i="7"/>
  <c r="L110" i="7" s="1"/>
  <c r="F109" i="7"/>
  <c r="J109" i="7" s="1"/>
  <c r="J108" i="7" s="1"/>
  <c r="I108" i="7"/>
  <c r="L108" i="7" s="1"/>
  <c r="F107" i="7"/>
  <c r="J107" i="7" s="1"/>
  <c r="J106" i="7" s="1"/>
  <c r="I106" i="7"/>
  <c r="L106" i="7" s="1"/>
  <c r="L105" i="7"/>
  <c r="I105" i="7"/>
  <c r="K105" i="7" s="1"/>
  <c r="F99" i="7"/>
  <c r="F100" i="7" s="1"/>
  <c r="J100" i="7" s="1"/>
  <c r="K98" i="7"/>
  <c r="I98" i="7"/>
  <c r="F97" i="7"/>
  <c r="I97" i="7" s="1"/>
  <c r="L97" i="7" s="1"/>
  <c r="I96" i="7"/>
  <c r="K96" i="7" s="1"/>
  <c r="F94" i="7"/>
  <c r="I94" i="7" s="1"/>
  <c r="I93" i="7"/>
  <c r="K93" i="7" s="1"/>
  <c r="J91" i="7"/>
  <c r="J90" i="7"/>
  <c r="H89" i="7"/>
  <c r="J89" i="7" s="1"/>
  <c r="F88" i="7"/>
  <c r="J88" i="7" s="1"/>
  <c r="F87" i="7"/>
  <c r="J87" i="7" s="1"/>
  <c r="I86" i="7"/>
  <c r="L86" i="7" s="1"/>
  <c r="H85" i="7"/>
  <c r="H84" i="7"/>
  <c r="F84" i="7"/>
  <c r="F85" i="7" s="1"/>
  <c r="H83" i="7"/>
  <c r="J83" i="7" s="1"/>
  <c r="F83" i="7"/>
  <c r="H82" i="7"/>
  <c r="J82" i="7" s="1"/>
  <c r="F80" i="7"/>
  <c r="I80" i="7" s="1"/>
  <c r="F79" i="7"/>
  <c r="I79" i="7" s="1"/>
  <c r="L79" i="7" s="1"/>
  <c r="H78" i="7"/>
  <c r="H77" i="7"/>
  <c r="F77" i="7"/>
  <c r="F78" i="7" s="1"/>
  <c r="H76" i="7"/>
  <c r="F76" i="7"/>
  <c r="F73" i="7" s="1"/>
  <c r="I73" i="7" s="1"/>
  <c r="H75" i="7"/>
  <c r="J75" i="7" s="1"/>
  <c r="F72" i="7"/>
  <c r="I72" i="7" s="1"/>
  <c r="L72" i="7" s="1"/>
  <c r="H71" i="7"/>
  <c r="F71" i="7"/>
  <c r="F69" i="7"/>
  <c r="I69" i="7" s="1"/>
  <c r="L69" i="7" s="1"/>
  <c r="H68" i="7"/>
  <c r="H67" i="7"/>
  <c r="F67" i="7"/>
  <c r="F68" i="7" s="1"/>
  <c r="H66" i="7"/>
  <c r="F66" i="7"/>
  <c r="F62" i="7" s="1"/>
  <c r="I62" i="7" s="1"/>
  <c r="H65" i="7"/>
  <c r="J65" i="7" s="1"/>
  <c r="H64" i="7"/>
  <c r="J64" i="7" s="1"/>
  <c r="F61" i="7"/>
  <c r="I61" i="7" s="1"/>
  <c r="L61" i="7" s="1"/>
  <c r="I60" i="7"/>
  <c r="L60" i="7" s="1"/>
  <c r="F57" i="7"/>
  <c r="I57" i="7" s="1"/>
  <c r="F55" i="7"/>
  <c r="I55" i="7" s="1"/>
  <c r="K55" i="7" s="1"/>
  <c r="I53" i="7"/>
  <c r="K53" i="7" s="1"/>
  <c r="F52" i="7"/>
  <c r="I52" i="7" s="1"/>
  <c r="L52" i="7" s="1"/>
  <c r="I51" i="7"/>
  <c r="K51" i="7" s="1"/>
  <c r="I50" i="7"/>
  <c r="K50" i="7" s="1"/>
  <c r="J48" i="7"/>
  <c r="J47" i="7" s="1"/>
  <c r="I47" i="7"/>
  <c r="L47" i="7" s="1"/>
  <c r="F46" i="7"/>
  <c r="J46" i="7" s="1"/>
  <c r="H45" i="7"/>
  <c r="F45" i="7"/>
  <c r="I44" i="7"/>
  <c r="L44" i="7" s="1"/>
  <c r="J43" i="7"/>
  <c r="J42" i="7"/>
  <c r="H41" i="7"/>
  <c r="J41" i="7" s="1"/>
  <c r="H40" i="7"/>
  <c r="F40" i="7"/>
  <c r="H39" i="7"/>
  <c r="F39" i="7"/>
  <c r="I38" i="7"/>
  <c r="L38" i="7" s="1"/>
  <c r="H37" i="7"/>
  <c r="H36" i="7"/>
  <c r="F36" i="7"/>
  <c r="F37" i="7" s="1"/>
  <c r="H35" i="7"/>
  <c r="F35" i="7"/>
  <c r="H34" i="7"/>
  <c r="J34" i="7" s="1"/>
  <c r="F31" i="7"/>
  <c r="I31" i="7" s="1"/>
  <c r="L31" i="7" s="1"/>
  <c r="H30" i="7"/>
  <c r="H29" i="7"/>
  <c r="H28" i="7"/>
  <c r="H27" i="7"/>
  <c r="F27" i="7"/>
  <c r="F29" i="7" s="1"/>
  <c r="F26" i="7" s="1"/>
  <c r="I26" i="7" s="1"/>
  <c r="H23" i="7"/>
  <c r="F23" i="7"/>
  <c r="F21" i="7"/>
  <c r="I21" i="7" s="1"/>
  <c r="L21" i="7" s="1"/>
  <c r="H20" i="7"/>
  <c r="H19" i="7"/>
  <c r="F19" i="7"/>
  <c r="H18" i="7"/>
  <c r="F18" i="7"/>
  <c r="F14" i="7" s="1"/>
  <c r="I14" i="7" s="1"/>
  <c r="H17" i="7"/>
  <c r="J17" i="7" s="1"/>
  <c r="H16" i="7"/>
  <c r="J16" i="7" s="1"/>
  <c r="F13" i="7"/>
  <c r="I13" i="7" s="1"/>
  <c r="L13" i="7" s="1"/>
  <c r="F12" i="7"/>
  <c r="I12" i="7" s="1"/>
  <c r="K12" i="7" s="1"/>
  <c r="L14" i="6"/>
  <c r="G13" i="6"/>
  <c r="I13" i="6" s="1"/>
  <c r="K13" i="6" s="1"/>
  <c r="G12" i="6"/>
  <c r="G11" i="6"/>
  <c r="F11" i="6"/>
  <c r="F12" i="6" s="1"/>
  <c r="J10" i="6"/>
  <c r="J14" i="6" s="1"/>
  <c r="L15" i="5"/>
  <c r="G14" i="5"/>
  <c r="I14" i="5" s="1"/>
  <c r="K14" i="5" s="1"/>
  <c r="G13" i="5"/>
  <c r="F13" i="5"/>
  <c r="G12" i="5"/>
  <c r="I12" i="5" s="1"/>
  <c r="K12" i="5" s="1"/>
  <c r="G11" i="5"/>
  <c r="I11" i="5" s="1"/>
  <c r="K11" i="5" s="1"/>
  <c r="J10" i="5"/>
  <c r="L14" i="4"/>
  <c r="G13" i="4"/>
  <c r="I13" i="4" s="1"/>
  <c r="K13" i="4" s="1"/>
  <c r="G12" i="4"/>
  <c r="G11" i="4"/>
  <c r="F11" i="4"/>
  <c r="J10" i="4"/>
  <c r="F43" i="3"/>
  <c r="J43" i="3" s="1"/>
  <c r="I41" i="3"/>
  <c r="I40" i="3"/>
  <c r="K40" i="3" s="1"/>
  <c r="I39" i="3"/>
  <c r="K39" i="3" s="1"/>
  <c r="F38" i="3"/>
  <c r="I38" i="3" s="1"/>
  <c r="K38" i="3" s="1"/>
  <c r="F37" i="3"/>
  <c r="I37" i="3" s="1"/>
  <c r="K37" i="3" s="1"/>
  <c r="I36" i="3"/>
  <c r="K36" i="3" s="1"/>
  <c r="I35" i="3"/>
  <c r="K35" i="3" s="1"/>
  <c r="I34" i="3"/>
  <c r="K34" i="3" s="1"/>
  <c r="I33" i="3"/>
  <c r="K33" i="3" s="1"/>
  <c r="J31" i="3"/>
  <c r="J30" i="3"/>
  <c r="F29" i="3"/>
  <c r="J29" i="3" s="1"/>
  <c r="I28" i="3"/>
  <c r="L28" i="3" s="1"/>
  <c r="H27" i="3"/>
  <c r="J27" i="3" s="1"/>
  <c r="F26" i="3"/>
  <c r="J26" i="3" s="1"/>
  <c r="J25" i="3"/>
  <c r="J23" i="3"/>
  <c r="J22" i="3"/>
  <c r="F21" i="3"/>
  <c r="F24" i="3" s="1"/>
  <c r="J24" i="3" s="1"/>
  <c r="F20" i="3"/>
  <c r="J20" i="3" s="1"/>
  <c r="I19" i="3"/>
  <c r="L19" i="3" s="1"/>
  <c r="F18" i="3"/>
  <c r="J18" i="3" s="1"/>
  <c r="J17" i="3"/>
  <c r="H17" i="3" s="1"/>
  <c r="I17" i="3"/>
  <c r="L17" i="3" s="1"/>
  <c r="F16" i="3"/>
  <c r="J16" i="3" s="1"/>
  <c r="J15" i="3" s="1"/>
  <c r="I15" i="3"/>
  <c r="F14" i="3"/>
  <c r="J14" i="3" s="1"/>
  <c r="J13" i="3" s="1"/>
  <c r="I13" i="3"/>
  <c r="L13" i="3" s="1"/>
  <c r="L12" i="3"/>
  <c r="I12" i="3"/>
  <c r="K12" i="3" s="1"/>
  <c r="F11" i="3"/>
  <c r="F41" i="2"/>
  <c r="J41" i="2" s="1"/>
  <c r="I39" i="2"/>
  <c r="K39" i="2" s="1"/>
  <c r="I38" i="2"/>
  <c r="G38" i="2" s="1"/>
  <c r="I37" i="2"/>
  <c r="K37" i="2" s="1"/>
  <c r="L35" i="2"/>
  <c r="F35" i="2"/>
  <c r="I34" i="2"/>
  <c r="K34" i="2" s="1"/>
  <c r="I33" i="2"/>
  <c r="K33" i="2" s="1"/>
  <c r="I32" i="2"/>
  <c r="K32" i="2" s="1"/>
  <c r="I31" i="2"/>
  <c r="K31" i="2" s="1"/>
  <c r="J29" i="2"/>
  <c r="J28" i="2"/>
  <c r="J27" i="2"/>
  <c r="I26" i="2"/>
  <c r="L26" i="2" s="1"/>
  <c r="H25" i="2"/>
  <c r="J25" i="2" s="1"/>
  <c r="J24" i="2"/>
  <c r="F23" i="2"/>
  <c r="J23" i="2" s="1"/>
  <c r="J21" i="2"/>
  <c r="J20" i="2"/>
  <c r="F19" i="2"/>
  <c r="F22" i="2" s="1"/>
  <c r="J22" i="2" s="1"/>
  <c r="F18" i="2"/>
  <c r="J18" i="2" s="1"/>
  <c r="I17" i="2"/>
  <c r="L17" i="2" s="1"/>
  <c r="F16" i="2"/>
  <c r="J16" i="2" s="1"/>
  <c r="J15" i="2" s="1"/>
  <c r="I15" i="2"/>
  <c r="L15" i="2" s="1"/>
  <c r="F14" i="2"/>
  <c r="J14" i="2" s="1"/>
  <c r="J13" i="2" s="1"/>
  <c r="I13" i="2"/>
  <c r="L13" i="2" s="1"/>
  <c r="L12" i="2"/>
  <c r="I12" i="2"/>
  <c r="K12" i="2" s="1"/>
  <c r="F11" i="2"/>
  <c r="I46" i="1"/>
  <c r="K46" i="1" s="1"/>
  <c r="I45" i="1"/>
  <c r="K45" i="1" s="1"/>
  <c r="I42" i="1"/>
  <c r="K42" i="1" s="1"/>
  <c r="I41" i="1"/>
  <c r="K41" i="1" s="1"/>
  <c r="I40" i="1"/>
  <c r="K40" i="1" s="1"/>
  <c r="I39" i="1"/>
  <c r="L39" i="1" s="1"/>
  <c r="F37" i="1"/>
  <c r="J37" i="1" s="1"/>
  <c r="F36" i="1"/>
  <c r="J36" i="1" s="1"/>
  <c r="F35" i="1"/>
  <c r="J35" i="1" s="1"/>
  <c r="F34" i="1"/>
  <c r="I34" i="1" s="1"/>
  <c r="L34" i="1" s="1"/>
  <c r="H33" i="1"/>
  <c r="F33" i="1"/>
  <c r="J33" i="1" s="1"/>
  <c r="J32" i="1"/>
  <c r="F31" i="1"/>
  <c r="J31" i="1" s="1"/>
  <c r="F30" i="1"/>
  <c r="J30" i="1" s="1"/>
  <c r="J29" i="1"/>
  <c r="J28" i="1"/>
  <c r="J27" i="1"/>
  <c r="F25" i="1"/>
  <c r="H24" i="1"/>
  <c r="J24" i="1" s="1"/>
  <c r="H23" i="1"/>
  <c r="J23" i="1" s="1"/>
  <c r="F23" i="1"/>
  <c r="J22" i="1"/>
  <c r="I21" i="1"/>
  <c r="L21" i="1" s="1"/>
  <c r="J20" i="1"/>
  <c r="J19" i="1" s="1"/>
  <c r="H20" i="1"/>
  <c r="I19" i="1"/>
  <c r="L19" i="1" s="1"/>
  <c r="F18" i="1"/>
  <c r="J18" i="1" s="1"/>
  <c r="J17" i="1" s="1"/>
  <c r="I17" i="1"/>
  <c r="L17" i="1" s="1"/>
  <c r="F16" i="1"/>
  <c r="J16" i="1" s="1"/>
  <c r="J15" i="1" s="1"/>
  <c r="I15" i="1"/>
  <c r="F14" i="1"/>
  <c r="J14" i="1" s="1"/>
  <c r="J13" i="1" s="1"/>
  <c r="I13" i="1"/>
  <c r="L13" i="1" s="1"/>
  <c r="L12" i="1"/>
  <c r="I12" i="1"/>
  <c r="K12" i="1" s="1"/>
  <c r="J36" i="11" l="1"/>
  <c r="L38" i="3"/>
  <c r="L149" i="11"/>
  <c r="J129" i="11"/>
  <c r="J157" i="11"/>
  <c r="I179" i="7"/>
  <c r="K179" i="7" s="1"/>
  <c r="J18" i="11"/>
  <c r="J19" i="11"/>
  <c r="J45" i="11"/>
  <c r="J44" i="11" s="1"/>
  <c r="K44" i="11" s="1"/>
  <c r="J45" i="7"/>
  <c r="J44" i="7" s="1"/>
  <c r="K44" i="7" s="1"/>
  <c r="J23" i="7"/>
  <c r="J21" i="7" s="1"/>
  <c r="K21" i="7" s="1"/>
  <c r="J111" i="7"/>
  <c r="J110" i="7" s="1"/>
  <c r="I118" i="7"/>
  <c r="L118" i="7" s="1"/>
  <c r="L104" i="7" s="1"/>
  <c r="J37" i="7"/>
  <c r="J66" i="7"/>
  <c r="J114" i="7"/>
  <c r="K114" i="7" s="1"/>
  <c r="I12" i="6"/>
  <c r="K12" i="6" s="1"/>
  <c r="J68" i="7"/>
  <c r="F58" i="11"/>
  <c r="J58" i="11" s="1"/>
  <c r="J168" i="7"/>
  <c r="J39" i="7"/>
  <c r="J38" i="7" s="1"/>
  <c r="K38" i="7" s="1"/>
  <c r="J71" i="7"/>
  <c r="J69" i="7" s="1"/>
  <c r="K69" i="7" s="1"/>
  <c r="L195" i="7"/>
  <c r="J40" i="7"/>
  <c r="J126" i="7"/>
  <c r="J19" i="2"/>
  <c r="J17" i="2" s="1"/>
  <c r="K17" i="2" s="1"/>
  <c r="J18" i="7"/>
  <c r="J13" i="7" s="1"/>
  <c r="K112" i="7"/>
  <c r="J145" i="7"/>
  <c r="F119" i="11"/>
  <c r="J119" i="11" s="1"/>
  <c r="K39" i="1"/>
  <c r="L39" i="2"/>
  <c r="J21" i="3"/>
  <c r="J19" i="3" s="1"/>
  <c r="K19" i="3" s="1"/>
  <c r="K47" i="7"/>
  <c r="K12" i="11"/>
  <c r="J35" i="11"/>
  <c r="J78" i="11"/>
  <c r="J84" i="11"/>
  <c r="K108" i="11"/>
  <c r="K112" i="11"/>
  <c r="F81" i="7"/>
  <c r="I81" i="7" s="1"/>
  <c r="L81" i="7" s="1"/>
  <c r="J13" i="11"/>
  <c r="K13" i="11" s="1"/>
  <c r="K19" i="1"/>
  <c r="J28" i="3"/>
  <c r="K28" i="3" s="1"/>
  <c r="I13" i="5"/>
  <c r="K13" i="5" s="1"/>
  <c r="K10" i="5" s="1"/>
  <c r="K15" i="5" s="1"/>
  <c r="J85" i="7"/>
  <c r="I131" i="7"/>
  <c r="J157" i="7"/>
  <c r="J156" i="7" s="1"/>
  <c r="K156" i="7" s="1"/>
  <c r="J159" i="7"/>
  <c r="J166" i="7"/>
  <c r="I16" i="9"/>
  <c r="K16" i="9" s="1"/>
  <c r="J39" i="11"/>
  <c r="J38" i="11" s="1"/>
  <c r="K38" i="11" s="1"/>
  <c r="J125" i="11"/>
  <c r="J135" i="11"/>
  <c r="J134" i="11" s="1"/>
  <c r="H134" i="11" s="1"/>
  <c r="J137" i="11"/>
  <c r="I149" i="11"/>
  <c r="K149" i="11" s="1"/>
  <c r="J165" i="11"/>
  <c r="I175" i="11"/>
  <c r="H110" i="11"/>
  <c r="K110" i="11"/>
  <c r="K41" i="3"/>
  <c r="L41" i="3"/>
  <c r="L105" i="11"/>
  <c r="I105" i="11"/>
  <c r="K105" i="11" s="1"/>
  <c r="F36" i="2"/>
  <c r="L36" i="2" s="1"/>
  <c r="I35" i="2"/>
  <c r="K35" i="2" s="1"/>
  <c r="J77" i="11"/>
  <c r="F161" i="11"/>
  <c r="J161" i="11" s="1"/>
  <c r="J158" i="11"/>
  <c r="F20" i="7"/>
  <c r="J20" i="7" s="1"/>
  <c r="F15" i="7"/>
  <c r="I15" i="7" s="1"/>
  <c r="L15" i="7" s="1"/>
  <c r="J76" i="7"/>
  <c r="J167" i="7"/>
  <c r="K167" i="7" s="1"/>
  <c r="L14" i="11"/>
  <c r="K14" i="11"/>
  <c r="I171" i="11"/>
  <c r="K172" i="11"/>
  <c r="F43" i="1"/>
  <c r="I43" i="1" s="1"/>
  <c r="K43" i="1" s="1"/>
  <c r="F26" i="1"/>
  <c r="J26" i="1" s="1"/>
  <c r="I25" i="1"/>
  <c r="L25" i="1" s="1"/>
  <c r="L11" i="1" s="1"/>
  <c r="F11" i="1"/>
  <c r="K41" i="2"/>
  <c r="L41" i="2"/>
  <c r="J30" i="2"/>
  <c r="F12" i="4"/>
  <c r="I12" i="4" s="1"/>
  <c r="K12" i="4" s="1"/>
  <c r="I11" i="4"/>
  <c r="K11" i="4" s="1"/>
  <c r="K10" i="4" s="1"/>
  <c r="K14" i="4" s="1"/>
  <c r="J35" i="7"/>
  <c r="F32" i="7"/>
  <c r="I32" i="7" s="1"/>
  <c r="K32" i="7" s="1"/>
  <c r="J86" i="7"/>
  <c r="K86" i="7" s="1"/>
  <c r="J71" i="11"/>
  <c r="J69" i="11" s="1"/>
  <c r="K69" i="11" s="1"/>
  <c r="J114" i="11"/>
  <c r="K114" i="11" s="1"/>
  <c r="J128" i="7"/>
  <c r="J127" i="7" s="1"/>
  <c r="K127" i="7" s="1"/>
  <c r="L131" i="7"/>
  <c r="I190" i="7"/>
  <c r="K190" i="7" s="1"/>
  <c r="F17" i="9"/>
  <c r="I17" i="9" s="1"/>
  <c r="K17" i="9" s="1"/>
  <c r="K21" i="11"/>
  <c r="J37" i="11"/>
  <c r="J40" i="11"/>
  <c r="K47" i="11"/>
  <c r="J66" i="11"/>
  <c r="L130" i="11"/>
  <c r="J19" i="7"/>
  <c r="G46" i="1"/>
  <c r="J26" i="2"/>
  <c r="K26" i="2" s="1"/>
  <c r="I11" i="6"/>
  <c r="K11" i="6" s="1"/>
  <c r="J36" i="7"/>
  <c r="K60" i="7"/>
  <c r="F63" i="7"/>
  <c r="I63" i="7" s="1"/>
  <c r="L63" i="7" s="1"/>
  <c r="F74" i="7"/>
  <c r="I74" i="7" s="1"/>
  <c r="J136" i="7"/>
  <c r="J135" i="7" s="1"/>
  <c r="H135" i="7" s="1"/>
  <c r="I181" i="7"/>
  <c r="K181" i="7" s="1"/>
  <c r="I180" i="7"/>
  <c r="I189" i="7"/>
  <c r="I188" i="7" s="1"/>
  <c r="K196" i="7"/>
  <c r="K195" i="7" s="1"/>
  <c r="I118" i="11"/>
  <c r="L118" i="11" s="1"/>
  <c r="L104" i="11" s="1"/>
  <c r="F123" i="11"/>
  <c r="J123" i="11" s="1"/>
  <c r="J128" i="11"/>
  <c r="J126" i="11" s="1"/>
  <c r="K126" i="11" s="1"/>
  <c r="J144" i="11"/>
  <c r="K144" i="11" s="1"/>
  <c r="I191" i="11"/>
  <c r="I26" i="9"/>
  <c r="K26" i="9" s="1"/>
  <c r="J76" i="11"/>
  <c r="J83" i="11"/>
  <c r="F100" i="11"/>
  <c r="J100" i="11" s="1"/>
  <c r="L100" i="11" s="1"/>
  <c r="J120" i="11"/>
  <c r="K192" i="11"/>
  <c r="K191" i="11" s="1"/>
  <c r="L33" i="3"/>
  <c r="L11" i="2"/>
  <c r="L31" i="2"/>
  <c r="H15" i="3"/>
  <c r="K15" i="3"/>
  <c r="I10" i="5"/>
  <c r="J34" i="1"/>
  <c r="K34" i="1" s="1"/>
  <c r="K26" i="7"/>
  <c r="L26" i="7"/>
  <c r="K13" i="1"/>
  <c r="H13" i="1"/>
  <c r="H13" i="3"/>
  <c r="K13" i="3"/>
  <c r="K13" i="2"/>
  <c r="H13" i="2"/>
  <c r="L14" i="7"/>
  <c r="K14" i="7"/>
  <c r="K15" i="1"/>
  <c r="H15" i="1"/>
  <c r="J25" i="1"/>
  <c r="L11" i="3"/>
  <c r="J32" i="3"/>
  <c r="L43" i="3"/>
  <c r="K43" i="3"/>
  <c r="K17" i="1"/>
  <c r="H17" i="1"/>
  <c r="F44" i="1"/>
  <c r="J21" i="1"/>
  <c r="K21" i="1" s="1"/>
  <c r="K15" i="2"/>
  <c r="H15" i="2"/>
  <c r="H156" i="7"/>
  <c r="K17" i="3"/>
  <c r="L100" i="7"/>
  <c r="J99" i="7"/>
  <c r="J136" i="11"/>
  <c r="K136" i="11" s="1"/>
  <c r="L12" i="7"/>
  <c r="J27" i="7"/>
  <c r="K135" i="7"/>
  <c r="J193" i="7"/>
  <c r="K189" i="7"/>
  <c r="K188" i="7" s="1"/>
  <c r="L63" i="11"/>
  <c r="K63" i="11"/>
  <c r="H132" i="11"/>
  <c r="K132" i="11"/>
  <c r="K150" i="11"/>
  <c r="H150" i="11"/>
  <c r="G40" i="3"/>
  <c r="F28" i="7"/>
  <c r="L62" i="7"/>
  <c r="K62" i="7"/>
  <c r="L94" i="7"/>
  <c r="K94" i="7"/>
  <c r="J146" i="7"/>
  <c r="K146" i="7" s="1"/>
  <c r="I183" i="7"/>
  <c r="K184" i="7"/>
  <c r="K183" i="7" s="1"/>
  <c r="I19" i="9"/>
  <c r="K20" i="9"/>
  <c r="K19" i="9" s="1"/>
  <c r="K15" i="11"/>
  <c r="L15" i="11"/>
  <c r="L25" i="11"/>
  <c r="K25" i="11"/>
  <c r="L32" i="11"/>
  <c r="K32" i="11"/>
  <c r="J85" i="11"/>
  <c r="L152" i="11"/>
  <c r="L148" i="11" s="1"/>
  <c r="I148" i="11"/>
  <c r="K38" i="2"/>
  <c r="K182" i="11"/>
  <c r="K179" i="11" s="1"/>
  <c r="I179" i="11"/>
  <c r="L58" i="11"/>
  <c r="J57" i="11"/>
  <c r="K57" i="11" s="1"/>
  <c r="K187" i="11"/>
  <c r="K184" i="11" s="1"/>
  <c r="I184" i="11"/>
  <c r="F24" i="7"/>
  <c r="I24" i="7" s="1"/>
  <c r="L24" i="7" s="1"/>
  <c r="J29" i="7"/>
  <c r="L73" i="7"/>
  <c r="K73" i="7"/>
  <c r="J78" i="7"/>
  <c r="K106" i="7"/>
  <c r="H106" i="7"/>
  <c r="H110" i="7"/>
  <c r="K110" i="7"/>
  <c r="H154" i="7"/>
  <c r="K154" i="7"/>
  <c r="K175" i="7"/>
  <c r="I174" i="7"/>
  <c r="K108" i="7"/>
  <c r="H108" i="7"/>
  <c r="H133" i="7"/>
  <c r="K133" i="7"/>
  <c r="K173" i="11"/>
  <c r="J171" i="11"/>
  <c r="J189" i="11" s="1"/>
  <c r="F30" i="7"/>
  <c r="J30" i="7" s="1"/>
  <c r="L74" i="7"/>
  <c r="K74" i="7"/>
  <c r="K180" i="7"/>
  <c r="K178" i="7" s="1"/>
  <c r="L69" i="11"/>
  <c r="L73" i="11"/>
  <c r="K73" i="11"/>
  <c r="L80" i="11"/>
  <c r="K80" i="11"/>
  <c r="J86" i="11"/>
  <c r="K86" i="11" s="1"/>
  <c r="K106" i="11"/>
  <c r="H106" i="11"/>
  <c r="L80" i="7"/>
  <c r="K80" i="7"/>
  <c r="K152" i="7"/>
  <c r="H152" i="7"/>
  <c r="L150" i="7"/>
  <c r="L52" i="11"/>
  <c r="K52" i="11"/>
  <c r="K154" i="11"/>
  <c r="H154" i="11"/>
  <c r="J164" i="11"/>
  <c r="K164" i="11" s="1"/>
  <c r="I99" i="7"/>
  <c r="K99" i="7" s="1"/>
  <c r="K176" i="7"/>
  <c r="I195" i="7"/>
  <c r="F33" i="11"/>
  <c r="I33" i="11" s="1"/>
  <c r="F74" i="11"/>
  <c r="I74" i="11" s="1"/>
  <c r="F81" i="11"/>
  <c r="I81" i="11" s="1"/>
  <c r="I130" i="11"/>
  <c r="F153" i="11"/>
  <c r="J153" i="11" s="1"/>
  <c r="J152" i="11" s="1"/>
  <c r="F33" i="7"/>
  <c r="I33" i="7" s="1"/>
  <c r="F56" i="7"/>
  <c r="I56" i="7" s="1"/>
  <c r="F58" i="7"/>
  <c r="J58" i="7" s="1"/>
  <c r="J67" i="7"/>
  <c r="J77" i="7"/>
  <c r="J84" i="7"/>
  <c r="I150" i="7"/>
  <c r="F163" i="7"/>
  <c r="J163" i="7" s="1"/>
  <c r="F29" i="11"/>
  <c r="H108" i="11"/>
  <c r="K52" i="7"/>
  <c r="I104" i="7"/>
  <c r="F119" i="7"/>
  <c r="J119" i="7" s="1"/>
  <c r="J118" i="7" s="1"/>
  <c r="K118" i="7" s="1"/>
  <c r="I104" i="11"/>
  <c r="K97" i="7"/>
  <c r="K132" i="7"/>
  <c r="J139" i="7"/>
  <c r="I25" i="9"/>
  <c r="L60" i="11"/>
  <c r="K62" i="11"/>
  <c r="F68" i="11"/>
  <c r="J68" i="11" s="1"/>
  <c r="K176" i="11"/>
  <c r="K175" i="11" s="1"/>
  <c r="J27" i="11"/>
  <c r="K63" i="7"/>
  <c r="F24" i="11"/>
  <c r="I24" i="11" s="1"/>
  <c r="L24" i="11" s="1"/>
  <c r="K15" i="7" l="1"/>
  <c r="K15" i="9"/>
  <c r="J79" i="7"/>
  <c r="K79" i="7" s="1"/>
  <c r="J61" i="7"/>
  <c r="L168" i="11"/>
  <c r="L32" i="7"/>
  <c r="K11" i="2"/>
  <c r="J31" i="7"/>
  <c r="K31" i="7" s="1"/>
  <c r="L171" i="7"/>
  <c r="K10" i="6"/>
  <c r="K14" i="6" s="1"/>
  <c r="J156" i="11"/>
  <c r="K156" i="11" s="1"/>
  <c r="J61" i="11"/>
  <c r="J99" i="11"/>
  <c r="K99" i="11" s="1"/>
  <c r="K134" i="11"/>
  <c r="K130" i="11" s="1"/>
  <c r="I189" i="11"/>
  <c r="K32" i="3"/>
  <c r="J72" i="11"/>
  <c r="K72" i="11" s="1"/>
  <c r="J72" i="7"/>
  <c r="K72" i="7" s="1"/>
  <c r="J137" i="7"/>
  <c r="K137" i="7" s="1"/>
  <c r="K131" i="7" s="1"/>
  <c r="I59" i="11"/>
  <c r="K81" i="7"/>
  <c r="J158" i="7"/>
  <c r="K158" i="7" s="1"/>
  <c r="K150" i="7" s="1"/>
  <c r="K171" i="11"/>
  <c r="K189" i="11" s="1"/>
  <c r="I178" i="7"/>
  <c r="I193" i="7" s="1"/>
  <c r="J79" i="11"/>
  <c r="K79" i="11" s="1"/>
  <c r="L30" i="2"/>
  <c r="L42" i="2" s="1"/>
  <c r="J118" i="11"/>
  <c r="K118" i="11" s="1"/>
  <c r="K104" i="11" s="1"/>
  <c r="J31" i="11"/>
  <c r="K31" i="11" s="1"/>
  <c r="K104" i="7"/>
  <c r="L59" i="7"/>
  <c r="J130" i="11"/>
  <c r="I36" i="2"/>
  <c r="K36" i="2" s="1"/>
  <c r="K30" i="2" s="1"/>
  <c r="I10" i="4"/>
  <c r="I171" i="7"/>
  <c r="K25" i="1"/>
  <c r="K11" i="1" s="1"/>
  <c r="K11" i="3"/>
  <c r="I10" i="6"/>
  <c r="I14" i="6" s="1"/>
  <c r="K174" i="7"/>
  <c r="K193" i="7" s="1"/>
  <c r="I15" i="9"/>
  <c r="K61" i="11"/>
  <c r="K61" i="7"/>
  <c r="F26" i="11"/>
  <c r="I26" i="11" s="1"/>
  <c r="F30" i="11"/>
  <c r="J30" i="11" s="1"/>
  <c r="J29" i="11"/>
  <c r="L33" i="7"/>
  <c r="K33" i="7"/>
  <c r="J104" i="7"/>
  <c r="L81" i="11"/>
  <c r="K81" i="11"/>
  <c r="I59" i="7"/>
  <c r="L74" i="11"/>
  <c r="K74" i="11"/>
  <c r="K152" i="11"/>
  <c r="H152" i="11"/>
  <c r="K13" i="7"/>
  <c r="L33" i="11"/>
  <c r="K33" i="11"/>
  <c r="J57" i="7"/>
  <c r="K57" i="7" s="1"/>
  <c r="L58" i="7"/>
  <c r="I168" i="11"/>
  <c r="J28" i="7"/>
  <c r="J24" i="7" s="1"/>
  <c r="K24" i="7" s="1"/>
  <c r="F25" i="7"/>
  <c r="I25" i="7" s="1"/>
  <c r="L44" i="1"/>
  <c r="L38" i="1" s="1"/>
  <c r="L47" i="1" s="1"/>
  <c r="I44" i="1"/>
  <c r="K44" i="1" s="1"/>
  <c r="K38" i="1" s="1"/>
  <c r="L32" i="3"/>
  <c r="L44" i="3" s="1"/>
  <c r="I24" i="9"/>
  <c r="K25" i="9"/>
  <c r="K24" i="9" s="1"/>
  <c r="K28" i="9" s="1"/>
  <c r="K30" i="9" s="1"/>
  <c r="L56" i="7"/>
  <c r="K56" i="7"/>
  <c r="I11" i="7"/>
  <c r="K171" i="7" l="1"/>
  <c r="K44" i="3"/>
  <c r="J59" i="11"/>
  <c r="K148" i="11"/>
  <c r="J131" i="7"/>
  <c r="J148" i="11"/>
  <c r="I101" i="7"/>
  <c r="K42" i="2"/>
  <c r="L59" i="11"/>
  <c r="J104" i="11"/>
  <c r="J59" i="7"/>
  <c r="J150" i="7"/>
  <c r="K168" i="11"/>
  <c r="K59" i="7"/>
  <c r="K47" i="1"/>
  <c r="J24" i="11"/>
  <c r="K24" i="11"/>
  <c r="J11" i="11"/>
  <c r="J101" i="11" s="1"/>
  <c r="J11" i="7"/>
  <c r="J101" i="7" s="1"/>
  <c r="L26" i="11"/>
  <c r="L11" i="11" s="1"/>
  <c r="L101" i="11" s="1"/>
  <c r="L200" i="11" s="1"/>
  <c r="K26" i="11"/>
  <c r="I11" i="11"/>
  <c r="I101" i="11" s="1"/>
  <c r="I200" i="11" s="1"/>
  <c r="I204" i="7"/>
  <c r="J171" i="7"/>
  <c r="L25" i="7"/>
  <c r="L11" i="7" s="1"/>
  <c r="L101" i="7" s="1"/>
  <c r="L204" i="7" s="1"/>
  <c r="K25" i="7"/>
  <c r="K11" i="7" s="1"/>
  <c r="K101" i="7" s="1"/>
  <c r="K204" i="7" s="1"/>
  <c r="K29" i="9"/>
  <c r="O30" i="9"/>
  <c r="K59" i="11"/>
  <c r="J168" i="11" l="1"/>
  <c r="J200" i="11"/>
  <c r="J204" i="7"/>
  <c r="K11" i="11"/>
  <c r="K101" i="11" s="1"/>
  <c r="K2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0" authorId="0" shapeId="0" xr:uid="{00000000-0006-0000-0A00-000001000000}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по аналогии с первым забором по Гатне</t>
        </r>
      </text>
    </comment>
    <comment ref="F51" authorId="0" shapeId="0" xr:uid="{00000000-0006-0000-0A00-000002000000}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по аналогии с первым забором по Гатне</t>
        </r>
      </text>
    </comment>
  </commentList>
</comments>
</file>

<file path=xl/sharedStrings.xml><?xml version="1.0" encoding="utf-8"?>
<sst xmlns="http://schemas.openxmlformats.org/spreadsheetml/2006/main" count="1754" uniqueCount="392">
  <si>
    <t xml:space="preserve">БЮДЖЕТ </t>
  </si>
  <si>
    <t>ДЛЯ ВИКОНАННЯ БУДІВЕЛЬНИХ РОБІТ</t>
  </si>
  <si>
    <t xml:space="preserve">" Б У Д І В Н И Ц Т В О   Ж И Т Л О В О Г О   К О М П Л Е К С У   С.   Г А Т Н Е    Б У Д И Н К И   № 2,   № 3,   № 4
ВЛАШТУВАННЯ ТИМЧАСОВИХ ДОРІГ, ВЛАШТУВАННЯ ПАРКАНУ, ВЛАШТУВАННЯ ФУНДАМЕНТІВ, ВЛАШТУВАННЯ КОТЛОВАНІВ </t>
  </si>
  <si>
    <t>№ З/П</t>
  </si>
  <si>
    <t>НАЙМЕНУВАННЯ РОБІТ</t>
  </si>
  <si>
    <t>ОД.
ВИМ.</t>
  </si>
  <si>
    <t>КІЛЬКІСТЬ
ВСЬОГО</t>
  </si>
  <si>
    <t>ДОГОВІРНА ЦІНА, ГРН.</t>
  </si>
  <si>
    <t>В Т.Ч. ГОТІВКОВІ КОШТИ, ГРН.</t>
  </si>
  <si>
    <t>ПРИМІТКИ</t>
  </si>
  <si>
    <t>Зауваження</t>
  </si>
  <si>
    <t>ЦІНА ЗА ОДИНИЦЮ</t>
  </si>
  <si>
    <t>СУМА</t>
  </si>
  <si>
    <t>ВСЬОГО</t>
  </si>
  <si>
    <t>РОБІТ</t>
  </si>
  <si>
    <t>МАТЕРІАЛІВ</t>
  </si>
  <si>
    <t>УЛАШТУВАННЯ ФУНДАМЕНТУ БУДИНОК№2</t>
  </si>
  <si>
    <t>ВЛАСНІ СИЛИ</t>
  </si>
  <si>
    <t>1.</t>
  </si>
  <si>
    <t>м3</t>
  </si>
  <si>
    <t>1.1</t>
  </si>
  <si>
    <t>Планування дна котловану</t>
  </si>
  <si>
    <t>м²</t>
  </si>
  <si>
    <t>1.2</t>
  </si>
  <si>
    <t>Влаштування щебеневої підготовки під фундаменти h=50 мм (20 … 40 мм)</t>
  </si>
  <si>
    <r>
      <rPr>
        <b/>
        <sz val="12"/>
        <color rgb="FF002060"/>
        <rFont val="Arial Narrow"/>
        <family val="2"/>
        <charset val="204"/>
      </rPr>
      <t>м</t>
    </r>
    <r>
      <rPr>
        <b/>
        <vertAlign val="superscript"/>
        <sz val="11"/>
        <rFont val="Arial Narrow"/>
        <family val="2"/>
        <charset val="204"/>
      </rPr>
      <t>3</t>
    </r>
  </si>
  <si>
    <t>Щебінь фр.20-40 мм</t>
  </si>
  <si>
    <t>т</t>
  </si>
  <si>
    <t>1.3</t>
  </si>
  <si>
    <t>Влаштування піщаної подушки на h=400мм з пошаровим  трамбуванням</t>
  </si>
  <si>
    <t>Пісок</t>
  </si>
  <si>
    <t>1.4</t>
  </si>
  <si>
    <t>Влаштування бетонної підготовки С12/15</t>
  </si>
  <si>
    <r>
      <rPr>
        <b/>
        <sz val="12"/>
        <color rgb="FF002060"/>
        <rFont val="Arial Narrow"/>
        <family val="2"/>
        <charset val="204"/>
      </rPr>
      <t>м</t>
    </r>
    <r>
      <rPr>
        <b/>
        <vertAlign val="superscript"/>
        <sz val="11"/>
        <color rgb="FF003366"/>
        <rFont val="Arial Narrow"/>
        <family val="2"/>
        <charset val="204"/>
      </rPr>
      <t>3</t>
    </r>
  </si>
  <si>
    <t>Бетон (В12,5) (М5)  з доставкою на об'єкт</t>
  </si>
  <si>
    <r>
      <rPr>
        <b/>
        <i/>
        <sz val="12"/>
        <rFont val="Arial Narrow"/>
        <family val="2"/>
        <charset val="204"/>
      </rPr>
      <t>м</t>
    </r>
    <r>
      <rPr>
        <b/>
        <i/>
        <vertAlign val="superscript"/>
        <sz val="10"/>
        <rFont val="Arial Narrow"/>
        <family val="2"/>
        <charset val="204"/>
      </rPr>
      <t>3</t>
    </r>
  </si>
  <si>
    <t>1.5</t>
  </si>
  <si>
    <t>Улаштування гідрошпонки</t>
  </si>
  <si>
    <t>м/п</t>
  </si>
  <si>
    <t>Гідроізоляційна шпонка ВД 320</t>
  </si>
  <si>
    <t>бухта</t>
  </si>
  <si>
    <t>1.6</t>
  </si>
  <si>
    <t>Улаштування деформаційного шва</t>
  </si>
  <si>
    <t>Пінополістирол екструдований Г-1</t>
  </si>
  <si>
    <t xml:space="preserve"> Джгут 40 мм</t>
  </si>
  <si>
    <t>Оксипласт, поліуретановий герметик (відро 12 кг)</t>
  </si>
  <si>
    <t>відро</t>
  </si>
  <si>
    <t>1.7</t>
  </si>
  <si>
    <t>Влаштування фундаментної плити (Карм=90,5955 кг/м3)</t>
  </si>
  <si>
    <t>Бетон С20/25 W8 (М5)  з доставкою на об'єкт</t>
  </si>
  <si>
    <t>Арматура Ф10 А400С (25Г2С)</t>
  </si>
  <si>
    <t>Арматура Ф12 А400С (25Г2С)</t>
  </si>
  <si>
    <t>Арматура Ф16 А400С (25Г2С)</t>
  </si>
  <si>
    <t>Проволока 1,2 т/о</t>
  </si>
  <si>
    <t>тн</t>
  </si>
  <si>
    <t>Лист 8 мм С245</t>
  </si>
  <si>
    <t>Оренда бетононасосу</t>
  </si>
  <si>
    <t>маш/зм</t>
  </si>
  <si>
    <t>Оренда обладнання Двигун вібратора AVMU/220V 2,3кВт, 4,8кг/ENAR (170 грн/зм) + оренда обладнання Вал гнучкий ТАХ 3м ENAR(Ісп.) (40 грн/зм) + оренда обладнання Вібробулава АХ d38  ENAR (400 грн/зм)</t>
  </si>
  <si>
    <t>доба</t>
  </si>
  <si>
    <t>1.8</t>
  </si>
  <si>
    <t>Прокладання труб Ф110 мм аварійного водовідведення</t>
  </si>
  <si>
    <t>Труба Ф110 мм ПЕ-80 SDR21</t>
  </si>
  <si>
    <t>Коліно Ф110 мм ПЕ-80 SDR21</t>
  </si>
  <si>
    <t>шт.</t>
  </si>
  <si>
    <t>Трійник Ф110 мм ПЕ-80 SDR21</t>
  </si>
  <si>
    <t>2.</t>
  </si>
  <si>
    <t>НАКЛАДНІ ВИТРАТИ</t>
  </si>
  <si>
    <t>2.1</t>
  </si>
  <si>
    <t>З/П ІТР</t>
  </si>
  <si>
    <t>міс.</t>
  </si>
  <si>
    <t>2.2</t>
  </si>
  <si>
    <t>Охорона об'єкта ( 3 поста )</t>
  </si>
  <si>
    <t>2.3</t>
  </si>
  <si>
    <t>Техніка безпеки, охорона праці, електрозабезпечення</t>
  </si>
  <si>
    <t>будинок</t>
  </si>
  <si>
    <t>2.4</t>
  </si>
  <si>
    <t>Лабораторні випробування грунту та бетону</t>
  </si>
  <si>
    <t>2.5</t>
  </si>
  <si>
    <t>Витратні матеріали</t>
  </si>
  <si>
    <t>2.6</t>
  </si>
  <si>
    <t xml:space="preserve">Прогрів бетону </t>
  </si>
  <si>
    <t>2.7</t>
  </si>
  <si>
    <t xml:space="preserve">Оренда крану 25 тн </t>
  </si>
  <si>
    <t>2.8</t>
  </si>
  <si>
    <t>Оренда віброплити 500 кг (900 грн/зм + 600 грн доставка)</t>
  </si>
  <si>
    <t>ЗАГАЛОМ ПО УЛАШТУВАННЮ ФУНДАМЕНТУ БУДИНОК№2</t>
  </si>
  <si>
    <t>УЛАШТУВАННЯ ФУНДАМЕНТУ БУДИНОК №3</t>
  </si>
  <si>
    <t>Бетон (В12,5) (М5) з доставкою на об'єкт</t>
  </si>
  <si>
    <r>
      <rPr>
        <b/>
        <i/>
        <sz val="12"/>
        <rFont val="Arial Narrow"/>
        <family val="2"/>
        <charset val="204"/>
      </rPr>
      <t>м</t>
    </r>
    <r>
      <rPr>
        <i/>
        <vertAlign val="superscript"/>
        <sz val="10"/>
        <rFont val="Arial Narrow"/>
        <family val="2"/>
        <charset val="204"/>
      </rPr>
      <t>3</t>
    </r>
  </si>
  <si>
    <t>Влаштування фундаментної плити (Карм=89,6734 кг/м3)</t>
  </si>
  <si>
    <t>Бетон С20/25 W8  (М5)  з доставкою на об'єкт</t>
  </si>
  <si>
    <t xml:space="preserve">Прокладання труб Ф110 мм аварійного водовідведення </t>
  </si>
  <si>
    <t>2.9</t>
  </si>
  <si>
    <t>Робота людини на помпі</t>
  </si>
  <si>
    <t>люд/зм</t>
  </si>
  <si>
    <t>Помпа (насос) для викачування води</t>
  </si>
  <si>
    <t>Пальне</t>
  </si>
  <si>
    <t>л</t>
  </si>
  <si>
    <t>ЗАГАЛОМ ПО УЛАШТУВАННЮ ФУНДАМЕНТУ БУДИНОК№3</t>
  </si>
  <si>
    <t>УЛАШТУВАННЯ ФУНДАМЕНТУ БУДИНОК №4</t>
  </si>
  <si>
    <t>УЛАШТУВАННЯ ФУНДАМЕНТУ БУДИНОК№4</t>
  </si>
  <si>
    <t>Влаштування піщаної подушки на h=600…1400 мм з пошаровим  трамбуванням</t>
  </si>
  <si>
    <t>Бетон С20/25  (М5) з доставкою на об'єкт</t>
  </si>
  <si>
    <t>Труба ПЕ100 SDR17 - Ф110 х 6,6 відр. Питна</t>
  </si>
  <si>
    <t>Відвід 90 зварний ПЕ100 SDR17 Ф110</t>
  </si>
  <si>
    <t>Трійник зварний Ф110 мм ПЕ-100 SDR17</t>
  </si>
  <si>
    <t>ЗАГАЛОМ ПО УЛАШТУВАННЮ ФУНДАМЕНТУ БУДИНОК№4</t>
  </si>
  <si>
    <t>УЛАШТУВАННЯ КОТЛОВАНУ БУДИНОК№2</t>
  </si>
  <si>
    <t>ПІДРЯДНИК</t>
  </si>
  <si>
    <t>ТОВ "СУ630"</t>
  </si>
  <si>
    <t>Розробка котловану до відм. 172.95 з перевозкою грунту до 1 км  (вологий грунт) 50% з урахуванням пандусу в'їзду у котлован</t>
  </si>
  <si>
    <t>Робота бульдозера на отвалі
(необхідність роботи: розгортання раніше висипаного грунту, для подальшого висипання грунту автосамоскидом, робота при розробці грунту-розчищення шляху, розгортання розроблення грунту)</t>
  </si>
  <si>
    <t>Підготовка площі тимчасових доріг
(4 трамбування, планування грунту, насипання грунту, дуже великий перепад 1,5….2,0 м)</t>
  </si>
  <si>
    <t>м2</t>
  </si>
  <si>
    <t>ЗАГАЛОМ ПО ОБ'ЄКТУ
"ВЛАШТУВАННЯ ТИМЧАСОВИХ ДОРІГ ТА КОТЛОВАНІВ БУД. №2, №3, №4 С. ГАТНЕ "</t>
  </si>
  <si>
    <t>УЛАШТУВАННЯ КОТЛОВАНУ БУДИНОК№3</t>
  </si>
  <si>
    <t>Розробка котловану до відм. 173.3 з перевозкою грунту до 1 км   (сухий грунт) 100% з урахуванням пандусу в'їзду у котлован</t>
  </si>
  <si>
    <t>Вивіз сміття з ями (вірогідніше за все сміття буде вивозитися у Підгірці, приблизно 36-38 км)</t>
  </si>
  <si>
    <t>Робота бульдозера на отвалі
(необхідність роботи: розгортання раніше висипаного грунту, для подальшого висипання грунту автосамоскидом, робота при розробці грунту-розчищення шляху, розгортання розроблення грунту, участь у розгортанні та плануванні грунту по території, бо сухий грунт можна використати для улаштування доріг)</t>
  </si>
  <si>
    <t>УЛАШТУВАННЯ КОТЛОВАНУ БУДИНОК№4</t>
  </si>
  <si>
    <t>Розробка котловану до відм. 172.6 з перевозкою грунту до 1 км  (мокрий грунт) 80% з урахуванням пандусу в'їзду у котлован</t>
  </si>
  <si>
    <t>ПАРКАН ТА ПОБУТОВЕ МІСТЕЧКО</t>
  </si>
  <si>
    <t>УЛАШТУВАННЯ ПОБУТОВОГО МІСТЕЧКА</t>
  </si>
  <si>
    <t>1.1.1</t>
  </si>
  <si>
    <t>Влаштування ям під стійки паркану</t>
  </si>
  <si>
    <t>ям</t>
  </si>
  <si>
    <t>1.1.2</t>
  </si>
  <si>
    <t xml:space="preserve">Монтаж стійок з металевої труби (88 стійок) </t>
  </si>
  <si>
    <t>1.1.3.</t>
  </si>
  <si>
    <t>Ґрунтування поверхні металу вручну один шар</t>
  </si>
  <si>
    <r>
      <rPr>
        <b/>
        <sz val="12"/>
        <color rgb="FF002060"/>
        <rFont val="Arial Narrow"/>
        <family val="2"/>
        <charset val="204"/>
      </rPr>
      <t>м</t>
    </r>
    <r>
      <rPr>
        <b/>
        <vertAlign val="superscript"/>
        <sz val="10"/>
        <color rgb="FF000000"/>
        <rFont val="Arial"/>
        <family val="2"/>
        <charset val="204"/>
      </rPr>
      <t>2</t>
    </r>
  </si>
  <si>
    <t>1.1.4.</t>
  </si>
  <si>
    <t xml:space="preserve">Фарбування м/к фарбою ПФ-115 один шар </t>
  </si>
  <si>
    <t>Труба ПР 50х25х2,0 (6м) з урахуванням доставки та порізки по 2,5 м (84 шт.)</t>
  </si>
  <si>
    <t>Труба ПР120х120х3,0 з урахуванням доставки та порізки по 
3 м(12 м)  (4 шт.)</t>
  </si>
  <si>
    <t>Грунт ГФ-021 С світло-сірий 2,8 кг</t>
  </si>
  <si>
    <t>кг</t>
  </si>
  <si>
    <t>Емаль ПФ-115 С зелена 2,8 кг СТАНДАРТ</t>
  </si>
  <si>
    <t>Розчинник "WHITE SPIRIT"</t>
  </si>
  <si>
    <t>добре</t>
  </si>
  <si>
    <t>1.1.5.</t>
  </si>
  <si>
    <t>Бетонування стійок (0.5*0.5*0.7)</t>
  </si>
  <si>
    <t>1.1.6.</t>
  </si>
  <si>
    <t>Перевезення бетону за допомогою тачанок у межах будівельного майданчика</t>
  </si>
  <si>
    <t>погоджуємось, прибираємо позицію</t>
  </si>
  <si>
    <t>БСГ В12,5 Р4 F50 (з урахуванням транспорту до с. Гатне 11 км)</t>
  </si>
  <si>
    <t>1.1.7.</t>
  </si>
  <si>
    <t xml:space="preserve">Монтаж прогонів з металевої труби 40*20 </t>
  </si>
  <si>
    <t>1.1.8.</t>
  </si>
  <si>
    <t>1.1.9.</t>
  </si>
  <si>
    <t>Труба ПР 40х20х2,0 (6м) з урахуванням доставки та порізки по 2,5 м</t>
  </si>
  <si>
    <t>1.1.10.</t>
  </si>
  <si>
    <t xml:space="preserve">Виготовлення та встановка воріт та фіртки з труби 50*25 h-2м </t>
  </si>
  <si>
    <t>1.1.11.</t>
  </si>
  <si>
    <t>1.1.12.</t>
  </si>
  <si>
    <t>1.1.13.</t>
  </si>
  <si>
    <t>Монтаж пофлиста воріт та фіртки</t>
  </si>
  <si>
    <t>Лист гофрований 9-хв. (2 м) RAL6005</t>
  </si>
  <si>
    <t>Самонаріз 4,8*19 6005 (зелений)</t>
  </si>
  <si>
    <t>Петля 28 приварна</t>
  </si>
  <si>
    <t>компл.</t>
  </si>
  <si>
    <t>Замок врізний Мотор Січ 3В4-3, 111-6 чорний</t>
  </si>
  <si>
    <t>Секрет 60 к/к</t>
  </si>
  <si>
    <t>1.1.14.</t>
  </si>
  <si>
    <t>Монтаж профлиста паркану h-2м</t>
  </si>
  <si>
    <t>1.1.15.</t>
  </si>
  <si>
    <t>Влаштування тимчасових доріжок побутового містечка</t>
  </si>
  <si>
    <t>Щебінь б/в фр. 20-40 мм (з Нивок) з урахуванням доставки</t>
  </si>
  <si>
    <t>1.1.16.</t>
  </si>
  <si>
    <t>Перевезення та установлення битовок та основних засобів</t>
  </si>
  <si>
    <t>Оренда вантажної Газелі 
(для перевезення профлиста та труб в межах будівельного майданчика)</t>
  </si>
  <si>
    <t>якщо везуть профлист, то й труби можуть перевезти, велика площа майданчика</t>
  </si>
  <si>
    <t>нужно 3 ма/зм (завоз столбы, прогоны, профлист)</t>
  </si>
  <si>
    <t>Оренда крану 25 тн для переміщення и улаштування побутового містечка</t>
  </si>
  <si>
    <t>3 не успеем перевезти</t>
  </si>
  <si>
    <t>Робота стропаля (2 людини по 4 люд/зм.) для крану та влаштування тимчасових доріжок побутового містечка</t>
  </si>
  <si>
    <t>Автоплощадка для перевезення та доставки побутових приміщень для улаштування побутового містечка</t>
  </si>
  <si>
    <t>3 площадки и 3 крана</t>
  </si>
  <si>
    <t>1.1.17.</t>
  </si>
  <si>
    <t>Планування майданчика JCB-3</t>
  </si>
  <si>
    <t>не погоджуємось</t>
  </si>
  <si>
    <t>Оренда екскаватора-погрузника JCB-3</t>
  </si>
  <si>
    <t>СУ630 роблять улаштування буд майданчика, а це</t>
  </si>
  <si>
    <t>для подвозки щебня и вырвниванаия площадки под дорожки и под устаноку быт городка + мусор (пусть 4)</t>
  </si>
  <si>
    <t>Робота підсобного робітника (2 людини по 3 люд/год) для роботи JCB-3</t>
  </si>
  <si>
    <t>побутове містечко</t>
  </si>
  <si>
    <t>1.1.18.</t>
  </si>
  <si>
    <t>Оренда дизель-генератору для електропостачання на майданчик (з урахуванням доставки на об'єкт)</t>
  </si>
  <si>
    <t>дн.</t>
  </si>
  <si>
    <t>не погоджуємось
буд.2,3,4 не мають підключення</t>
  </si>
  <si>
    <t>Бензин</t>
  </si>
  <si>
    <t>ОГОРОДЖЕННЯ БУДІВНИЦТВА БУДИНКІВ № 2, 3, 4</t>
  </si>
  <si>
    <t>1.2.1.</t>
  </si>
  <si>
    <t xml:space="preserve">Влаштування ям під стійки паркану (0.5*0.5*0.7) 175 шт. </t>
  </si>
  <si>
    <t>1.2.2.</t>
  </si>
  <si>
    <t>Монтаж стійок з металевої труби</t>
  </si>
  <si>
    <t>1.2.3.</t>
  </si>
  <si>
    <t>1.2.4.</t>
  </si>
  <si>
    <t>Труба ПР 50х25х2,0 (6м) з урахуванням доставки та порізки по 2,5 м (169 шт)</t>
  </si>
  <si>
    <t>Труба ПР120х120х3,0 з урахуванням доставки та порізки по 3 м  
(6 шт)</t>
  </si>
  <si>
    <t>1.2.5.</t>
  </si>
  <si>
    <t>1.2.6.</t>
  </si>
  <si>
    <t>1.2.7.</t>
  </si>
  <si>
    <t>1.2.8.</t>
  </si>
  <si>
    <t>1.2.9.</t>
  </si>
  <si>
    <t>1.2.10.</t>
  </si>
  <si>
    <t>Виготовлення та встановка воріт та фіртки з труби 50*25 h-2м</t>
  </si>
  <si>
    <t>1.2.11.</t>
  </si>
  <si>
    <t>1.2.12.</t>
  </si>
  <si>
    <t>1.2.13.</t>
  </si>
  <si>
    <t>Монтаж профлиста паркану та воріт h-2м</t>
  </si>
  <si>
    <t>комплект</t>
  </si>
  <si>
    <t>1.2.14.</t>
  </si>
  <si>
    <t>не знаем кто раньше зайдет сУ или мы , накидано много грунту на месте грунта</t>
  </si>
  <si>
    <t>кількість та об'єми узято з данних</t>
  </si>
  <si>
    <t>все машиносмены на забор, неровности грунта мешает</t>
  </si>
  <si>
    <t>Суховерського М.Б. він ці роботи дає</t>
  </si>
  <si>
    <t>1.2.15.</t>
  </si>
  <si>
    <t>обов'язково потрібний для погрузки та розвантаження (час робіт по паркану не меньше 20 дн)</t>
  </si>
  <si>
    <t>прорабскую и склады перемещаем на площадки стройки (стоят на месте 1 дома)</t>
  </si>
  <si>
    <t xml:space="preserve">Робота стропаля (2 людини по 2 люд/зм.) для крану </t>
  </si>
  <si>
    <t>люди при крані-обов'язково</t>
  </si>
  <si>
    <t>Оренда вантажної Газелі
(для перевезення профлиста та труб в межах будівельного майданчика)</t>
  </si>
  <si>
    <t>велика площа забудови, потрібно для транспортування матеріалів у межах буд. майданчика</t>
  </si>
  <si>
    <t>3 соглашаемся но надо 4</t>
  </si>
  <si>
    <t>1.2.16.</t>
  </si>
  <si>
    <t>на все плиты нужен дизель генератор (рубочный, вибраторы, оборудование)</t>
  </si>
  <si>
    <t>ЗАГАЛОМ ПО ОБ'ЄКТУ
"с. Гатне ПАРКАН та буд.№2,3,4 та побутове містечко"</t>
  </si>
  <si>
    <t>УЛАШТУВАННЯ ФУНДАМЕНТІВ БУД. №2, №3, №4 
С. ГАТНЕ</t>
  </si>
  <si>
    <t>З УЛАШТУВАННЯ 
ВИПУСКІВ !!!!!!!!!!!</t>
  </si>
  <si>
    <t>2.1.1</t>
  </si>
  <si>
    <t>2.1.2</t>
  </si>
  <si>
    <t>погоджуємось, к=1,15</t>
  </si>
  <si>
    <t>2.1.3</t>
  </si>
  <si>
    <t>погоджуємось, к=1,1</t>
  </si>
  <si>
    <t>2.1.4</t>
  </si>
  <si>
    <t>Бетон (В12,5) з доставкою на об'єкт</t>
  </si>
  <si>
    <t>2.1.5</t>
  </si>
  <si>
    <t>погоджуємось розцінка 200 грн/м2</t>
  </si>
  <si>
    <t>2.1.6</t>
  </si>
  <si>
    <t>погоджуємось розцінка 25 грн/м2</t>
  </si>
  <si>
    <t>Пароізол Ф40 мм Sanpol</t>
  </si>
  <si>
    <t>Герметик САЗИЛАТ-51 (15,5 кг)</t>
  </si>
  <si>
    <t>відро - 15,5 кг</t>
  </si>
  <si>
    <t>2.1.7</t>
  </si>
  <si>
    <t>не погоджуємось, за 220 грн/м3 фунд. Плиту 400 мм ми не виконаємо</t>
  </si>
  <si>
    <t>перевезти опалубку, таскать без крана</t>
  </si>
  <si>
    <t>Бетон С20/25 W8 з доставкою на об'єкт</t>
  </si>
  <si>
    <t>беремо на плиту 6 вібраторів, з урахуванням запасу, тому що ламаються</t>
  </si>
  <si>
    <t>2.1.8</t>
  </si>
  <si>
    <t>погоджуємось, зменьшуємо розцінку</t>
  </si>
  <si>
    <t>не сделаем надо30</t>
  </si>
  <si>
    <t>УЛАШТУВАННЯ ФУНДАМЕНТУ БУДИНОК№3</t>
  </si>
  <si>
    <t>2.2.1</t>
  </si>
  <si>
    <t>2.2.2</t>
  </si>
  <si>
    <t>2.2.3</t>
  </si>
  <si>
    <t>2.2.4</t>
  </si>
  <si>
    <t>2.2.5</t>
  </si>
  <si>
    <t>2.3.1</t>
  </si>
  <si>
    <t>2.3.2</t>
  </si>
  <si>
    <t>2.3.3</t>
  </si>
  <si>
    <t>2.3.4</t>
  </si>
  <si>
    <t>2.3.5</t>
  </si>
  <si>
    <t>Бетон С20/25  з доставкою на об'єкт</t>
  </si>
  <si>
    <t>2.3.6</t>
  </si>
  <si>
    <t>ЗАГАЛОМ ПО ОБ'ЄКТУ
"УЛАШТУВАННЯ ФУНДАМЕНТІВ БУД. №2, №3, №4
С. ГАТНЕ"</t>
  </si>
  <si>
    <t>3.</t>
  </si>
  <si>
    <t xml:space="preserve">ВЛАШТУВАННЯ ТИМЧАСОВИХ ДОРІГ ТА КОТЛОВАНІВ БУДИНКИ №2, №3, №4 С. ГАТНЕ </t>
  </si>
  <si>
    <t>3.1</t>
  </si>
  <si>
    <t>УЛАШТУВАННЯ ТИМЧАСОВИХ ДОРІГ</t>
  </si>
  <si>
    <t>3.1.1.</t>
  </si>
  <si>
    <t>3.1.2.</t>
  </si>
  <si>
    <t>Влаштування покриття t=200 мм з б/в щебня</t>
  </si>
  <si>
    <t>погоджуємось зі зміною розцінки</t>
  </si>
  <si>
    <t>3.2</t>
  </si>
  <si>
    <t>3.2.1</t>
  </si>
  <si>
    <t>3.2.2</t>
  </si>
  <si>
    <t>Розробка котловану до відм. 172.95 з перевозкою грунту до 1 км  (сухий грунт) 50% з урахуванням пандусу в'їзду у котлован</t>
  </si>
  <si>
    <t>3.2.3</t>
  </si>
  <si>
    <t>3.2.4</t>
  </si>
  <si>
    <t>3.3</t>
  </si>
  <si>
    <t>3.3.1</t>
  </si>
  <si>
    <t>3.3.2</t>
  </si>
  <si>
    <t>3.3.3</t>
  </si>
  <si>
    <t>3.3.4</t>
  </si>
  <si>
    <t>3.4</t>
  </si>
  <si>
    <t>3.4.1</t>
  </si>
  <si>
    <t>3.4.2</t>
  </si>
  <si>
    <t>Розробка котловану до відм. 172.6 з перевозкою грунту до 1 км  (сухий грунт) 20% з урахуванням пандусу в'їзду у котлован</t>
  </si>
  <si>
    <t>3.4.4</t>
  </si>
  <si>
    <t>3.4.5</t>
  </si>
  <si>
    <t>4.</t>
  </si>
  <si>
    <t>4.1</t>
  </si>
  <si>
    <t>відправив Тишкевич</t>
  </si>
  <si>
    <t>4.2</t>
  </si>
  <si>
    <t>4.3</t>
  </si>
  <si>
    <t>4.4</t>
  </si>
  <si>
    <t>4.5</t>
  </si>
  <si>
    <t>105
ТАТЬЯНА !!</t>
  </si>
  <si>
    <t>ціна 115 грн/м3 підвищена у всіх нових бюджетах (подорожчання гуртожитку, води, електроенергії !!!)
Ф2 гуртожиток робітників</t>
  </si>
  <si>
    <t>Максим Анатольевич</t>
  </si>
  <si>
    <t>оплаубка!!!!!!!</t>
  </si>
  <si>
    <t>4.6</t>
  </si>
  <si>
    <t>15 маш/час
41 маш-час
1000 м3</t>
  </si>
  <si>
    <t>не погоджуємось, улаштування фундаментів,мінімальний термін 2 міс. Цю кількість змін кран вкрай необхідний, якщо не більше
для улаштування фундаментних плит</t>
  </si>
  <si>
    <t>на нивках один целый дом, а здесь 3 дома</t>
  </si>
  <si>
    <t>4.7</t>
  </si>
  <si>
    <t>предусмотрено у СМИ</t>
  </si>
  <si>
    <t>не погоджуємось, у п.2.1.7. и 2.2.4. и 2.3.5 враховано роботу вібратора(для бетону з його складовими частинами), атакож роботу бетононасосу, але не віброплити, яка буде потрібна майже на всіх етапах данної частки будівництва</t>
  </si>
  <si>
    <t>подготовка пещаной подушки</t>
  </si>
  <si>
    <t>ЗАГАЛОМ ПО БУДІВНИЦТВУ ЖИТЛОВОГО КОМПЛЕКСУ С. ГАТНЕ (ЧАСТИНА БЮДЖЕТУ) БУД. №2, №3, №4</t>
  </si>
  <si>
    <t>Будівництво житлового комплексу 
с. Гатне, будинки №2, №3, №4</t>
  </si>
  <si>
    <t>Галяс О.М.</t>
  </si>
  <si>
    <t>Горох Ю.Ю.</t>
  </si>
  <si>
    <t>СЛУЖБОВА ЗАПИСКА</t>
  </si>
  <si>
    <r>
      <rPr>
        <sz val="12"/>
        <color rgb="FF000000"/>
        <rFont val="Arial Narrow"/>
        <family val="2"/>
        <charset val="204"/>
      </rPr>
      <t xml:space="preserve">          Прошу погодити бюджет на "</t>
    </r>
    <r>
      <rPr>
        <b/>
        <sz val="12"/>
        <color rgb="FF000000"/>
        <rFont val="Arial Narrow"/>
        <family val="2"/>
        <charset val="204"/>
      </rPr>
      <t xml:space="preserve"> БУДІВНИЦТВО ЖИТЛОВОГО КОМПЛЕКСУ С. ГАТНЕ
БУДИНКИ №2, №3 та № 4</t>
    </r>
    <r>
      <rPr>
        <sz val="12"/>
        <color rgb="FF000000"/>
        <rFont val="Arial Narrow"/>
        <family val="2"/>
        <charset val="204"/>
      </rPr>
      <t xml:space="preserve">: ВЛАШТУВАННЯ ТИМЧАСОВИХ ДОРІГ, ВЛАШТУВАННЯ 
ПАРКАНУ,  ВЛАШТУВАННЯ ФУНДАМЕНТІВ ( БЕЗ ВИПУСКІВ ), ВЛАШТУВАННЯ 
КОТЛОВАНІВ " у розмірі </t>
    </r>
    <r>
      <rPr>
        <b/>
        <u/>
        <sz val="12"/>
        <color rgb="FF000000"/>
        <rFont val="Arial Narrow"/>
        <family val="2"/>
        <charset val="204"/>
      </rPr>
      <t>6 078 475,92 грн.</t>
    </r>
    <r>
      <rPr>
        <sz val="12"/>
        <color rgb="FF000000"/>
        <rFont val="Arial Narrow"/>
        <family val="2"/>
        <charset val="204"/>
      </rPr>
      <t xml:space="preserve">, з них готівкові кошти </t>
    </r>
    <r>
      <rPr>
        <b/>
        <u/>
        <sz val="12"/>
        <color rgb="FF000000"/>
        <rFont val="Arial Narrow"/>
        <family val="2"/>
        <charset val="204"/>
      </rPr>
      <t>1 117 923,74  грн</t>
    </r>
    <r>
      <rPr>
        <sz val="12"/>
        <color rgb="FF000000"/>
        <rFont val="Arial Narrow"/>
        <family val="2"/>
        <charset val="204"/>
      </rPr>
      <t>.</t>
    </r>
  </si>
  <si>
    <t>22.09.2016 р.</t>
  </si>
  <si>
    <t>_____________________________ Білінський М.А.</t>
  </si>
  <si>
    <t>Додаток №1</t>
  </si>
  <si>
    <t>до Договору №______________ від __ . __ . 2016 р.</t>
  </si>
  <si>
    <t>ТВЕРДИЙ КОШТОРИС</t>
  </si>
  <si>
    <t xml:space="preserve">" Б У Д І В Н И Ц Т В О   Ж И Т Л О В О Г О   К О М П Л Е К С У   С.   Г А Т Н Е    Б У Д И Н К И   № 2,   № 3,   № 4
ВЛАШТУВАННЯ ВЛАШТУВАННЯ КОТЛОВАНІВ </t>
  </si>
  <si>
    <t>ЗАГАЛОМ БЕЗ ПДВ</t>
  </si>
  <si>
    <t>аванс№1</t>
  </si>
  <si>
    <t>ПДВ (20%)</t>
  </si>
  <si>
    <t>ЗАГАЛОМ З ПДВ</t>
  </si>
  <si>
    <t>Генеральний підрядник</t>
  </si>
  <si>
    <t>Підрядник</t>
  </si>
  <si>
    <t>ТОВ "БК"Інтергал Буд"</t>
  </si>
  <si>
    <t>Директор з капітального будівництва</t>
  </si>
  <si>
    <t>Заступник директора</t>
  </si>
  <si>
    <t>_____________ Білінський М.А.</t>
  </si>
  <si>
    <t>__________________ Молчан Н.І.</t>
  </si>
  <si>
    <t>ИТОГ !!!</t>
  </si>
  <si>
    <t>Труба ПР120х120х3,0 з урахуванням доставки та порізки по 3 м (6 шт)</t>
  </si>
  <si>
    <t>Труба ПР 40х20х2,0 (6м) з урахуванням доставки та порізки  по 2,5 м</t>
  </si>
  <si>
    <r>
      <rPr>
        <b/>
        <i/>
        <sz val="12"/>
        <rFont val="Arial Narrow"/>
        <family val="2"/>
        <charset val="204"/>
      </rPr>
      <t xml:space="preserve">Труба ПР 40х20х2,0 (6м) з урахуванням доставки та порізки по 2,5 м
</t>
    </r>
    <r>
      <rPr>
        <b/>
        <i/>
        <sz val="12"/>
        <color rgb="FFC61E02"/>
        <rFont val="Arial Narrow"/>
        <family val="2"/>
        <charset val="204"/>
      </rPr>
      <t>МАТЕРІАЛ ВІД ДЕМОНТАЖУ ПАРКАНУ БУДИНКУ №1
(260м2 /3м(пролет)х2шт.)</t>
    </r>
  </si>
  <si>
    <r>
      <rPr>
        <b/>
        <i/>
        <sz val="12"/>
        <rFont val="Arial Narrow"/>
        <family val="2"/>
        <charset val="204"/>
      </rPr>
      <t xml:space="preserve">Дроблений бетон після розбору корівників 
</t>
    </r>
    <r>
      <rPr>
        <b/>
        <i/>
        <u/>
        <sz val="12"/>
        <color rgb="FFC61E02"/>
        <rFont val="Arial Narrow"/>
        <family val="2"/>
        <charset val="204"/>
      </rPr>
      <t>(ціна тільки за перевезення з розбору корівників)</t>
    </r>
  </si>
  <si>
    <r>
      <rPr>
        <b/>
        <i/>
        <sz val="12"/>
        <rFont val="Arial Narrow"/>
        <family val="2"/>
        <charset val="204"/>
      </rPr>
      <t xml:space="preserve">Дроблений бетон після розбору корівників 
</t>
    </r>
    <r>
      <rPr>
        <b/>
        <i/>
        <sz val="12"/>
        <color rgb="FFC61E02"/>
        <rFont val="Arial Narrow"/>
        <family val="2"/>
        <charset val="204"/>
      </rPr>
      <t>(ціна тільки за перевезення з розбору корівників)</t>
    </r>
  </si>
  <si>
    <r>
      <rPr>
        <b/>
        <i/>
        <sz val="12"/>
        <rFont val="Arial Narrow"/>
        <family val="2"/>
        <charset val="204"/>
      </rPr>
      <t xml:space="preserve">Труба ПР 50х25х2,0 (6м) з урахуванням доставки та порізки по 2,5 м
</t>
    </r>
    <r>
      <rPr>
        <b/>
        <i/>
        <sz val="12"/>
        <color rgb="FFC61E02"/>
        <rFont val="Arial Narrow"/>
        <family val="2"/>
        <charset val="204"/>
      </rPr>
      <t>МАТЕРІАЛ ВІД ДЕМОНТАЖУ ПАРКАНУ БУДИНКУ №1
(260м2 /3м(пролет)х1,9м(высота))+2 стойки</t>
    </r>
  </si>
  <si>
    <r>
      <rPr>
        <b/>
        <i/>
        <sz val="12"/>
        <rFont val="Arial Narrow"/>
        <family val="2"/>
        <charset val="204"/>
      </rPr>
      <t xml:space="preserve">Лист гофрований 9-хв. (2 м) RAL6005
</t>
    </r>
    <r>
      <rPr>
        <b/>
        <i/>
        <u/>
        <sz val="12"/>
        <color rgb="FFC61E02"/>
        <rFont val="Arial Narrow"/>
        <family val="2"/>
        <charset val="204"/>
      </rPr>
      <t>МАТЕРІАЛ ВІД ДЕМОНТАЖУ ПАРКАНУ БУДИНКУ №1</t>
    </r>
  </si>
  <si>
    <t>Ранее такой позиции не было. Бетонирование стоек не трудоемкая работа, вполне может в себя включать и перевозку бетона, что ранее было.</t>
  </si>
  <si>
    <r>
      <rPr>
        <b/>
        <sz val="12"/>
        <color rgb="FF002060"/>
        <rFont val="Arial Narrow"/>
        <family val="2"/>
        <charset val="204"/>
      </rPr>
      <t xml:space="preserve">Оренда вантажної </t>
    </r>
    <r>
      <rPr>
        <b/>
        <strike/>
        <sz val="12"/>
        <color rgb="FFFF0000"/>
        <rFont val="Arial Narrow"/>
        <family val="2"/>
        <charset val="204"/>
      </rPr>
      <t xml:space="preserve">Газелі </t>
    </r>
    <r>
      <rPr>
        <b/>
        <sz val="12"/>
        <rFont val="Arial Narrow"/>
        <family val="2"/>
        <charset val="204"/>
      </rPr>
      <t xml:space="preserve"> ТЕХНІКИ
</t>
    </r>
    <r>
      <rPr>
        <b/>
        <sz val="12"/>
        <color rgb="FF002060"/>
        <rFont val="Arial Narrow"/>
        <family val="2"/>
        <charset val="204"/>
      </rPr>
      <t>(для</t>
    </r>
    <r>
      <rPr>
        <b/>
        <strike/>
        <sz val="12"/>
        <color rgb="FFFF0000"/>
        <rFont val="Arial Narrow"/>
        <family val="2"/>
        <charset val="204"/>
      </rPr>
      <t xml:space="preserve"> перевезення</t>
    </r>
    <r>
      <rPr>
        <b/>
        <sz val="12"/>
        <color rgb="FF002060"/>
        <rFont val="Arial Narrow"/>
        <family val="2"/>
        <charset val="204"/>
      </rPr>
      <t xml:space="preserve">  </t>
    </r>
    <r>
      <rPr>
        <b/>
        <sz val="12"/>
        <color rgb="FFFF0000"/>
        <rFont val="Arial Narrow"/>
        <family val="2"/>
        <charset val="204"/>
      </rPr>
      <t xml:space="preserve">РОЗВАНТАЖЕННЯ </t>
    </r>
    <r>
      <rPr>
        <b/>
        <sz val="12"/>
        <color rgb="FF002060"/>
        <rFont val="Arial Narrow"/>
        <family val="2"/>
        <charset val="204"/>
      </rPr>
      <t xml:space="preserve">профлиста та труб </t>
    </r>
    <r>
      <rPr>
        <b/>
        <strike/>
        <sz val="12"/>
        <color rgb="FFFF0000"/>
        <rFont val="Arial Narrow"/>
        <family val="2"/>
        <charset val="204"/>
      </rPr>
      <t>в межах будівельного майданчика</t>
    </r>
    <r>
      <rPr>
        <b/>
        <sz val="12"/>
        <color rgb="FF002060"/>
        <rFont val="Arial Narrow"/>
        <family val="2"/>
        <charset val="204"/>
      </rPr>
      <t>)</t>
    </r>
  </si>
  <si>
    <t>по аналогии устройства забора на 1й дом техника предусматривалась для разгрузки профлиста</t>
  </si>
  <si>
    <t>Написать, что это перемещение и устройство бытового городка</t>
  </si>
  <si>
    <t>Робота стропаля (2 людини по 4 люд/зм.) для крану та влаштування тимчасових доріжок</t>
  </si>
  <si>
    <t>Автоплощадка для перевезення та доставки побутових приміщень</t>
  </si>
  <si>
    <t>Планировка есть у СУ630. Необходимо предоставить совмесно с бюджетом план-схему</t>
  </si>
  <si>
    <t>Неужели не получиттся подключиться к своей ТП?</t>
  </si>
  <si>
    <t>Планировка есть у СУ630</t>
  </si>
  <si>
    <t>Бытовой городок общий на дома №2, 3. 4. Затраты указаны в п.1.1.16</t>
  </si>
  <si>
    <t>БЕЗ УЛАШТУВАННЯ 
ВИПУСКІВ !!!!!!!!!!!</t>
  </si>
  <si>
    <t>Коєфициент уплотнения ДБН дает только на дороги 1,26. 
СУ630 берут 1,15!!!</t>
  </si>
  <si>
    <t>Коєфициент уплотнения 1,1</t>
  </si>
  <si>
    <t>По аналогии с домом №1</t>
  </si>
  <si>
    <r>
      <rPr>
        <b/>
        <i/>
        <sz val="12"/>
        <rFont val="Arial Narrow"/>
        <family val="2"/>
        <charset val="204"/>
      </rPr>
      <t xml:space="preserve">Герметик САЗИЛАТ-51 </t>
    </r>
    <r>
      <rPr>
        <b/>
        <i/>
        <sz val="12"/>
        <color rgb="FFFF0000"/>
        <rFont val="Arial Narrow"/>
        <family val="2"/>
        <charset val="204"/>
      </rPr>
      <t>(какой объем?)</t>
    </r>
  </si>
  <si>
    <t>расшифровать</t>
  </si>
  <si>
    <t>Влаштування фундаментної плити</t>
  </si>
  <si>
    <t>Во всех бюджетах стоимость одинаковая</t>
  </si>
  <si>
    <t>Алта монолит дает 30грн с НДС</t>
  </si>
  <si>
    <t>Не учтена толщина слоя</t>
  </si>
  <si>
    <t>Підготовка площі тимчасових доріг</t>
  </si>
  <si>
    <t>Розробка котловану до відм. 172.95 з перевозкою грунту до 1 км  (вологий грунт)</t>
  </si>
  <si>
    <t>Робота бульдозера на отвалі</t>
  </si>
  <si>
    <t>Підготовка площі буд.майданчика</t>
  </si>
  <si>
    <t>Розробка котловану до відм. 173.3 з перевозкою грунту до 1 км   (сухий грунт)</t>
  </si>
  <si>
    <t>Вивіз сміття з ями</t>
  </si>
  <si>
    <t>Підготовка площа буд.майданчика</t>
  </si>
  <si>
    <t>Розробка котловану до відм. 172.6 з перевозкою грунту до 1 км  (мокрий грунт)</t>
  </si>
  <si>
    <t>Засипка піском</t>
  </si>
  <si>
    <t>3.4.3</t>
  </si>
  <si>
    <t>дать расшифровку</t>
  </si>
  <si>
    <r>
      <rPr>
        <b/>
        <i/>
        <sz val="12"/>
        <rFont val="Arial Narrow"/>
        <family val="2"/>
        <charset val="204"/>
      </rPr>
      <t xml:space="preserve">Ф2 гуртожиток робітників
</t>
    </r>
    <r>
      <rPr>
        <b/>
        <i/>
        <sz val="12"/>
        <color rgb="FFFF0000"/>
        <rFont val="Arial Narrow"/>
        <family val="2"/>
        <charset val="204"/>
      </rPr>
      <t>(Стоимость во всех бюджетах одинаковая и не превышает 105 грн)</t>
    </r>
  </si>
  <si>
    <t>Оренда крану 25 тн (для улаштування фундаментних плит)</t>
  </si>
  <si>
    <t>предусмотрено в позициях сметы 2.1.7. и 2.2.4. и 2.3.5.</t>
  </si>
  <si>
    <t>Об'єкт</t>
  </si>
  <si>
    <t>К-ТЬ</t>
  </si>
  <si>
    <t>Примітки</t>
  </si>
  <si>
    <t>Планування грунту</t>
  </si>
  <si>
    <t>Всього по бюджету</t>
  </si>
  <si>
    <t>Земляні роботи</t>
  </si>
  <si>
    <t>Кудряшова вул., 8-10 (КДР) ж.б.№2</t>
  </si>
  <si>
    <t>вирівнювання основи піском та місцевим грунтом</t>
  </si>
  <si>
    <t>Бюджет на виконання робіт</t>
  </si>
  <si>
    <t>Обробка схилу гербіцидом</t>
  </si>
  <si>
    <t>Покос трави</t>
  </si>
  <si>
    <t>Вирубка чагарників (дрібних кущових дерев)</t>
  </si>
  <si>
    <r>
      <t xml:space="preserve">Арматура - </t>
    </r>
    <r>
      <rPr>
        <sz val="12"/>
        <rFont val="Calibri"/>
        <family val="2"/>
        <charset val="204"/>
      </rPr>
      <t>ø</t>
    </r>
    <r>
      <rPr>
        <i/>
        <sz val="10.8"/>
        <rFont val="Arial"/>
        <family val="2"/>
        <charset val="204"/>
      </rPr>
      <t xml:space="preserve">10А240С </t>
    </r>
    <r>
      <rPr>
        <i/>
        <sz val="12"/>
        <rFont val="Arial"/>
        <family val="2"/>
        <charset val="204"/>
      </rPr>
      <t>Тип п подібна</t>
    </r>
  </si>
  <si>
    <t>П подібна форма довжина 700мм *100мм *200мм</t>
  </si>
  <si>
    <t>Влаштування геотекстилю на поверхні склону з кріпленням арматурою (1м на 1м)</t>
  </si>
  <si>
    <t>Геотекстиль-Агротканина 100 г/м² рулон 3.2×50 м (чорний)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</si>
</sst>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#,##0.0000"/>
    <numFmt numFmtId="167" formatCode="#,##0.00000"/>
  </numFmts>
  <fonts count="59" x14ac:knownFonts="1">
    <font>
      <sz val="11"/>
      <color rgb="FF000000"/>
      <name val="Calibri"/>
      <family val="2"/>
      <charset val="204"/>
    </font>
    <font>
      <sz val="10"/>
      <name val="Mang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rgb="FF418758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rgb="FF418758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i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0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rgb="FF002060"/>
      <name val="Arial Narrow"/>
      <family val="2"/>
      <charset val="204"/>
    </font>
    <font>
      <b/>
      <i/>
      <sz val="12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vertAlign val="superscript"/>
      <sz val="11"/>
      <name val="Arial Narrow"/>
      <family val="2"/>
      <charset val="204"/>
    </font>
    <font>
      <b/>
      <i/>
      <sz val="12"/>
      <color rgb="FF418758"/>
      <name val="Arial Narrow"/>
      <family val="2"/>
      <charset val="204"/>
    </font>
    <font>
      <b/>
      <i/>
      <sz val="12"/>
      <color rgb="FF000000"/>
      <name val="Arial Narrow"/>
      <family val="2"/>
      <charset val="204"/>
    </font>
    <font>
      <b/>
      <vertAlign val="superscript"/>
      <sz val="11"/>
      <color rgb="FF003366"/>
      <name val="Arial Narrow"/>
      <family val="2"/>
      <charset val="204"/>
    </font>
    <font>
      <b/>
      <i/>
      <vertAlign val="superscript"/>
      <sz val="10"/>
      <name val="Arial Narrow"/>
      <family val="2"/>
      <charset val="204"/>
    </font>
    <font>
      <i/>
      <vertAlign val="superscript"/>
      <sz val="10"/>
      <name val="Arial Narrow"/>
      <family val="2"/>
      <charset val="204"/>
    </font>
    <font>
      <b/>
      <sz val="12"/>
      <color rgb="FF006600"/>
      <name val="Arial Narrow"/>
      <family val="2"/>
      <charset val="204"/>
    </font>
    <font>
      <b/>
      <vertAlign val="superscript"/>
      <sz val="10"/>
      <color rgb="FF000000"/>
      <name val="Arial"/>
      <family val="2"/>
      <charset val="204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u/>
      <sz val="12"/>
      <color rgb="FF000000"/>
      <name val="Arial Narrow"/>
      <family val="2"/>
      <charset val="204"/>
    </font>
    <font>
      <b/>
      <u/>
      <sz val="14"/>
      <color rgb="FF000000"/>
      <name val="Arial Narrow"/>
      <family val="2"/>
      <charset val="204"/>
    </font>
    <font>
      <b/>
      <sz val="11"/>
      <color rgb="FF006600"/>
      <name val="Arial Narrow"/>
      <family val="2"/>
      <charset val="204"/>
    </font>
    <font>
      <b/>
      <sz val="14"/>
      <color rgb="FF006600"/>
      <name val="Arial Narrow"/>
      <family val="2"/>
      <charset val="204"/>
    </font>
    <font>
      <b/>
      <i/>
      <sz val="12"/>
      <color rgb="FF006600"/>
      <name val="Arial Narrow"/>
      <family val="2"/>
      <charset val="204"/>
    </font>
    <font>
      <b/>
      <i/>
      <sz val="12"/>
      <color rgb="FFC61E02"/>
      <name val="Arial Narrow"/>
      <family val="2"/>
      <charset val="204"/>
    </font>
    <font>
      <b/>
      <i/>
      <u/>
      <sz val="12"/>
      <color rgb="FFC61E02"/>
      <name val="Arial Narrow"/>
      <family val="2"/>
      <charset val="204"/>
    </font>
    <font>
      <b/>
      <sz val="11"/>
      <color rgb="FF003300"/>
      <name val="Arial Narrow"/>
      <family val="2"/>
      <charset val="204"/>
    </font>
    <font>
      <b/>
      <sz val="12"/>
      <color rgb="FF003300"/>
      <name val="Arial Narrow"/>
      <family val="2"/>
      <charset val="204"/>
    </font>
    <font>
      <b/>
      <i/>
      <sz val="12"/>
      <color rgb="FF003300"/>
      <name val="Arial Narrow"/>
      <family val="2"/>
      <charset val="204"/>
    </font>
    <font>
      <b/>
      <strike/>
      <sz val="12"/>
      <color rgb="FFFF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i/>
      <sz val="12"/>
      <color rgb="FFFF0000"/>
      <name val="Arial Narrow"/>
      <family val="2"/>
      <charset val="204"/>
    </font>
    <font>
      <sz val="9"/>
      <color rgb="FF000000"/>
      <name val="Tahoma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676A6C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2"/>
      <color rgb="FF00206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i/>
      <sz val="10.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CD5B5"/>
        <bgColor rgb="FFFAC090"/>
      </patternFill>
    </fill>
    <fill>
      <patternFill patternType="solid">
        <fgColor rgb="FFFFCC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9D9D9"/>
      </patternFill>
    </fill>
    <fill>
      <patternFill patternType="solid">
        <fgColor rgb="FFF7FEA0"/>
        <bgColor rgb="FFFFFFFF"/>
      </patternFill>
    </fill>
    <fill>
      <patternFill patternType="solid">
        <fgColor rgb="FFC3D69B"/>
        <bgColor rgb="FFD9D9D9"/>
      </patternFill>
    </fill>
    <fill>
      <patternFill patternType="solid">
        <fgColor rgb="FFD99694"/>
        <bgColor rgb="FFFF99CC"/>
      </patternFill>
    </fill>
    <fill>
      <patternFill patternType="solid">
        <fgColor rgb="FFFAC090"/>
        <bgColor rgb="FFFCD5B5"/>
      </patternFill>
    </fill>
    <fill>
      <patternFill patternType="solid">
        <fgColor rgb="FFFFFFFF"/>
        <bgColor rgb="FFCCFFFF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0">
    <xf numFmtId="0" fontId="0" fillId="0" borderId="0"/>
    <xf numFmtId="0" fontId="1" fillId="0" borderId="1" applyProtection="0">
      <alignment horizontal="center" vertical="center"/>
    </xf>
    <xf numFmtId="0" fontId="1" fillId="0" borderId="2" applyProtection="0">
      <alignment horizontal="center" vertical="center" wrapText="1"/>
    </xf>
    <xf numFmtId="0" fontId="56" fillId="0" borderId="0"/>
    <xf numFmtId="0" fontId="56" fillId="0" borderId="0"/>
    <xf numFmtId="164" fontId="56" fillId="0" borderId="0" applyBorder="0" applyProtection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6" fillId="0" borderId="0"/>
    <xf numFmtId="0" fontId="56" fillId="0" borderId="0"/>
    <xf numFmtId="9" fontId="56" fillId="0" borderId="0" applyBorder="0" applyProtection="0"/>
    <xf numFmtId="0" fontId="2" fillId="0" borderId="0"/>
    <xf numFmtId="165" fontId="56" fillId="0" borderId="0" applyBorder="0" applyProtection="0"/>
    <xf numFmtId="0" fontId="56" fillId="0" borderId="0" applyBorder="0" applyProtection="0"/>
    <xf numFmtId="0" fontId="56" fillId="0" borderId="0"/>
    <xf numFmtId="0" fontId="54" fillId="0" borderId="0" applyBorder="0" applyProtection="0"/>
    <xf numFmtId="0" fontId="56" fillId="0" borderId="0"/>
  </cellStyleXfs>
  <cellXfs count="219">
    <xf numFmtId="0" fontId="0" fillId="0" borderId="0" xfId="0"/>
    <xf numFmtId="0" fontId="18" fillId="4" borderId="4" xfId="17" applyFont="1" applyFill="1" applyBorder="1" applyAlignment="1">
      <alignment horizontal="center" vertical="center" wrapText="1"/>
    </xf>
    <xf numFmtId="4" fontId="10" fillId="3" borderId="3" xfId="17" applyNumberFormat="1" applyFont="1" applyFill="1" applyBorder="1" applyAlignment="1">
      <alignment horizontal="center" vertical="center" wrapText="1"/>
    </xf>
    <xf numFmtId="0" fontId="10" fillId="0" borderId="0" xfId="17" applyFont="1" applyAlignment="1">
      <alignment horizontal="center" vertical="center" wrapText="1"/>
    </xf>
    <xf numFmtId="0" fontId="10" fillId="0" borderId="0" xfId="17" applyFont="1" applyAlignment="1">
      <alignment horizontal="center" vertical="center"/>
    </xf>
    <xf numFmtId="0" fontId="7" fillId="0" borderId="0" xfId="17" applyFont="1" applyAlignment="1">
      <alignment vertical="center"/>
    </xf>
    <xf numFmtId="0" fontId="7" fillId="0" borderId="0" xfId="17" applyFont="1" applyAlignment="1">
      <alignment horizontal="center" vertical="center"/>
    </xf>
    <xf numFmtId="4" fontId="8" fillId="0" borderId="0" xfId="17" applyNumberFormat="1" applyFont="1" applyAlignment="1">
      <alignment vertical="center"/>
    </xf>
    <xf numFmtId="4" fontId="9" fillId="0" borderId="0" xfId="17" applyNumberFormat="1" applyFont="1" applyAlignment="1">
      <alignment vertical="center"/>
    </xf>
    <xf numFmtId="0" fontId="8" fillId="0" borderId="0" xfId="17" applyFont="1" applyAlignment="1">
      <alignment horizontal="left" vertical="center" wrapText="1"/>
    </xf>
    <xf numFmtId="0" fontId="11" fillId="0" borderId="0" xfId="17" applyFont="1" applyAlignment="1">
      <alignment horizontal="center" vertical="center" wrapText="1"/>
    </xf>
    <xf numFmtId="0" fontId="13" fillId="0" borderId="0" xfId="17" applyFont="1" applyAlignment="1">
      <alignment horizontal="center" vertical="center"/>
    </xf>
    <xf numFmtId="1" fontId="14" fillId="0" borderId="3" xfId="17" applyNumberFormat="1" applyFont="1" applyBorder="1" applyAlignment="1">
      <alignment horizontal="center" vertical="center" wrapText="1"/>
    </xf>
    <xf numFmtId="3" fontId="8" fillId="0" borderId="3" xfId="17" applyNumberFormat="1" applyFont="1" applyBorder="1" applyAlignment="1">
      <alignment horizontal="center" vertical="center" wrapText="1"/>
    </xf>
    <xf numFmtId="3" fontId="14" fillId="0" borderId="3" xfId="17" applyNumberFormat="1" applyFont="1" applyBorder="1" applyAlignment="1">
      <alignment horizontal="center" vertical="center" wrapText="1"/>
    </xf>
    <xf numFmtId="3" fontId="9" fillId="0" borderId="3" xfId="17" applyNumberFormat="1" applyFont="1" applyBorder="1" applyAlignment="1">
      <alignment horizontal="center" vertical="center" wrapText="1"/>
    </xf>
    <xf numFmtId="1" fontId="15" fillId="0" borderId="3" xfId="17" applyNumberFormat="1" applyFont="1" applyBorder="1" applyAlignment="1">
      <alignment horizontal="center" vertical="center" wrapText="1"/>
    </xf>
    <xf numFmtId="0" fontId="13" fillId="0" borderId="5" xfId="17" applyFont="1" applyBorder="1" applyAlignment="1">
      <alignment horizontal="center" vertical="center"/>
    </xf>
    <xf numFmtId="49" fontId="10" fillId="4" borderId="6" xfId="17" applyNumberFormat="1" applyFont="1" applyFill="1" applyBorder="1" applyAlignment="1">
      <alignment horizontal="center" vertical="center" wrapText="1"/>
    </xf>
    <xf numFmtId="0" fontId="10" fillId="4" borderId="7" xfId="17" applyFont="1" applyFill="1" applyBorder="1" applyAlignment="1">
      <alignment horizontal="left" vertical="center" wrapText="1" indent="7"/>
    </xf>
    <xf numFmtId="0" fontId="16" fillId="4" borderId="7" xfId="17" applyFont="1" applyFill="1" applyBorder="1" applyAlignment="1">
      <alignment horizontal="center" vertical="center" wrapText="1"/>
    </xf>
    <xf numFmtId="4" fontId="10" fillId="4" borderId="7" xfId="17" applyNumberFormat="1" applyFont="1" applyFill="1" applyBorder="1" applyAlignment="1">
      <alignment horizontal="right" vertical="center" wrapText="1"/>
    </xf>
    <xf numFmtId="4" fontId="11" fillId="4" borderId="7" xfId="17" applyNumberFormat="1" applyFont="1" applyFill="1" applyBorder="1" applyAlignment="1">
      <alignment horizontal="right" vertical="center" wrapText="1"/>
    </xf>
    <xf numFmtId="0" fontId="10" fillId="4" borderId="8" xfId="17" applyFont="1" applyFill="1" applyBorder="1" applyAlignment="1">
      <alignment horizontal="left" vertical="center" wrapText="1"/>
    </xf>
    <xf numFmtId="0" fontId="7" fillId="5" borderId="6" xfId="17" applyFont="1" applyFill="1" applyBorder="1" applyAlignment="1">
      <alignment horizontal="center" vertical="center"/>
    </xf>
    <xf numFmtId="0" fontId="7" fillId="5" borderId="7" xfId="17" applyFont="1" applyFill="1" applyBorder="1" applyAlignment="1">
      <alignment horizontal="center" vertical="center"/>
    </xf>
    <xf numFmtId="0" fontId="7" fillId="5" borderId="8" xfId="17" applyFont="1" applyFill="1" applyBorder="1" applyAlignment="1">
      <alignment horizontal="center" vertical="center"/>
    </xf>
    <xf numFmtId="49" fontId="10" fillId="5" borderId="6" xfId="17" applyNumberFormat="1" applyFont="1" applyFill="1" applyBorder="1" applyAlignment="1">
      <alignment horizontal="center" vertical="center" wrapText="1"/>
    </xf>
    <xf numFmtId="0" fontId="10" fillId="5" borderId="7" xfId="17" applyFont="1" applyFill="1" applyBorder="1" applyAlignment="1">
      <alignment horizontal="left" vertical="center" wrapText="1" indent="7"/>
    </xf>
    <xf numFmtId="0" fontId="10" fillId="5" borderId="7" xfId="17" applyFont="1" applyFill="1" applyBorder="1" applyAlignment="1">
      <alignment horizontal="center" vertical="center" wrapText="1"/>
    </xf>
    <xf numFmtId="4" fontId="10" fillId="5" borderId="7" xfId="17" applyNumberFormat="1" applyFont="1" applyFill="1" applyBorder="1" applyAlignment="1">
      <alignment horizontal="center" vertical="center" wrapText="1"/>
    </xf>
    <xf numFmtId="4" fontId="10" fillId="5" borderId="7" xfId="17" applyNumberFormat="1" applyFont="1" applyFill="1" applyBorder="1" applyAlignment="1">
      <alignment horizontal="right" vertical="center" wrapText="1"/>
    </xf>
    <xf numFmtId="4" fontId="11" fillId="5" borderId="7" xfId="17" applyNumberFormat="1" applyFont="1" applyFill="1" applyBorder="1" applyAlignment="1">
      <alignment horizontal="right" vertical="center" wrapText="1"/>
    </xf>
    <xf numFmtId="49" fontId="17" fillId="0" borderId="9" xfId="17" applyNumberFormat="1" applyFont="1" applyBorder="1" applyAlignment="1">
      <alignment horizontal="center" vertical="center" wrapText="1"/>
    </xf>
    <xf numFmtId="0" fontId="17" fillId="0" borderId="9" xfId="17" applyFont="1" applyBorder="1" applyAlignment="1">
      <alignment vertical="center" wrapText="1"/>
    </xf>
    <xf numFmtId="0" fontId="17" fillId="0" borderId="9" xfId="17" applyFont="1" applyBorder="1" applyAlignment="1">
      <alignment horizontal="center" vertical="center" wrapText="1"/>
    </xf>
    <xf numFmtId="4" fontId="17" fillId="0" borderId="9" xfId="17" applyNumberFormat="1" applyFont="1" applyBorder="1" applyAlignment="1">
      <alignment horizontal="center" vertical="center" wrapText="1"/>
    </xf>
    <xf numFmtId="4" fontId="11" fillId="0" borderId="9" xfId="17" applyNumberFormat="1" applyFont="1" applyBorder="1" applyAlignment="1">
      <alignment horizontal="center" vertical="center" wrapText="1"/>
    </xf>
    <xf numFmtId="0" fontId="18" fillId="0" borderId="4" xfId="17" applyFont="1" applyBorder="1" applyAlignment="1">
      <alignment horizontal="center" vertical="center" wrapText="1"/>
    </xf>
    <xf numFmtId="0" fontId="19" fillId="0" borderId="0" xfId="17" applyFont="1" applyAlignment="1">
      <alignment horizontal="center" vertical="center"/>
    </xf>
    <xf numFmtId="0" fontId="19" fillId="0" borderId="9" xfId="17" applyFont="1" applyBorder="1" applyAlignment="1">
      <alignment horizontal="center" vertical="center"/>
    </xf>
    <xf numFmtId="49" fontId="18" fillId="0" borderId="4" xfId="17" applyNumberFormat="1" applyFont="1" applyBorder="1" applyAlignment="1">
      <alignment horizontal="center" vertical="center" wrapText="1"/>
    </xf>
    <xf numFmtId="0" fontId="18" fillId="0" borderId="4" xfId="17" applyFont="1" applyBorder="1" applyAlignment="1">
      <alignment horizontal="right" vertical="center" wrapText="1"/>
    </xf>
    <xf numFmtId="4" fontId="18" fillId="0" borderId="4" xfId="17" applyNumberFormat="1" applyFont="1" applyBorder="1" applyAlignment="1">
      <alignment horizontal="center" vertical="center" wrapText="1"/>
    </xf>
    <xf numFmtId="4" fontId="10" fillId="0" borderId="4" xfId="17" applyNumberFormat="1" applyFont="1" applyBorder="1" applyAlignment="1">
      <alignment horizontal="center" vertical="center"/>
    </xf>
    <xf numFmtId="4" fontId="18" fillId="0" borderId="4" xfId="17" applyNumberFormat="1" applyFont="1" applyBorder="1" applyAlignment="1">
      <alignment horizontal="center" vertical="center"/>
    </xf>
    <xf numFmtId="4" fontId="21" fillId="0" borderId="4" xfId="17" applyNumberFormat="1" applyFont="1" applyBorder="1" applyAlignment="1">
      <alignment horizontal="center" vertical="center"/>
    </xf>
    <xf numFmtId="0" fontId="22" fillId="0" borderId="0" xfId="17" applyFont="1" applyAlignment="1">
      <alignment horizontal="center" vertical="center"/>
    </xf>
    <xf numFmtId="0" fontId="22" fillId="0" borderId="4" xfId="17" applyFont="1" applyBorder="1" applyAlignment="1">
      <alignment horizontal="center" vertical="center"/>
    </xf>
    <xf numFmtId="4" fontId="18" fillId="4" borderId="4" xfId="17" applyNumberFormat="1" applyFont="1" applyFill="1" applyBorder="1" applyAlignment="1">
      <alignment horizontal="center" vertical="center" wrapText="1"/>
    </xf>
    <xf numFmtId="0" fontId="19" fillId="0" borderId="9" xfId="17" applyFont="1" applyBorder="1" applyAlignment="1">
      <alignment horizontal="center" vertical="center" wrapText="1"/>
    </xf>
    <xf numFmtId="166" fontId="18" fillId="0" borderId="4" xfId="17" applyNumberFormat="1" applyFont="1" applyBorder="1" applyAlignment="1">
      <alignment horizontal="center" vertical="center" wrapText="1"/>
    </xf>
    <xf numFmtId="49" fontId="18" fillId="0" borderId="9" xfId="17" applyNumberFormat="1" applyFont="1" applyBorder="1" applyAlignment="1">
      <alignment horizontal="center" vertical="center" wrapText="1"/>
    </xf>
    <xf numFmtId="0" fontId="18" fillId="0" borderId="9" xfId="17" applyFont="1" applyBorder="1" applyAlignment="1">
      <alignment horizontal="right" vertical="center" wrapText="1"/>
    </xf>
    <xf numFmtId="0" fontId="18" fillId="0" borderId="9" xfId="17" applyFont="1" applyBorder="1" applyAlignment="1">
      <alignment horizontal="center" vertical="center" wrapText="1"/>
    </xf>
    <xf numFmtId="166" fontId="18" fillId="0" borderId="9" xfId="17" applyNumberFormat="1" applyFont="1" applyBorder="1" applyAlignment="1">
      <alignment horizontal="center" vertical="center" wrapText="1"/>
    </xf>
    <xf numFmtId="4" fontId="10" fillId="0" borderId="9" xfId="17" applyNumberFormat="1" applyFont="1" applyBorder="1" applyAlignment="1">
      <alignment horizontal="center" vertical="center"/>
    </xf>
    <xf numFmtId="4" fontId="18" fillId="4" borderId="9" xfId="17" applyNumberFormat="1" applyFont="1" applyFill="1" applyBorder="1" applyAlignment="1">
      <alignment horizontal="center" vertical="center" wrapText="1"/>
    </xf>
    <xf numFmtId="4" fontId="18" fillId="0" borderId="9" xfId="17" applyNumberFormat="1" applyFont="1" applyBorder="1" applyAlignment="1">
      <alignment horizontal="center" vertical="center" wrapText="1"/>
    </xf>
    <xf numFmtId="4" fontId="18" fillId="0" borderId="9" xfId="17" applyNumberFormat="1" applyFont="1" applyBorder="1" applyAlignment="1">
      <alignment horizontal="center" vertical="center"/>
    </xf>
    <xf numFmtId="4" fontId="21" fillId="0" borderId="9" xfId="17" applyNumberFormat="1" applyFont="1" applyBorder="1" applyAlignment="1">
      <alignment horizontal="center" vertical="center"/>
    </xf>
    <xf numFmtId="0" fontId="22" fillId="0" borderId="9" xfId="17" applyFont="1" applyBorder="1" applyAlignment="1">
      <alignment horizontal="center" vertical="center"/>
    </xf>
    <xf numFmtId="167" fontId="18" fillId="0" borderId="9" xfId="17" applyNumberFormat="1" applyFont="1" applyBorder="1" applyAlignment="1">
      <alignment horizontal="center" vertical="center" wrapText="1"/>
    </xf>
    <xf numFmtId="0" fontId="16" fillId="5" borderId="7" xfId="17" applyFont="1" applyFill="1" applyBorder="1" applyAlignment="1">
      <alignment horizontal="center" vertical="center" wrapText="1"/>
    </xf>
    <xf numFmtId="0" fontId="10" fillId="5" borderId="8" xfId="17" applyFont="1" applyFill="1" applyBorder="1" applyAlignment="1">
      <alignment horizontal="left" vertical="center" wrapText="1"/>
    </xf>
    <xf numFmtId="49" fontId="10" fillId="6" borderId="10" xfId="17" applyNumberFormat="1" applyFont="1" applyFill="1" applyBorder="1" applyAlignment="1">
      <alignment horizontal="center" vertical="center"/>
    </xf>
    <xf numFmtId="0" fontId="10" fillId="6" borderId="2" xfId="17" applyFont="1" applyFill="1" applyBorder="1" applyAlignment="1">
      <alignment horizontal="left" vertical="center" wrapText="1" indent="7"/>
    </xf>
    <xf numFmtId="0" fontId="16" fillId="6" borderId="11" xfId="17" applyFont="1" applyFill="1" applyBorder="1" applyAlignment="1">
      <alignment horizontal="center" vertical="center"/>
    </xf>
    <xf numFmtId="4" fontId="10" fillId="6" borderId="2" xfId="17" applyNumberFormat="1" applyFont="1" applyFill="1" applyBorder="1" applyAlignment="1">
      <alignment horizontal="right" vertical="center" wrapText="1"/>
    </xf>
    <xf numFmtId="4" fontId="11" fillId="6" borderId="2" xfId="17" applyNumberFormat="1" applyFont="1" applyFill="1" applyBorder="1" applyAlignment="1">
      <alignment horizontal="right" vertical="center" wrapText="1"/>
    </xf>
    <xf numFmtId="0" fontId="10" fillId="6" borderId="2" xfId="17" applyFont="1" applyFill="1" applyBorder="1" applyAlignment="1">
      <alignment horizontal="left" vertical="center" wrapText="1"/>
    </xf>
    <xf numFmtId="0" fontId="7" fillId="4" borderId="6" xfId="17" applyFont="1" applyFill="1" applyBorder="1" applyAlignment="1">
      <alignment horizontal="center" vertical="center"/>
    </xf>
    <xf numFmtId="0" fontId="7" fillId="4" borderId="7" xfId="17" applyFont="1" applyFill="1" applyBorder="1" applyAlignment="1">
      <alignment horizontal="center" vertical="center"/>
    </xf>
    <xf numFmtId="0" fontId="7" fillId="4" borderId="8" xfId="17" applyFont="1" applyFill="1" applyBorder="1" applyAlignment="1">
      <alignment horizontal="center" vertical="center"/>
    </xf>
    <xf numFmtId="4" fontId="26" fillId="0" borderId="9" xfId="17" applyNumberFormat="1" applyFont="1" applyBorder="1" applyAlignment="1">
      <alignment horizontal="center" vertical="center" wrapText="1"/>
    </xf>
    <xf numFmtId="0" fontId="10" fillId="0" borderId="4" xfId="17" applyFont="1" applyBorder="1" applyAlignment="1">
      <alignment horizontal="center" vertical="center" wrapText="1"/>
    </xf>
    <xf numFmtId="0" fontId="17" fillId="7" borderId="9" xfId="17" applyFont="1" applyFill="1" applyBorder="1" applyAlignment="1">
      <alignment vertical="center" wrapText="1"/>
    </xf>
    <xf numFmtId="49" fontId="18" fillId="7" borderId="4" xfId="17" applyNumberFormat="1" applyFont="1" applyFill="1" applyBorder="1" applyAlignment="1">
      <alignment horizontal="center" vertical="center" wrapText="1"/>
    </xf>
    <xf numFmtId="0" fontId="18" fillId="7" borderId="4" xfId="17" applyFont="1" applyFill="1" applyBorder="1" applyAlignment="1">
      <alignment horizontal="right" vertical="center" wrapText="1"/>
    </xf>
    <xf numFmtId="0" fontId="18" fillId="7" borderId="4" xfId="17" applyFont="1" applyFill="1" applyBorder="1" applyAlignment="1">
      <alignment horizontal="center" vertical="center" wrapText="1"/>
    </xf>
    <xf numFmtId="4" fontId="18" fillId="7" borderId="4" xfId="17" applyNumberFormat="1" applyFont="1" applyFill="1" applyBorder="1" applyAlignment="1">
      <alignment horizontal="center" vertical="center" wrapText="1"/>
    </xf>
    <xf numFmtId="4" fontId="10" fillId="7" borderId="4" xfId="17" applyNumberFormat="1" applyFont="1" applyFill="1" applyBorder="1" applyAlignment="1">
      <alignment horizontal="center" vertical="center"/>
    </xf>
    <xf numFmtId="4" fontId="18" fillId="7" borderId="4" xfId="17" applyNumberFormat="1" applyFont="1" applyFill="1" applyBorder="1" applyAlignment="1">
      <alignment horizontal="center" vertical="center"/>
    </xf>
    <xf numFmtId="4" fontId="21" fillId="7" borderId="4" xfId="17" applyNumberFormat="1" applyFont="1" applyFill="1" applyBorder="1" applyAlignment="1">
      <alignment horizontal="center" vertical="center"/>
    </xf>
    <xf numFmtId="49" fontId="17" fillId="7" borderId="9" xfId="17" applyNumberFormat="1" applyFont="1" applyFill="1" applyBorder="1" applyAlignment="1">
      <alignment horizontal="center" vertical="center" wrapText="1"/>
    </xf>
    <xf numFmtId="0" fontId="17" fillId="7" borderId="9" xfId="17" applyFont="1" applyFill="1" applyBorder="1" applyAlignment="1">
      <alignment horizontal="center" vertical="center" wrapText="1"/>
    </xf>
    <xf numFmtId="4" fontId="17" fillId="7" borderId="9" xfId="17" applyNumberFormat="1" applyFont="1" applyFill="1" applyBorder="1" applyAlignment="1">
      <alignment horizontal="center" vertical="center" wrapText="1"/>
    </xf>
    <xf numFmtId="4" fontId="11" fillId="7" borderId="9" xfId="17" applyNumberFormat="1" applyFont="1" applyFill="1" applyBorder="1" applyAlignment="1">
      <alignment horizontal="center" vertical="center" wrapText="1"/>
    </xf>
    <xf numFmtId="0" fontId="22" fillId="0" borderId="4" xfId="17" applyFont="1" applyBorder="1" applyAlignment="1">
      <alignment horizontal="center" vertical="center" wrapText="1"/>
    </xf>
    <xf numFmtId="49" fontId="17" fillId="8" borderId="9" xfId="17" applyNumberFormat="1" applyFont="1" applyFill="1" applyBorder="1" applyAlignment="1">
      <alignment horizontal="center" vertical="center" wrapText="1"/>
    </xf>
    <xf numFmtId="0" fontId="17" fillId="8" borderId="9" xfId="17" applyFont="1" applyFill="1" applyBorder="1" applyAlignment="1">
      <alignment vertical="center" wrapText="1"/>
    </xf>
    <xf numFmtId="0" fontId="17" fillId="8" borderId="9" xfId="17" applyFont="1" applyFill="1" applyBorder="1" applyAlignment="1">
      <alignment horizontal="center" vertical="center" wrapText="1"/>
    </xf>
    <xf numFmtId="4" fontId="17" fillId="8" borderId="9" xfId="17" applyNumberFormat="1" applyFont="1" applyFill="1" applyBorder="1" applyAlignment="1">
      <alignment horizontal="center" vertical="center" wrapText="1"/>
    </xf>
    <xf numFmtId="4" fontId="11" fillId="8" borderId="9" xfId="17" applyNumberFormat="1" applyFont="1" applyFill="1" applyBorder="1" applyAlignment="1">
      <alignment horizontal="center" vertical="center" wrapText="1"/>
    </xf>
    <xf numFmtId="0" fontId="18" fillId="8" borderId="4" xfId="17" applyFont="1" applyFill="1" applyBorder="1" applyAlignment="1">
      <alignment horizontal="center" vertical="center" wrapText="1"/>
    </xf>
    <xf numFmtId="49" fontId="18" fillId="8" borderId="4" xfId="17" applyNumberFormat="1" applyFont="1" applyFill="1" applyBorder="1" applyAlignment="1">
      <alignment horizontal="center" vertical="center" wrapText="1"/>
    </xf>
    <xf numFmtId="0" fontId="18" fillId="8" borderId="4" xfId="17" applyFont="1" applyFill="1" applyBorder="1" applyAlignment="1">
      <alignment horizontal="right" vertical="center" wrapText="1"/>
    </xf>
    <xf numFmtId="4" fontId="18" fillId="8" borderId="4" xfId="17" applyNumberFormat="1" applyFont="1" applyFill="1" applyBorder="1" applyAlignment="1">
      <alignment horizontal="center" vertical="center" wrapText="1"/>
    </xf>
    <xf numFmtId="4" fontId="10" fillId="8" borderId="4" xfId="17" applyNumberFormat="1" applyFont="1" applyFill="1" applyBorder="1" applyAlignment="1">
      <alignment horizontal="center" vertical="center"/>
    </xf>
    <xf numFmtId="4" fontId="18" fillId="8" borderId="4" xfId="17" applyNumberFormat="1" applyFont="1" applyFill="1" applyBorder="1" applyAlignment="1">
      <alignment horizontal="center" vertical="center"/>
    </xf>
    <xf numFmtId="4" fontId="21" fillId="8" borderId="4" xfId="17" applyNumberFormat="1" applyFont="1" applyFill="1" applyBorder="1" applyAlignment="1">
      <alignment horizontal="center" vertical="center"/>
    </xf>
    <xf numFmtId="0" fontId="10" fillId="7" borderId="8" xfId="17" applyFont="1" applyFill="1" applyBorder="1" applyAlignment="1">
      <alignment horizontal="left" vertical="center" wrapText="1"/>
    </xf>
    <xf numFmtId="49" fontId="10" fillId="9" borderId="10" xfId="17" applyNumberFormat="1" applyFont="1" applyFill="1" applyBorder="1" applyAlignment="1">
      <alignment horizontal="center" vertical="center"/>
    </xf>
    <xf numFmtId="0" fontId="10" fillId="9" borderId="2" xfId="17" applyFont="1" applyFill="1" applyBorder="1" applyAlignment="1">
      <alignment horizontal="left" vertical="center" wrapText="1" indent="7"/>
    </xf>
    <xf numFmtId="0" fontId="16" fillId="9" borderId="11" xfId="17" applyFont="1" applyFill="1" applyBorder="1" applyAlignment="1">
      <alignment horizontal="center" vertical="center"/>
    </xf>
    <xf numFmtId="4" fontId="10" fillId="9" borderId="2" xfId="17" applyNumberFormat="1" applyFont="1" applyFill="1" applyBorder="1" applyAlignment="1">
      <alignment horizontal="right" vertical="center" wrapText="1"/>
    </xf>
    <xf numFmtId="4" fontId="11" fillId="9" borderId="2" xfId="17" applyNumberFormat="1" applyFont="1" applyFill="1" applyBorder="1" applyAlignment="1">
      <alignment horizontal="right" vertical="center" wrapText="1"/>
    </xf>
    <xf numFmtId="0" fontId="10" fillId="9" borderId="2" xfId="17" applyFont="1" applyFill="1" applyBorder="1" applyAlignment="1">
      <alignment horizontal="left" vertical="center" wrapText="1"/>
    </xf>
    <xf numFmtId="0" fontId="28" fillId="0" borderId="0" xfId="9" applyFont="1"/>
    <xf numFmtId="0" fontId="28" fillId="0" borderId="0" xfId="9" applyFont="1" applyAlignment="1">
      <alignment horizontal="left"/>
    </xf>
    <xf numFmtId="0" fontId="28" fillId="0" borderId="0" xfId="9" applyFont="1" applyAlignment="1">
      <alignment horizontal="left" vertical="center"/>
    </xf>
    <xf numFmtId="0" fontId="29" fillId="0" borderId="0" xfId="9" applyFont="1"/>
    <xf numFmtId="0" fontId="19" fillId="0" borderId="0" xfId="9" applyFont="1"/>
    <xf numFmtId="14" fontId="31" fillId="0" borderId="0" xfId="9" applyNumberFormat="1" applyFont="1"/>
    <xf numFmtId="4" fontId="12" fillId="0" borderId="0" xfId="17" applyNumberFormat="1" applyFont="1" applyAlignment="1">
      <alignment vertical="center"/>
    </xf>
    <xf numFmtId="0" fontId="12" fillId="0" borderId="0" xfId="0" applyFont="1"/>
    <xf numFmtId="0" fontId="29" fillId="0" borderId="0" xfId="0" applyFont="1"/>
    <xf numFmtId="0" fontId="17" fillId="10" borderId="9" xfId="17" applyFont="1" applyFill="1" applyBorder="1" applyAlignment="1">
      <alignment vertical="center" wrapText="1"/>
    </xf>
    <xf numFmtId="0" fontId="10" fillId="6" borderId="2" xfId="17" applyFont="1" applyFill="1" applyBorder="1" applyAlignment="1">
      <alignment horizontal="right" vertical="center" wrapText="1" indent="7"/>
    </xf>
    <xf numFmtId="4" fontId="13" fillId="0" borderId="0" xfId="17" applyNumberFormat="1" applyFont="1" applyAlignment="1">
      <alignment horizontal="center" vertical="center"/>
    </xf>
    <xf numFmtId="4" fontId="29" fillId="0" borderId="0" xfId="17" applyNumberFormat="1" applyFont="1" applyAlignment="1">
      <alignment vertical="center"/>
    </xf>
    <xf numFmtId="0" fontId="8" fillId="0" borderId="0" xfId="17" applyFont="1" applyAlignment="1">
      <alignment vertical="center"/>
    </xf>
    <xf numFmtId="0" fontId="28" fillId="0" borderId="0" xfId="17" applyFont="1" applyAlignment="1">
      <alignment vertical="center"/>
    </xf>
    <xf numFmtId="0" fontId="28" fillId="0" borderId="0" xfId="0" applyFont="1"/>
    <xf numFmtId="4" fontId="32" fillId="0" borderId="0" xfId="17" applyNumberFormat="1" applyFont="1" applyAlignment="1">
      <alignment vertical="center"/>
    </xf>
    <xf numFmtId="0" fontId="29" fillId="0" borderId="0" xfId="17" applyFont="1" applyAlignment="1">
      <alignment vertical="center"/>
    </xf>
    <xf numFmtId="0" fontId="29" fillId="0" borderId="3" xfId="17" applyFont="1" applyBorder="1" applyAlignment="1">
      <alignment horizontal="center" vertical="center"/>
    </xf>
    <xf numFmtId="0" fontId="29" fillId="0" borderId="3" xfId="17" applyFont="1" applyBorder="1" applyAlignment="1">
      <alignment vertical="center" wrapText="1"/>
    </xf>
    <xf numFmtId="0" fontId="29" fillId="0" borderId="3" xfId="17" applyFont="1" applyBorder="1" applyAlignment="1">
      <alignment vertical="center"/>
    </xf>
    <xf numFmtId="4" fontId="29" fillId="0" borderId="3" xfId="17" applyNumberFormat="1" applyFont="1" applyBorder="1" applyAlignment="1">
      <alignment horizontal="center" vertical="center"/>
    </xf>
    <xf numFmtId="4" fontId="29" fillId="0" borderId="3" xfId="17" applyNumberFormat="1" applyFont="1" applyBorder="1" applyAlignment="1">
      <alignment vertical="center"/>
    </xf>
    <xf numFmtId="4" fontId="33" fillId="0" borderId="3" xfId="17" applyNumberFormat="1" applyFont="1" applyBorder="1" applyAlignment="1">
      <alignment vertical="center"/>
    </xf>
    <xf numFmtId="4" fontId="34" fillId="0" borderId="9" xfId="17" applyNumberFormat="1" applyFont="1" applyBorder="1" applyAlignment="1">
      <alignment horizontal="center" vertical="center"/>
    </xf>
    <xf numFmtId="4" fontId="34" fillId="0" borderId="4" xfId="17" applyNumberFormat="1" applyFont="1" applyBorder="1" applyAlignment="1">
      <alignment horizontal="center" vertical="center"/>
    </xf>
    <xf numFmtId="49" fontId="18" fillId="0" borderId="0" xfId="17" applyNumberFormat="1" applyFont="1" applyAlignment="1">
      <alignment horizontal="center" vertical="center" wrapText="1"/>
    </xf>
    <xf numFmtId="0" fontId="18" fillId="0" borderId="0" xfId="17" applyFont="1" applyAlignment="1">
      <alignment horizontal="right" vertical="center" wrapText="1"/>
    </xf>
    <xf numFmtId="0" fontId="18" fillId="0" borderId="0" xfId="17" applyFont="1" applyAlignment="1">
      <alignment horizontal="center" vertical="center" wrapText="1"/>
    </xf>
    <xf numFmtId="4" fontId="18" fillId="0" borderId="0" xfId="17" applyNumberFormat="1" applyFont="1" applyAlignment="1">
      <alignment horizontal="center" vertical="center" wrapText="1"/>
    </xf>
    <xf numFmtId="4" fontId="18" fillId="0" borderId="0" xfId="17" applyNumberFormat="1" applyFont="1" applyAlignment="1">
      <alignment horizontal="center" vertical="center"/>
    </xf>
    <xf numFmtId="4" fontId="34" fillId="0" borderId="0" xfId="17" applyNumberFormat="1" applyFont="1" applyAlignment="1">
      <alignment horizontal="center" vertical="center"/>
    </xf>
    <xf numFmtId="0" fontId="19" fillId="0" borderId="0" xfId="17" applyFont="1" applyAlignment="1">
      <alignment horizontal="center" vertical="center" wrapText="1"/>
    </xf>
    <xf numFmtId="0" fontId="35" fillId="0" borderId="4" xfId="17" applyFont="1" applyBorder="1" applyAlignment="1">
      <alignment horizontal="center" vertical="center" wrapText="1"/>
    </xf>
    <xf numFmtId="4" fontId="35" fillId="0" borderId="4" xfId="17" applyNumberFormat="1" applyFont="1" applyBorder="1" applyAlignment="1">
      <alignment horizontal="center" vertical="center" wrapText="1"/>
    </xf>
    <xf numFmtId="4" fontId="21" fillId="0" borderId="0" xfId="17" applyNumberFormat="1" applyFont="1" applyAlignment="1">
      <alignment horizontal="center" vertical="center"/>
    </xf>
    <xf numFmtId="4" fontId="37" fillId="0" borderId="0" xfId="17" applyNumberFormat="1" applyFont="1" applyAlignment="1">
      <alignment vertical="center"/>
    </xf>
    <xf numFmtId="0" fontId="38" fillId="0" borderId="0" xfId="17" applyFont="1" applyAlignment="1">
      <alignment horizontal="center" vertical="center" wrapText="1"/>
    </xf>
    <xf numFmtId="3" fontId="37" fillId="0" borderId="3" xfId="17" applyNumberFormat="1" applyFont="1" applyBorder="1" applyAlignment="1">
      <alignment horizontal="center" vertical="center" wrapText="1"/>
    </xf>
    <xf numFmtId="4" fontId="38" fillId="4" borderId="7" xfId="17" applyNumberFormat="1" applyFont="1" applyFill="1" applyBorder="1" applyAlignment="1">
      <alignment horizontal="right" vertical="center" wrapText="1"/>
    </xf>
    <xf numFmtId="4" fontId="38" fillId="5" borderId="7" xfId="17" applyNumberFormat="1" applyFont="1" applyFill="1" applyBorder="1" applyAlignment="1">
      <alignment horizontal="right" vertical="center" wrapText="1"/>
    </xf>
    <xf numFmtId="4" fontId="38" fillId="0" borderId="9" xfId="17" applyNumberFormat="1" applyFont="1" applyBorder="1" applyAlignment="1">
      <alignment horizontal="center" vertical="center" wrapText="1"/>
    </xf>
    <xf numFmtId="4" fontId="39" fillId="0" borderId="4" xfId="17" applyNumberFormat="1" applyFont="1" applyBorder="1" applyAlignment="1">
      <alignment horizontal="center" vertical="center"/>
    </xf>
    <xf numFmtId="4" fontId="17" fillId="4" borderId="9" xfId="17" applyNumberFormat="1" applyFont="1" applyFill="1" applyBorder="1" applyAlignment="1">
      <alignment horizontal="center" vertical="center" wrapText="1"/>
    </xf>
    <xf numFmtId="4" fontId="38" fillId="4" borderId="9" xfId="17" applyNumberFormat="1" applyFont="1" applyFill="1" applyBorder="1" applyAlignment="1">
      <alignment horizontal="center" vertical="center" wrapText="1"/>
    </xf>
    <xf numFmtId="49" fontId="17" fillId="4" borderId="9" xfId="17" applyNumberFormat="1" applyFont="1" applyFill="1" applyBorder="1" applyAlignment="1">
      <alignment horizontal="center" vertical="center" wrapText="1"/>
    </xf>
    <xf numFmtId="0" fontId="17" fillId="4" borderId="9" xfId="17" applyFont="1" applyFill="1" applyBorder="1" applyAlignment="1">
      <alignment vertical="center" wrapText="1"/>
    </xf>
    <xf numFmtId="0" fontId="17" fillId="4" borderId="9" xfId="17" applyFont="1" applyFill="1" applyBorder="1" applyAlignment="1">
      <alignment horizontal="center" vertical="center" wrapText="1"/>
    </xf>
    <xf numFmtId="4" fontId="41" fillId="4" borderId="9" xfId="17" applyNumberFormat="1" applyFont="1" applyFill="1" applyBorder="1" applyAlignment="1">
      <alignment horizontal="center" vertical="center" wrapText="1"/>
    </xf>
    <xf numFmtId="4" fontId="38" fillId="6" borderId="2" xfId="17" applyNumberFormat="1" applyFont="1" applyFill="1" applyBorder="1" applyAlignment="1">
      <alignment horizontal="right" vertical="center" wrapText="1"/>
    </xf>
    <xf numFmtId="0" fontId="10" fillId="8" borderId="8" xfId="17" applyFont="1" applyFill="1" applyBorder="1" applyAlignment="1">
      <alignment horizontal="left" vertical="center" wrapText="1"/>
    </xf>
    <xf numFmtId="4" fontId="39" fillId="0" borderId="9" xfId="17" applyNumberFormat="1" applyFont="1" applyBorder="1" applyAlignment="1">
      <alignment horizontal="center" vertical="center"/>
    </xf>
    <xf numFmtId="4" fontId="38" fillId="9" borderId="2" xfId="17" applyNumberFormat="1" applyFont="1" applyFill="1" applyBorder="1" applyAlignment="1">
      <alignment horizontal="right" vertical="center" wrapText="1"/>
    </xf>
    <xf numFmtId="0" fontId="44" fillId="0" borderId="0" xfId="17" applyFont="1" applyAlignment="1">
      <alignment horizontal="center" vertical="center"/>
    </xf>
    <xf numFmtId="0" fontId="44" fillId="0" borderId="0" xfId="17" applyFont="1" applyAlignment="1">
      <alignment vertical="center"/>
    </xf>
    <xf numFmtId="4" fontId="45" fillId="0" borderId="0" xfId="17" applyNumberFormat="1" applyFont="1" applyAlignment="1">
      <alignment vertical="center"/>
    </xf>
    <xf numFmtId="4" fontId="45" fillId="0" borderId="0" xfId="17" applyNumberFormat="1" applyFont="1" applyAlignment="1">
      <alignment horizontal="center" vertical="center"/>
    </xf>
    <xf numFmtId="0" fontId="44" fillId="0" borderId="0" xfId="0" applyFont="1"/>
    <xf numFmtId="0" fontId="46" fillId="0" borderId="0" xfId="0" applyFont="1"/>
    <xf numFmtId="2" fontId="47" fillId="0" borderId="0" xfId="17" applyNumberFormat="1" applyFont="1" applyAlignment="1">
      <alignment horizontal="center" vertical="center" wrapText="1"/>
    </xf>
    <xf numFmtId="2" fontId="48" fillId="10" borderId="4" xfId="17" applyNumberFormat="1" applyFont="1" applyFill="1" applyBorder="1" applyAlignment="1">
      <alignment horizontal="center" vertical="center" wrapText="1"/>
    </xf>
    <xf numFmtId="0" fontId="49" fillId="10" borderId="13" xfId="17" applyFont="1" applyFill="1" applyBorder="1" applyAlignment="1">
      <alignment horizontal="center" vertical="center"/>
    </xf>
    <xf numFmtId="0" fontId="44" fillId="10" borderId="0" xfId="17" applyFont="1" applyFill="1" applyAlignment="1">
      <alignment horizontal="center" vertical="center"/>
    </xf>
    <xf numFmtId="0" fontId="50" fillId="10" borderId="5" xfId="17" applyFont="1" applyFill="1" applyBorder="1" applyAlignment="1">
      <alignment horizontal="center" vertical="center"/>
    </xf>
    <xf numFmtId="0" fontId="51" fillId="10" borderId="0" xfId="17" applyFont="1" applyFill="1" applyAlignment="1">
      <alignment horizontal="center" vertical="center"/>
    </xf>
    <xf numFmtId="0" fontId="50" fillId="10" borderId="9" xfId="17" applyFont="1" applyFill="1" applyBorder="1" applyAlignment="1">
      <alignment horizontal="center" vertical="center"/>
    </xf>
    <xf numFmtId="1" fontId="47" fillId="10" borderId="4" xfId="17" applyNumberFormat="1" applyFont="1" applyFill="1" applyBorder="1" applyAlignment="1">
      <alignment horizontal="center" vertical="center" wrapText="1"/>
    </xf>
    <xf numFmtId="0" fontId="52" fillId="10" borderId="9" xfId="17" applyFont="1" applyFill="1" applyBorder="1" applyAlignment="1">
      <alignment horizontal="center" vertical="center"/>
    </xf>
    <xf numFmtId="0" fontId="52" fillId="10" borderId="0" xfId="17" applyFont="1" applyFill="1" applyAlignment="1">
      <alignment horizontal="center" vertical="center"/>
    </xf>
    <xf numFmtId="3" fontId="47" fillId="10" borderId="4" xfId="17" applyNumberFormat="1" applyFont="1" applyFill="1" applyBorder="1" applyAlignment="1">
      <alignment horizontal="center" vertical="center" wrapText="1"/>
    </xf>
    <xf numFmtId="4" fontId="47" fillId="10" borderId="4" xfId="0" applyNumberFormat="1" applyFont="1" applyFill="1" applyBorder="1" applyAlignment="1">
      <alignment horizontal="center" vertical="center" wrapText="1"/>
    </xf>
    <xf numFmtId="0" fontId="51" fillId="10" borderId="4" xfId="17" applyFont="1" applyFill="1" applyBorder="1" applyAlignment="1">
      <alignment horizontal="center" vertical="center"/>
    </xf>
    <xf numFmtId="4" fontId="53" fillId="10" borderId="4" xfId="17" applyNumberFormat="1" applyFont="1" applyFill="1" applyBorder="1" applyAlignment="1">
      <alignment horizontal="right" vertical="center" wrapText="1"/>
    </xf>
    <xf numFmtId="4" fontId="53" fillId="10" borderId="4" xfId="17" applyNumberFormat="1" applyFont="1" applyFill="1" applyBorder="1" applyAlignment="1">
      <alignment horizontal="right" vertical="center"/>
    </xf>
    <xf numFmtId="4" fontId="51" fillId="10" borderId="4" xfId="17" applyNumberFormat="1" applyFont="1" applyFill="1" applyBorder="1" applyAlignment="1">
      <alignment horizontal="center" vertical="center" wrapText="1"/>
    </xf>
    <xf numFmtId="4" fontId="53" fillId="10" borderId="4" xfId="18" applyNumberFormat="1" applyFont="1" applyFill="1" applyBorder="1" applyAlignment="1" applyProtection="1">
      <alignment horizontal="center" vertical="center" wrapText="1"/>
    </xf>
    <xf numFmtId="4" fontId="53" fillId="10" borderId="4" xfId="17" applyNumberFormat="1" applyFont="1" applyFill="1" applyBorder="1" applyAlignment="1">
      <alignment horizontal="center" vertical="center" wrapText="1"/>
    </xf>
    <xf numFmtId="0" fontId="51" fillId="10" borderId="4" xfId="17" applyFont="1" applyFill="1" applyBorder="1" applyAlignment="1">
      <alignment horizontal="center" vertical="center" wrapText="1"/>
    </xf>
    <xf numFmtId="4" fontId="47" fillId="10" borderId="13" xfId="0" applyNumberFormat="1" applyFont="1" applyFill="1" applyBorder="1" applyAlignment="1">
      <alignment horizontal="center" vertical="center" wrapText="1"/>
    </xf>
    <xf numFmtId="49" fontId="55" fillId="10" borderId="14" xfId="0" applyNumberFormat="1" applyFont="1" applyFill="1" applyBorder="1" applyAlignment="1">
      <alignment horizontal="center" vertical="center" wrapText="1"/>
    </xf>
    <xf numFmtId="0" fontId="47" fillId="10" borderId="15" xfId="9" applyFont="1" applyFill="1" applyBorder="1" applyAlignment="1">
      <alignment vertical="center" wrapText="1"/>
    </xf>
    <xf numFmtId="0" fontId="47" fillId="10" borderId="15" xfId="0" applyFont="1" applyFill="1" applyBorder="1" applyAlignment="1">
      <alignment horizontal="center" vertical="center" wrapText="1"/>
    </xf>
    <xf numFmtId="4" fontId="47" fillId="10" borderId="15" xfId="0" applyNumberFormat="1" applyFont="1" applyFill="1" applyBorder="1" applyAlignment="1">
      <alignment horizontal="center" vertical="center" wrapText="1"/>
    </xf>
    <xf numFmtId="4" fontId="47" fillId="10" borderId="15" xfId="0" applyNumberFormat="1" applyFont="1" applyFill="1" applyBorder="1" applyAlignment="1">
      <alignment horizontal="right" vertical="center" wrapText="1"/>
    </xf>
    <xf numFmtId="4" fontId="47" fillId="10" borderId="15" xfId="19" applyNumberFormat="1" applyFont="1" applyFill="1" applyBorder="1" applyAlignment="1">
      <alignment horizontal="center" vertical="center" wrapText="1"/>
    </xf>
    <xf numFmtId="0" fontId="44" fillId="0" borderId="16" xfId="17" applyFont="1" applyBorder="1" applyAlignment="1">
      <alignment vertical="center"/>
    </xf>
    <xf numFmtId="0" fontId="51" fillId="11" borderId="4" xfId="17" applyFont="1" applyFill="1" applyBorder="1" applyAlignment="1">
      <alignment horizontal="center" vertical="center" wrapText="1"/>
    </xf>
    <xf numFmtId="4" fontId="53" fillId="12" borderId="4" xfId="17" applyNumberFormat="1" applyFont="1" applyFill="1" applyBorder="1" applyAlignment="1">
      <alignment horizontal="center" vertical="center" wrapText="1"/>
    </xf>
    <xf numFmtId="0" fontId="44" fillId="13" borderId="0" xfId="17" applyFont="1" applyFill="1" applyAlignment="1">
      <alignment vertical="center"/>
    </xf>
    <xf numFmtId="2" fontId="47" fillId="13" borderId="0" xfId="17" applyNumberFormat="1" applyFont="1" applyFill="1" applyAlignment="1">
      <alignment horizontal="center" vertical="center" wrapText="1"/>
    </xf>
    <xf numFmtId="1" fontId="47" fillId="10" borderId="13" xfId="17" applyNumberFormat="1" applyFont="1" applyFill="1" applyBorder="1" applyAlignment="1">
      <alignment horizontal="center" vertical="center" wrapText="1"/>
    </xf>
    <xf numFmtId="0" fontId="47" fillId="10" borderId="4" xfId="9" applyFont="1" applyFill="1" applyBorder="1" applyAlignment="1">
      <alignment vertical="center" wrapText="1"/>
    </xf>
    <xf numFmtId="4" fontId="53" fillId="10" borderId="9" xfId="17" applyNumberFormat="1" applyFont="1" applyFill="1" applyBorder="1" applyAlignment="1">
      <alignment horizontal="right" vertical="center" wrapText="1"/>
    </xf>
    <xf numFmtId="0" fontId="51" fillId="10" borderId="13" xfId="17" applyFont="1" applyFill="1" applyBorder="1" applyAlignment="1">
      <alignment horizontal="center" vertical="center" wrapText="1"/>
    </xf>
    <xf numFmtId="2" fontId="47" fillId="0" borderId="0" xfId="17" applyNumberFormat="1" applyFont="1" applyAlignment="1">
      <alignment horizontal="center" vertical="center"/>
    </xf>
    <xf numFmtId="2" fontId="47" fillId="0" borderId="0" xfId="17" applyNumberFormat="1" applyFont="1" applyAlignment="1">
      <alignment horizontal="center" vertical="center" wrapText="1"/>
    </xf>
    <xf numFmtId="2" fontId="48" fillId="10" borderId="4" xfId="17" applyNumberFormat="1" applyFont="1" applyFill="1" applyBorder="1" applyAlignment="1">
      <alignment horizontal="center" vertical="center" wrapText="1"/>
    </xf>
    <xf numFmtId="0" fontId="8" fillId="0" borderId="4" xfId="17" applyFont="1" applyBorder="1" applyAlignment="1">
      <alignment horizontal="center" vertical="center"/>
    </xf>
    <xf numFmtId="4" fontId="10" fillId="3" borderId="3" xfId="17" applyNumberFormat="1" applyFont="1" applyFill="1" applyBorder="1" applyAlignment="1">
      <alignment horizontal="center" vertical="center" wrapText="1"/>
    </xf>
    <xf numFmtId="0" fontId="10" fillId="0" borderId="0" xfId="17" applyFont="1" applyAlignment="1">
      <alignment horizontal="center" vertical="center"/>
    </xf>
    <xf numFmtId="0" fontId="10" fillId="0" borderId="0" xfId="17" applyFont="1" applyAlignment="1">
      <alignment horizontal="center" vertical="center" wrapText="1"/>
    </xf>
    <xf numFmtId="0" fontId="12" fillId="2" borderId="3" xfId="17" applyFont="1" applyFill="1" applyBorder="1" applyAlignment="1">
      <alignment horizontal="center" vertical="center" wrapText="1"/>
    </xf>
    <xf numFmtId="0" fontId="10" fillId="2" borderId="3" xfId="17" applyFont="1" applyFill="1" applyBorder="1" applyAlignment="1">
      <alignment horizontal="center" vertical="center" wrapText="1"/>
    </xf>
    <xf numFmtId="4" fontId="11" fillId="3" borderId="3" xfId="17" applyNumberFormat="1" applyFont="1" applyFill="1" applyBorder="1" applyAlignment="1">
      <alignment horizontal="center" vertical="center" wrapText="1"/>
    </xf>
    <xf numFmtId="0" fontId="12" fillId="2" borderId="3" xfId="17" applyFont="1" applyFill="1" applyBorder="1" applyAlignment="1">
      <alignment horizontal="left" vertical="center" wrapText="1"/>
    </xf>
    <xf numFmtId="0" fontId="29" fillId="0" borderId="0" xfId="9" applyFont="1" applyAlignment="1">
      <alignment horizontal="left" vertical="top" wrapText="1"/>
    </xf>
    <xf numFmtId="0" fontId="19" fillId="0" borderId="0" xfId="9" applyFont="1" applyAlignment="1">
      <alignment horizontal="left" vertical="top" wrapText="1"/>
    </xf>
    <xf numFmtId="0" fontId="19" fillId="0" borderId="0" xfId="9" applyFont="1" applyAlignment="1">
      <alignment horizontal="left"/>
    </xf>
    <xf numFmtId="0" fontId="18" fillId="4" borderId="4" xfId="17" applyFont="1" applyFill="1" applyBorder="1" applyAlignment="1">
      <alignment horizontal="center" vertical="center" wrapText="1"/>
    </xf>
    <xf numFmtId="0" fontId="18" fillId="4" borderId="12" xfId="17" applyFont="1" applyFill="1" applyBorder="1" applyAlignment="1">
      <alignment horizontal="center" vertical="center" wrapText="1"/>
    </xf>
    <xf numFmtId="4" fontId="38" fillId="3" borderId="3" xfId="17" applyNumberFormat="1" applyFont="1" applyFill="1" applyBorder="1" applyAlignment="1">
      <alignment horizontal="center" vertical="center" wrapText="1"/>
    </xf>
  </cellXfs>
  <cellStyles count="20">
    <cellStyle name="Def_norm" xfId="1" xr:uid="{00000000-0005-0000-0000-000000000000}"/>
    <cellStyle name="Excel Built-in Explanatory Text" xfId="18" xr:uid="{00000000-0005-0000-0000-000001000000}"/>
    <cellStyle name="Excel Built-in Normal" xfId="17" xr:uid="{00000000-0005-0000-0000-000002000000}"/>
    <cellStyle name="Excel Built-in Normal 2" xfId="19" xr:uid="{00000000-0005-0000-0000-000003000000}"/>
    <cellStyle name="Heading 1 1" xfId="2" xr:uid="{00000000-0005-0000-0000-000004000000}"/>
    <cellStyle name="Normal 3" xfId="3" xr:uid="{00000000-0005-0000-0000-000005000000}"/>
    <cellStyle name="TableStyleLight1" xfId="4" xr:uid="{00000000-0005-0000-0000-000006000000}"/>
    <cellStyle name="Денежный 2" xfId="5" xr:uid="{00000000-0005-0000-0000-000007000000}"/>
    <cellStyle name="Звичайний" xfId="0" builtinId="0"/>
    <cellStyle name="Обычный 2" xfId="6" xr:uid="{00000000-0005-0000-0000-000009000000}"/>
    <cellStyle name="Обычный 2 2" xfId="7" xr:uid="{00000000-0005-0000-0000-00000A000000}"/>
    <cellStyle name="Обычный 3" xfId="8" xr:uid="{00000000-0005-0000-0000-00000B000000}"/>
    <cellStyle name="Обычный 4" xfId="9" xr:uid="{00000000-0005-0000-0000-00000C000000}"/>
    <cellStyle name="Обычный 5" xfId="10" xr:uid="{00000000-0005-0000-0000-00000D000000}"/>
    <cellStyle name="Обычный 6" xfId="11" xr:uid="{00000000-0005-0000-0000-00000E000000}"/>
    <cellStyle name="Пояснение 2" xfId="12" xr:uid="{00000000-0005-0000-0000-00000F000000}"/>
    <cellStyle name="Процентный 2" xfId="13" xr:uid="{00000000-0005-0000-0000-000010000000}"/>
    <cellStyle name="Стиль 1" xfId="14" xr:uid="{00000000-0005-0000-0000-000011000000}"/>
    <cellStyle name="Финансовый 2" xfId="15" xr:uid="{00000000-0005-0000-0000-000012000000}"/>
    <cellStyle name="Финансовый 3" xfId="16" xr:uid="{00000000-0005-0000-0000-000013000000}"/>
  </cellStyles>
  <dxfs count="10"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  <dxf>
      <font>
        <color rgb="FFFFFFFF"/>
      </font>
      <fill>
        <patternFill>
          <bgColor rgb="FFD9D9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2060"/>
      <rgbColor rgb="FF808000"/>
      <rgbColor rgb="FF800080"/>
      <rgbColor rgb="FF008080"/>
      <rgbColor rgb="FFC3D69B"/>
      <rgbColor rgb="FF7F7F7F"/>
      <rgbColor rgb="FF9999FF"/>
      <rgbColor rgb="FFC9211E"/>
      <rgbColor rgb="FFFCD5B5"/>
      <rgbColor rgb="FFCCFFFF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7FEA0"/>
      <rgbColor rgb="FF90EE90"/>
      <rgbColor rgb="FFFF99CC"/>
      <rgbColor rgb="FFCC99FF"/>
      <rgbColor rgb="FFFAC090"/>
      <rgbColor rgb="FF3366FF"/>
      <rgbColor rgb="FF33CCCC"/>
      <rgbColor rgb="FF99CC00"/>
      <rgbColor rgb="FFFFCC00"/>
      <rgbColor rgb="FFFFC000"/>
      <rgbColor rgb="FFFF6600"/>
      <rgbColor rgb="FF676A6C"/>
      <rgbColor rgb="FF969696"/>
      <rgbColor rgb="FF003366"/>
      <rgbColor rgb="FF418758"/>
      <rgbColor rgb="FF003300"/>
      <rgbColor rgb="FF333300"/>
      <rgbColor rgb="FF984807"/>
      <rgbColor rgb="FFC61E02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urchin\Downloads\Documents%20and%20Settings\user\&#1056;&#1072;&#1073;&#1086;&#1095;&#1080;&#1081;%20&#1089;&#1090;&#1086;&#1083;\&#1053;&#1040;&#1058;&#1040;&#1051;&#1030;&#1071;\&#1053;&#1040;&#1058;&#1040;&#1051;&#1048;&#1071;\&#1055;&#1056;&#1048;&#1050;&#1051;&#1040;&#1044;&#1048;%20&#1041;&#1070;&#1044;&#1046;&#1045;&#1058;&#1030;&#1042;\&#1047;&#1084;.6_&#1041;&#1102;&#1076;&#1078;&#1077;&#1090;%20&#1044;&#1043;&#1058;&#8470;3_18.11%20(version%2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шт. №1(зм.в.3)"/>
      <sheetName val="матер-ли"/>
      <sheetName val="Лист1"/>
      <sheetName val="Кошт__№1(зм_в_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8"/>
  <sheetViews>
    <sheetView zoomScale="67" zoomScaleNormal="67" workbookViewId="0">
      <pane ySplit="8" topLeftCell="A9" activePane="bottomLeft" state="frozen"/>
      <selection pane="bottomLeft" activeCell="F15" sqref="F15"/>
    </sheetView>
  </sheetViews>
  <sheetFormatPr defaultColWidth="9.140625" defaultRowHeight="16.5" outlineLevelRow="1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s="6" customFormat="1" x14ac:dyDescent="0.25">
      <c r="C10" s="18"/>
      <c r="D10" s="19" t="s">
        <v>16</v>
      </c>
      <c r="E10" s="20"/>
      <c r="F10" s="21" t="s">
        <v>17</v>
      </c>
      <c r="G10" s="21"/>
      <c r="H10" s="21"/>
      <c r="I10" s="21"/>
      <c r="J10" s="21"/>
      <c r="K10" s="21"/>
      <c r="L10" s="22"/>
      <c r="M10" s="23"/>
      <c r="O10" s="24"/>
      <c r="P10" s="25"/>
      <c r="Q10" s="26"/>
    </row>
    <row r="11" spans="3:17" x14ac:dyDescent="0.25">
      <c r="C11" s="27" t="s">
        <v>18</v>
      </c>
      <c r="D11" s="28" t="s">
        <v>16</v>
      </c>
      <c r="E11" s="29" t="s">
        <v>19</v>
      </c>
      <c r="F11" s="30">
        <f>F25</f>
        <v>502</v>
      </c>
      <c r="G11" s="31"/>
      <c r="H11" s="31"/>
      <c r="I11" s="31"/>
      <c r="J11" s="31"/>
      <c r="K11" s="31">
        <f>SUM(K12:K37)</f>
        <v>1625041.8993999998</v>
      </c>
      <c r="L11" s="32">
        <f>SUM(L12:L37)</f>
        <v>201043</v>
      </c>
      <c r="M11" s="28"/>
      <c r="N11" s="6"/>
      <c r="O11" s="24"/>
      <c r="P11" s="25"/>
      <c r="Q11" s="26"/>
    </row>
    <row r="12" spans="3:17" outlineLevel="1" x14ac:dyDescent="0.25">
      <c r="C12" s="33" t="s">
        <v>20</v>
      </c>
      <c r="D12" s="34" t="s">
        <v>21</v>
      </c>
      <c r="E12" s="35" t="s">
        <v>22</v>
      </c>
      <c r="F12" s="36">
        <v>1345.39</v>
      </c>
      <c r="G12" s="36">
        <v>25</v>
      </c>
      <c r="H12" s="36"/>
      <c r="I12" s="36">
        <f>F12*G12</f>
        <v>33634.75</v>
      </c>
      <c r="J12" s="36"/>
      <c r="K12" s="36">
        <f>J12+I12</f>
        <v>33634.75</v>
      </c>
      <c r="L12" s="37">
        <f>F12*25</f>
        <v>33634.75</v>
      </c>
      <c r="M12" s="38"/>
      <c r="N12" s="39"/>
      <c r="O12" s="40"/>
      <c r="P12" s="40"/>
      <c r="Q12" s="40"/>
    </row>
    <row r="13" spans="3:17" ht="31.5" outlineLevel="1" x14ac:dyDescent="0.25">
      <c r="C13" s="33" t="s">
        <v>23</v>
      </c>
      <c r="D13" s="34" t="s">
        <v>24</v>
      </c>
      <c r="E13" s="35" t="s">
        <v>25</v>
      </c>
      <c r="F13" s="36">
        <v>67.27</v>
      </c>
      <c r="G13" s="36">
        <v>100</v>
      </c>
      <c r="H13" s="36">
        <f>J13/F13</f>
        <v>283.58999999999997</v>
      </c>
      <c r="I13" s="36">
        <f>G13*F13</f>
        <v>6727</v>
      </c>
      <c r="J13" s="36">
        <f>SUM(J14)</f>
        <v>19077.099299999998</v>
      </c>
      <c r="K13" s="36">
        <f>J13+I13</f>
        <v>25804.099299999998</v>
      </c>
      <c r="L13" s="37">
        <f>I13</f>
        <v>6727</v>
      </c>
      <c r="M13" s="38"/>
      <c r="N13" s="39"/>
      <c r="O13" s="40"/>
      <c r="P13" s="40"/>
      <c r="Q13" s="40"/>
    </row>
    <row r="14" spans="3:17" outlineLevel="1" x14ac:dyDescent="0.25">
      <c r="C14" s="41"/>
      <c r="D14" s="42" t="s">
        <v>26</v>
      </c>
      <c r="E14" s="38" t="s">
        <v>27</v>
      </c>
      <c r="F14" s="43">
        <f>F13*1.15*1.37</f>
        <v>105.98388499999999</v>
      </c>
      <c r="G14" s="44"/>
      <c r="H14" s="43">
        <v>180</v>
      </c>
      <c r="I14" s="43"/>
      <c r="J14" s="43">
        <f>H14*F14</f>
        <v>19077.099299999998</v>
      </c>
      <c r="K14" s="45"/>
      <c r="L14" s="46"/>
      <c r="M14" s="38"/>
      <c r="N14" s="47"/>
      <c r="O14" s="48"/>
      <c r="P14" s="48"/>
      <c r="Q14" s="48"/>
    </row>
    <row r="15" spans="3:17" ht="31.5" outlineLevel="1" x14ac:dyDescent="0.25">
      <c r="C15" s="33" t="s">
        <v>28</v>
      </c>
      <c r="D15" s="34" t="s">
        <v>29</v>
      </c>
      <c r="E15" s="35" t="s">
        <v>19</v>
      </c>
      <c r="F15" s="36">
        <v>549.63</v>
      </c>
      <c r="G15" s="36">
        <v>60</v>
      </c>
      <c r="H15" s="36">
        <f>J15/F15</f>
        <v>113.85</v>
      </c>
      <c r="I15" s="36">
        <f>G15*F15</f>
        <v>32977.800000000003</v>
      </c>
      <c r="J15" s="36">
        <f>SUM(J16)</f>
        <v>62575.375499999995</v>
      </c>
      <c r="K15" s="36">
        <f>J15+I15</f>
        <v>95553.175499999998</v>
      </c>
      <c r="L15" s="37"/>
      <c r="M15" s="38"/>
      <c r="N15" s="39"/>
      <c r="O15" s="40"/>
      <c r="P15" s="40"/>
      <c r="Q15" s="40"/>
    </row>
    <row r="16" spans="3:17" outlineLevel="1" x14ac:dyDescent="0.25">
      <c r="C16" s="41"/>
      <c r="D16" s="42" t="s">
        <v>30</v>
      </c>
      <c r="E16" s="38" t="s">
        <v>27</v>
      </c>
      <c r="F16" s="43">
        <f>F15*1.15*1.1</f>
        <v>695.28194999999994</v>
      </c>
      <c r="G16" s="44"/>
      <c r="H16" s="43">
        <v>90</v>
      </c>
      <c r="I16" s="43"/>
      <c r="J16" s="43">
        <f>H16*F16</f>
        <v>62575.375499999995</v>
      </c>
      <c r="K16" s="45"/>
      <c r="L16" s="46"/>
      <c r="M16" s="38"/>
      <c r="N16" s="47"/>
      <c r="O16" s="48"/>
      <c r="P16" s="48"/>
      <c r="Q16" s="48"/>
    </row>
    <row r="17" spans="3:17" ht="18" outlineLevel="1" x14ac:dyDescent="0.25">
      <c r="C17" s="33" t="s">
        <v>31</v>
      </c>
      <c r="D17" s="34" t="s">
        <v>32</v>
      </c>
      <c r="E17" s="35" t="s">
        <v>33</v>
      </c>
      <c r="F17" s="36">
        <v>130</v>
      </c>
      <c r="G17" s="36">
        <v>120</v>
      </c>
      <c r="H17" s="36">
        <f>J17/F17</f>
        <v>1001.0381999999998</v>
      </c>
      <c r="I17" s="36">
        <f>F17*G17</f>
        <v>15600</v>
      </c>
      <c r="J17" s="36">
        <f>SUM(J18)</f>
        <v>130134.96599999999</v>
      </c>
      <c r="K17" s="36">
        <f>J17+I17</f>
        <v>145734.96599999999</v>
      </c>
      <c r="L17" s="37">
        <f>I17</f>
        <v>15600</v>
      </c>
      <c r="M17" s="38"/>
      <c r="N17" s="39"/>
      <c r="O17" s="40"/>
      <c r="P17" s="40"/>
      <c r="Q17" s="40"/>
    </row>
    <row r="18" spans="3:17" outlineLevel="1" x14ac:dyDescent="0.25">
      <c r="C18" s="41"/>
      <c r="D18" s="42" t="s">
        <v>34</v>
      </c>
      <c r="E18" s="38" t="s">
        <v>35</v>
      </c>
      <c r="F18" s="43">
        <f>F17*1.02</f>
        <v>132.6</v>
      </c>
      <c r="G18" s="44"/>
      <c r="H18" s="49">
        <v>981.41</v>
      </c>
      <c r="I18" s="43"/>
      <c r="J18" s="43">
        <f>F18*H18</f>
        <v>130134.96599999999</v>
      </c>
      <c r="K18" s="45"/>
      <c r="L18" s="46"/>
      <c r="M18" s="38"/>
      <c r="N18" s="47"/>
      <c r="O18" s="48"/>
      <c r="P18" s="48"/>
      <c r="Q18" s="48"/>
    </row>
    <row r="19" spans="3:17" outlineLevel="1" x14ac:dyDescent="0.25">
      <c r="C19" s="33" t="s">
        <v>36</v>
      </c>
      <c r="D19" s="34" t="s">
        <v>37</v>
      </c>
      <c r="E19" s="35" t="s">
        <v>38</v>
      </c>
      <c r="F19" s="36">
        <v>16.649999999999999</v>
      </c>
      <c r="G19" s="36">
        <v>200</v>
      </c>
      <c r="H19" s="36"/>
      <c r="I19" s="36">
        <f>G19*F19</f>
        <v>3329.9999999999995</v>
      </c>
      <c r="J19" s="36">
        <f>SUM(J20)</f>
        <v>8269.5</v>
      </c>
      <c r="K19" s="36">
        <f>J19+I19</f>
        <v>11599.5</v>
      </c>
      <c r="L19" s="37">
        <f>I19</f>
        <v>3329.9999999999995</v>
      </c>
      <c r="M19" s="38"/>
      <c r="N19" s="39"/>
      <c r="O19" s="40"/>
      <c r="P19" s="40"/>
      <c r="Q19" s="40"/>
    </row>
    <row r="20" spans="3:17" outlineLevel="1" x14ac:dyDescent="0.25">
      <c r="C20" s="41"/>
      <c r="D20" s="42" t="s">
        <v>39</v>
      </c>
      <c r="E20" s="38" t="s">
        <v>40</v>
      </c>
      <c r="F20" s="43">
        <v>1</v>
      </c>
      <c r="G20" s="44"/>
      <c r="H20" s="43">
        <f>(275.65*1.2)*25</f>
        <v>8269.5</v>
      </c>
      <c r="I20" s="43"/>
      <c r="J20" s="43">
        <f>H20*F20</f>
        <v>8269.5</v>
      </c>
      <c r="K20" s="45"/>
      <c r="L20" s="46"/>
      <c r="M20" s="38"/>
      <c r="N20" s="47"/>
      <c r="O20" s="48"/>
      <c r="P20" s="48"/>
      <c r="Q20" s="48"/>
    </row>
    <row r="21" spans="3:17" outlineLevel="1" x14ac:dyDescent="0.25">
      <c r="C21" s="33" t="s">
        <v>41</v>
      </c>
      <c r="D21" s="34" t="s">
        <v>42</v>
      </c>
      <c r="E21" s="35" t="s">
        <v>38</v>
      </c>
      <c r="F21" s="36">
        <v>16.649999999999999</v>
      </c>
      <c r="G21" s="36">
        <v>25</v>
      </c>
      <c r="H21" s="36"/>
      <c r="I21" s="36">
        <f>G21*F21</f>
        <v>416.24999999999994</v>
      </c>
      <c r="J21" s="36">
        <f>SUM(J22:J24)</f>
        <v>9910.2901999999995</v>
      </c>
      <c r="K21" s="36">
        <f>J21+I21</f>
        <v>10326.540199999999</v>
      </c>
      <c r="L21" s="37">
        <f>I21</f>
        <v>416.24999999999994</v>
      </c>
      <c r="M21" s="38"/>
      <c r="N21" s="39"/>
      <c r="O21" s="40"/>
      <c r="P21" s="40"/>
      <c r="Q21" s="40"/>
    </row>
    <row r="22" spans="3:17" outlineLevel="1" x14ac:dyDescent="0.25">
      <c r="C22" s="41"/>
      <c r="D22" s="42" t="s">
        <v>43</v>
      </c>
      <c r="E22" s="38" t="s">
        <v>19</v>
      </c>
      <c r="F22" s="43">
        <v>0.16</v>
      </c>
      <c r="G22" s="44"/>
      <c r="H22" s="43">
        <v>1448.57</v>
      </c>
      <c r="I22" s="43"/>
      <c r="J22" s="43">
        <f>H22*F22</f>
        <v>231.77119999999999</v>
      </c>
      <c r="K22" s="45"/>
      <c r="L22" s="46"/>
      <c r="M22" s="38"/>
      <c r="N22" s="47"/>
      <c r="O22" s="48"/>
      <c r="P22" s="48"/>
      <c r="Q22" s="48"/>
    </row>
    <row r="23" spans="3:17" outlineLevel="1" x14ac:dyDescent="0.25">
      <c r="C23" s="41"/>
      <c r="D23" s="42" t="s">
        <v>44</v>
      </c>
      <c r="E23" s="38" t="s">
        <v>38</v>
      </c>
      <c r="F23" s="43">
        <f>F21</f>
        <v>16.649999999999999</v>
      </c>
      <c r="G23" s="44"/>
      <c r="H23" s="43">
        <f>4.05*1.2</f>
        <v>4.8599999999999994</v>
      </c>
      <c r="I23" s="43"/>
      <c r="J23" s="43">
        <f>H23*F23</f>
        <v>80.918999999999983</v>
      </c>
      <c r="K23" s="45"/>
      <c r="L23" s="46"/>
      <c r="M23" s="38"/>
      <c r="N23" s="47"/>
      <c r="O23" s="48"/>
      <c r="P23" s="48"/>
      <c r="Q23" s="48"/>
    </row>
    <row r="24" spans="3:17" outlineLevel="1" x14ac:dyDescent="0.25">
      <c r="C24" s="41"/>
      <c r="D24" s="42" t="s">
        <v>45</v>
      </c>
      <c r="E24" s="38" t="s">
        <v>46</v>
      </c>
      <c r="F24" s="43">
        <v>10</v>
      </c>
      <c r="G24" s="44"/>
      <c r="H24" s="43">
        <f>12*(66.65*1.2)</f>
        <v>959.76</v>
      </c>
      <c r="I24" s="43"/>
      <c r="J24" s="43">
        <f>H24*F24</f>
        <v>9597.6</v>
      </c>
      <c r="K24" s="45"/>
      <c r="L24" s="46"/>
      <c r="M24" s="38"/>
      <c r="N24" s="47"/>
      <c r="O24" s="48"/>
      <c r="P24" s="48"/>
      <c r="Q24" s="48"/>
    </row>
    <row r="25" spans="3:17" outlineLevel="1" x14ac:dyDescent="0.25">
      <c r="C25" s="33" t="s">
        <v>47</v>
      </c>
      <c r="D25" s="34" t="s">
        <v>48</v>
      </c>
      <c r="E25" s="35" t="s">
        <v>19</v>
      </c>
      <c r="F25" s="36">
        <f>147+355</f>
        <v>502</v>
      </c>
      <c r="G25" s="36">
        <v>280</v>
      </c>
      <c r="H25" s="36"/>
      <c r="I25" s="36">
        <f>G25*F25</f>
        <v>140560</v>
      </c>
      <c r="J25" s="36">
        <f>SUM(J26:J33)</f>
        <v>1156096.4183999998</v>
      </c>
      <c r="K25" s="36">
        <f>J25+I25</f>
        <v>1296656.4183999998</v>
      </c>
      <c r="L25" s="37">
        <f>I25</f>
        <v>140560</v>
      </c>
      <c r="M25" s="38"/>
      <c r="N25" s="39"/>
      <c r="O25" s="50"/>
      <c r="P25" s="50"/>
      <c r="Q25" s="40"/>
    </row>
    <row r="26" spans="3:17" outlineLevel="1" x14ac:dyDescent="0.25">
      <c r="C26" s="41"/>
      <c r="D26" s="42" t="s">
        <v>49</v>
      </c>
      <c r="E26" s="38" t="s">
        <v>35</v>
      </c>
      <c r="F26" s="43">
        <f>1.02*F25</f>
        <v>512.04</v>
      </c>
      <c r="G26" s="44"/>
      <c r="H26" s="49">
        <v>1126.56</v>
      </c>
      <c r="I26" s="43"/>
      <c r="J26" s="43">
        <f t="shared" ref="J26:J33" si="0">F26*H26</f>
        <v>576843.78239999991</v>
      </c>
      <c r="K26" s="45"/>
      <c r="L26" s="46"/>
      <c r="M26" s="38"/>
      <c r="N26" s="47"/>
      <c r="O26" s="48"/>
      <c r="P26" s="48"/>
      <c r="Q26" s="48"/>
    </row>
    <row r="27" spans="3:17" outlineLevel="1" x14ac:dyDescent="0.25">
      <c r="C27" s="41"/>
      <c r="D27" s="42" t="s">
        <v>50</v>
      </c>
      <c r="E27" s="38" t="s">
        <v>27</v>
      </c>
      <c r="F27" s="51">
        <v>1.008</v>
      </c>
      <c r="G27" s="44"/>
      <c r="H27" s="49">
        <v>11900</v>
      </c>
      <c r="I27" s="43"/>
      <c r="J27" s="43">
        <f t="shared" si="0"/>
        <v>11995.2</v>
      </c>
      <c r="K27" s="45"/>
      <c r="L27" s="46"/>
      <c r="M27" s="38"/>
      <c r="N27" s="47"/>
      <c r="O27" s="48"/>
      <c r="P27" s="48"/>
      <c r="Q27" s="48"/>
    </row>
    <row r="28" spans="3:17" outlineLevel="1" x14ac:dyDescent="0.25">
      <c r="C28" s="41"/>
      <c r="D28" s="42" t="s">
        <v>51</v>
      </c>
      <c r="E28" s="38" t="s">
        <v>27</v>
      </c>
      <c r="F28" s="51">
        <v>23.404499999999999</v>
      </c>
      <c r="G28" s="44"/>
      <c r="H28" s="49">
        <v>11700</v>
      </c>
      <c r="I28" s="43"/>
      <c r="J28" s="43">
        <f t="shared" si="0"/>
        <v>273832.64999999997</v>
      </c>
      <c r="K28" s="45"/>
      <c r="M28" s="38"/>
      <c r="N28" s="47"/>
      <c r="O28" s="48"/>
      <c r="P28" s="48"/>
      <c r="Q28" s="48"/>
    </row>
    <row r="29" spans="3:17" outlineLevel="1" x14ac:dyDescent="0.25">
      <c r="C29" s="41"/>
      <c r="D29" s="42" t="s">
        <v>52</v>
      </c>
      <c r="E29" s="38" t="s">
        <v>27</v>
      </c>
      <c r="F29" s="51">
        <v>23.333100000000002</v>
      </c>
      <c r="G29" s="44"/>
      <c r="H29" s="49">
        <v>11700</v>
      </c>
      <c r="I29" s="43"/>
      <c r="J29" s="43">
        <f t="shared" si="0"/>
        <v>272997.27</v>
      </c>
      <c r="K29" s="45"/>
      <c r="L29" s="46"/>
      <c r="M29" s="38"/>
      <c r="N29" s="47"/>
      <c r="O29" s="48"/>
      <c r="P29" s="48"/>
      <c r="Q29" s="48"/>
    </row>
    <row r="30" spans="3:17" outlineLevel="1" x14ac:dyDescent="0.25">
      <c r="C30" s="52"/>
      <c r="D30" s="53" t="s">
        <v>53</v>
      </c>
      <c r="E30" s="54" t="s">
        <v>54</v>
      </c>
      <c r="F30" s="55">
        <f>((8/1000)*(SUM(F27:F29)))/1.05</f>
        <v>0.36377599999999999</v>
      </c>
      <c r="G30" s="56"/>
      <c r="H30" s="57">
        <v>16000</v>
      </c>
      <c r="I30" s="58"/>
      <c r="J30" s="43">
        <f t="shared" si="0"/>
        <v>5820.4160000000002</v>
      </c>
      <c r="K30" s="59"/>
      <c r="L30" s="60"/>
      <c r="M30" s="38"/>
      <c r="N30" s="47"/>
      <c r="O30" s="61"/>
      <c r="P30" s="61"/>
      <c r="Q30" s="61"/>
    </row>
    <row r="31" spans="3:17" outlineLevel="1" x14ac:dyDescent="0.25">
      <c r="C31" s="52"/>
      <c r="D31" s="53" t="s">
        <v>55</v>
      </c>
      <c r="E31" s="54" t="s">
        <v>54</v>
      </c>
      <c r="F31" s="62">
        <f>7.14/1000</f>
        <v>7.1399999999999996E-3</v>
      </c>
      <c r="G31" s="56"/>
      <c r="H31" s="58">
        <v>15000</v>
      </c>
      <c r="I31" s="58"/>
      <c r="J31" s="43">
        <f t="shared" si="0"/>
        <v>107.1</v>
      </c>
      <c r="K31" s="59"/>
      <c r="L31" s="60"/>
      <c r="M31" s="38"/>
      <c r="N31" s="47"/>
      <c r="O31" s="61"/>
      <c r="P31" s="61"/>
      <c r="Q31" s="61"/>
    </row>
    <row r="32" spans="3:17" outlineLevel="1" x14ac:dyDescent="0.25">
      <c r="C32" s="41"/>
      <c r="D32" s="42" t="s">
        <v>56</v>
      </c>
      <c r="E32" s="38" t="s">
        <v>57</v>
      </c>
      <c r="F32" s="43">
        <v>1</v>
      </c>
      <c r="G32" s="44"/>
      <c r="H32" s="43">
        <v>13000</v>
      </c>
      <c r="I32" s="43"/>
      <c r="J32" s="43">
        <f t="shared" si="0"/>
        <v>13000</v>
      </c>
      <c r="K32" s="45"/>
      <c r="L32" s="46"/>
      <c r="M32" s="38"/>
      <c r="N32" s="47"/>
      <c r="O32" s="48"/>
      <c r="P32" s="48"/>
      <c r="Q32" s="48"/>
    </row>
    <row r="33" spans="3:17" ht="63" outlineLevel="1" x14ac:dyDescent="0.25">
      <c r="C33" s="52"/>
      <c r="D33" s="53" t="s">
        <v>58</v>
      </c>
      <c r="E33" s="38" t="s">
        <v>59</v>
      </c>
      <c r="F33" s="58">
        <f>1*6</f>
        <v>6</v>
      </c>
      <c r="G33" s="56"/>
      <c r="H33" s="58">
        <f>170+40+40</f>
        <v>250</v>
      </c>
      <c r="I33" s="58"/>
      <c r="J33" s="43">
        <f t="shared" si="0"/>
        <v>1500</v>
      </c>
      <c r="K33" s="59"/>
      <c r="L33" s="60"/>
      <c r="M33" s="38"/>
      <c r="N33" s="47"/>
      <c r="O33" s="61"/>
      <c r="P33" s="61"/>
      <c r="Q33" s="61"/>
    </row>
    <row r="34" spans="3:17" outlineLevel="1" x14ac:dyDescent="0.25">
      <c r="C34" s="33" t="s">
        <v>60</v>
      </c>
      <c r="D34" s="34" t="s">
        <v>61</v>
      </c>
      <c r="E34" s="35" t="s">
        <v>38</v>
      </c>
      <c r="F34" s="36">
        <f>18+13</f>
        <v>31</v>
      </c>
      <c r="G34" s="36">
        <v>25</v>
      </c>
      <c r="H34" s="36"/>
      <c r="I34" s="36">
        <f>G34*F34</f>
        <v>775</v>
      </c>
      <c r="J34" s="36">
        <f>SUM(J35:J37)</f>
        <v>4957.45</v>
      </c>
      <c r="K34" s="36">
        <f>J34+I34</f>
        <v>5732.45</v>
      </c>
      <c r="L34" s="37">
        <f>I34</f>
        <v>775</v>
      </c>
      <c r="M34" s="38"/>
      <c r="N34" s="39"/>
      <c r="O34" s="50"/>
      <c r="P34" s="50"/>
      <c r="Q34" s="40"/>
    </row>
    <row r="35" spans="3:17" outlineLevel="1" x14ac:dyDescent="0.25">
      <c r="C35" s="41"/>
      <c r="D35" s="42" t="s">
        <v>62</v>
      </c>
      <c r="E35" s="38" t="s">
        <v>38</v>
      </c>
      <c r="F35" s="43">
        <f>18+13</f>
        <v>31</v>
      </c>
      <c r="G35" s="44"/>
      <c r="H35" s="43">
        <v>108.27</v>
      </c>
      <c r="I35" s="43"/>
      <c r="J35" s="43">
        <f>H35*F35</f>
        <v>3356.37</v>
      </c>
      <c r="K35" s="45"/>
      <c r="L35" s="46"/>
      <c r="M35" s="38"/>
      <c r="N35" s="47"/>
      <c r="O35" s="48"/>
      <c r="P35" s="48"/>
      <c r="Q35" s="48"/>
    </row>
    <row r="36" spans="3:17" outlineLevel="1" x14ac:dyDescent="0.25">
      <c r="C36" s="41"/>
      <c r="D36" s="42" t="s">
        <v>63</v>
      </c>
      <c r="E36" s="38" t="s">
        <v>64</v>
      </c>
      <c r="F36" s="43">
        <f>4+3</f>
        <v>7</v>
      </c>
      <c r="G36" s="44"/>
      <c r="H36" s="43">
        <v>172.7</v>
      </c>
      <c r="I36" s="43"/>
      <c r="J36" s="43">
        <f>H36*F36</f>
        <v>1208.8999999999999</v>
      </c>
      <c r="K36" s="45"/>
      <c r="L36" s="46"/>
      <c r="M36" s="38"/>
      <c r="N36" s="47"/>
      <c r="O36" s="48"/>
      <c r="P36" s="48"/>
      <c r="Q36" s="48"/>
    </row>
    <row r="37" spans="3:17" outlineLevel="1" x14ac:dyDescent="0.25">
      <c r="C37" s="41"/>
      <c r="D37" s="42" t="s">
        <v>65</v>
      </c>
      <c r="E37" s="38" t="s">
        <v>64</v>
      </c>
      <c r="F37" s="43">
        <f>1+1</f>
        <v>2</v>
      </c>
      <c r="G37" s="44"/>
      <c r="H37" s="43">
        <v>196.09</v>
      </c>
      <c r="I37" s="43"/>
      <c r="J37" s="43">
        <f>H37*F37</f>
        <v>392.18</v>
      </c>
      <c r="K37" s="45"/>
      <c r="L37" s="46"/>
      <c r="M37" s="38"/>
      <c r="N37" s="47"/>
      <c r="O37" s="48"/>
      <c r="P37" s="48"/>
      <c r="Q37" s="48"/>
    </row>
    <row r="38" spans="3:17" x14ac:dyDescent="0.25">
      <c r="C38" s="27" t="s">
        <v>66</v>
      </c>
      <c r="D38" s="28" t="s">
        <v>67</v>
      </c>
      <c r="E38" s="63"/>
      <c r="F38" s="31"/>
      <c r="G38" s="31"/>
      <c r="H38" s="31"/>
      <c r="I38" s="31"/>
      <c r="J38" s="31"/>
      <c r="K38" s="31">
        <f>SUM(K39:K46)</f>
        <v>245150</v>
      </c>
      <c r="L38" s="32">
        <f>SUM(L39:L46)</f>
        <v>73520</v>
      </c>
      <c r="M38" s="64"/>
      <c r="N38" s="6"/>
      <c r="O38" s="24"/>
      <c r="P38" s="25"/>
      <c r="Q38" s="26"/>
    </row>
    <row r="39" spans="3:17" outlineLevel="1" x14ac:dyDescent="0.25">
      <c r="C39" s="33" t="s">
        <v>68</v>
      </c>
      <c r="D39" s="34" t="s">
        <v>69</v>
      </c>
      <c r="E39" s="35" t="s">
        <v>70</v>
      </c>
      <c r="F39" s="36">
        <v>3</v>
      </c>
      <c r="G39" s="36">
        <v>78000</v>
      </c>
      <c r="H39" s="36"/>
      <c r="I39" s="36">
        <f t="shared" ref="I39:I45" si="1">G39*F39</f>
        <v>234000</v>
      </c>
      <c r="J39" s="36"/>
      <c r="K39" s="36">
        <f>(J39+I39)/4</f>
        <v>58500</v>
      </c>
      <c r="L39" s="37">
        <f>I39/4</f>
        <v>58500</v>
      </c>
      <c r="M39" s="38"/>
      <c r="N39" s="39"/>
      <c r="O39" s="50"/>
      <c r="P39" s="50"/>
      <c r="Q39" s="40"/>
    </row>
    <row r="40" spans="3:17" outlineLevel="1" x14ac:dyDescent="0.25">
      <c r="C40" s="33" t="s">
        <v>71</v>
      </c>
      <c r="D40" s="34" t="s">
        <v>72</v>
      </c>
      <c r="E40" s="35" t="s">
        <v>70</v>
      </c>
      <c r="F40" s="36">
        <v>3</v>
      </c>
      <c r="G40" s="36">
        <v>36000</v>
      </c>
      <c r="H40" s="36"/>
      <c r="I40" s="36">
        <f t="shared" si="1"/>
        <v>108000</v>
      </c>
      <c r="J40" s="36"/>
      <c r="K40" s="36">
        <f>(J40+I40)/3</f>
        <v>36000</v>
      </c>
      <c r="L40" s="37"/>
      <c r="M40" s="38"/>
      <c r="N40" s="39"/>
      <c r="O40" s="50"/>
      <c r="P40" s="50"/>
      <c r="Q40" s="40"/>
    </row>
    <row r="41" spans="3:17" outlineLevel="1" x14ac:dyDescent="0.25">
      <c r="C41" s="33" t="s">
        <v>73</v>
      </c>
      <c r="D41" s="34" t="s">
        <v>74</v>
      </c>
      <c r="E41" s="35" t="s">
        <v>75</v>
      </c>
      <c r="F41" s="36">
        <v>1</v>
      </c>
      <c r="G41" s="36">
        <v>20000</v>
      </c>
      <c r="H41" s="36"/>
      <c r="I41" s="36">
        <f t="shared" si="1"/>
        <v>20000</v>
      </c>
      <c r="J41" s="36"/>
      <c r="K41" s="36">
        <f>(J41+I41)</f>
        <v>20000</v>
      </c>
      <c r="L41" s="37"/>
      <c r="M41" s="38"/>
      <c r="N41" s="39"/>
      <c r="O41" s="50"/>
      <c r="P41" s="50"/>
      <c r="Q41" s="40"/>
    </row>
    <row r="42" spans="3:17" outlineLevel="1" x14ac:dyDescent="0.25">
      <c r="C42" s="33" t="s">
        <v>76</v>
      </c>
      <c r="D42" s="34" t="s">
        <v>77</v>
      </c>
      <c r="E42" s="35" t="s">
        <v>75</v>
      </c>
      <c r="F42" s="36">
        <v>1</v>
      </c>
      <c r="G42" s="36">
        <v>20000</v>
      </c>
      <c r="H42" s="36"/>
      <c r="I42" s="36">
        <f t="shared" si="1"/>
        <v>20000</v>
      </c>
      <c r="J42" s="36"/>
      <c r="K42" s="36">
        <f>(J42+I42)</f>
        <v>20000</v>
      </c>
      <c r="L42" s="37"/>
      <c r="M42" s="38"/>
      <c r="N42" s="39"/>
      <c r="O42" s="50"/>
      <c r="P42" s="50"/>
      <c r="Q42" s="40"/>
    </row>
    <row r="43" spans="3:17" outlineLevel="1" x14ac:dyDescent="0.25">
      <c r="C43" s="33" t="s">
        <v>78</v>
      </c>
      <c r="D43" s="34" t="s">
        <v>79</v>
      </c>
      <c r="E43" s="35" t="s">
        <v>19</v>
      </c>
      <c r="F43" s="36">
        <f>F25</f>
        <v>502</v>
      </c>
      <c r="G43" s="36">
        <v>85</v>
      </c>
      <c r="H43" s="36"/>
      <c r="I43" s="36">
        <f t="shared" si="1"/>
        <v>42670</v>
      </c>
      <c r="J43" s="36"/>
      <c r="K43" s="36">
        <f>(J43+I43)</f>
        <v>42670</v>
      </c>
      <c r="L43" s="37">
        <v>10000</v>
      </c>
      <c r="M43" s="38"/>
      <c r="N43" s="39"/>
      <c r="O43" s="50"/>
      <c r="P43" s="50"/>
      <c r="Q43" s="40"/>
    </row>
    <row r="44" spans="3:17" outlineLevel="1" x14ac:dyDescent="0.25">
      <c r="C44" s="33" t="s">
        <v>80</v>
      </c>
      <c r="D44" s="34" t="s">
        <v>81</v>
      </c>
      <c r="E44" s="35" t="s">
        <v>19</v>
      </c>
      <c r="F44" s="36">
        <f>F43</f>
        <v>502</v>
      </c>
      <c r="G44" s="36">
        <v>40</v>
      </c>
      <c r="H44" s="36"/>
      <c r="I44" s="36">
        <f t="shared" si="1"/>
        <v>20080</v>
      </c>
      <c r="J44" s="36"/>
      <c r="K44" s="36">
        <f>(J44+I44)</f>
        <v>20080</v>
      </c>
      <c r="L44" s="37">
        <f>10*F44</f>
        <v>5020</v>
      </c>
      <c r="M44" s="38"/>
      <c r="N44" s="39"/>
      <c r="O44" s="50"/>
      <c r="P44" s="50"/>
      <c r="Q44" s="40"/>
    </row>
    <row r="45" spans="3:17" outlineLevel="1" x14ac:dyDescent="0.25">
      <c r="C45" s="33" t="s">
        <v>82</v>
      </c>
      <c r="D45" s="34" t="s">
        <v>83</v>
      </c>
      <c r="E45" s="35" t="s">
        <v>57</v>
      </c>
      <c r="F45" s="36">
        <v>11</v>
      </c>
      <c r="G45" s="36">
        <v>3400</v>
      </c>
      <c r="H45" s="36"/>
      <c r="I45" s="36">
        <f t="shared" si="1"/>
        <v>37400</v>
      </c>
      <c r="J45" s="36"/>
      <c r="K45" s="36">
        <f>J45+I45</f>
        <v>37400</v>
      </c>
      <c r="L45" s="37"/>
      <c r="M45" s="38"/>
      <c r="N45" s="39"/>
      <c r="O45" s="50"/>
      <c r="P45" s="50"/>
      <c r="Q45" s="40"/>
    </row>
    <row r="46" spans="3:17" outlineLevel="1" x14ac:dyDescent="0.25">
      <c r="C46" s="33" t="s">
        <v>84</v>
      </c>
      <c r="D46" s="34" t="s">
        <v>85</v>
      </c>
      <c r="E46" s="35" t="s">
        <v>57</v>
      </c>
      <c r="F46" s="36">
        <v>11</v>
      </c>
      <c r="G46" s="36">
        <f>I46/F46</f>
        <v>954.5454545454545</v>
      </c>
      <c r="H46" s="36"/>
      <c r="I46" s="36">
        <f>(11*900)+600</f>
        <v>10500</v>
      </c>
      <c r="J46" s="36"/>
      <c r="K46" s="36">
        <f>J46+I46</f>
        <v>10500</v>
      </c>
      <c r="L46" s="37"/>
      <c r="M46" s="38"/>
      <c r="N46" s="39"/>
      <c r="O46" s="50"/>
      <c r="P46" s="50"/>
      <c r="Q46" s="40"/>
    </row>
    <row r="47" spans="3:17" ht="31.5" x14ac:dyDescent="0.25">
      <c r="C47" s="65"/>
      <c r="D47" s="66" t="s">
        <v>86</v>
      </c>
      <c r="E47" s="67"/>
      <c r="F47" s="68"/>
      <c r="G47" s="68"/>
      <c r="H47" s="68"/>
      <c r="I47" s="68"/>
      <c r="J47" s="68"/>
      <c r="K47" s="68">
        <f>K38+K11</f>
        <v>1870191.8993999998</v>
      </c>
      <c r="L47" s="69">
        <f>L38+L11</f>
        <v>274563</v>
      </c>
      <c r="M47" s="70"/>
    </row>
    <row r="48" spans="3:17" ht="6.75" customHeight="1" x14ac:dyDescent="0.25"/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9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MJ150"/>
  <sheetViews>
    <sheetView zoomScale="67" zoomScaleNormal="67" workbookViewId="0">
      <selection activeCell="G30" sqref="G30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81.28515625" style="5" customWidth="1"/>
    <col min="5" max="5" width="11.140625" style="5" customWidth="1"/>
    <col min="6" max="6" width="17.42578125" style="6" customWidth="1"/>
    <col min="7" max="7" width="14.140625" style="7" customWidth="1"/>
    <col min="8" max="8" width="13.5703125" style="7" customWidth="1"/>
    <col min="9" max="9" width="17.140625" style="7" customWidth="1"/>
    <col min="10" max="10" width="17.140625" style="124" customWidth="1"/>
    <col min="11" max="11" width="0.85546875" style="5" customWidth="1"/>
    <col min="12" max="12" width="25.28515625" style="5" customWidth="1"/>
    <col min="13" max="13" width="19.28515625" style="5" customWidth="1"/>
    <col min="14" max="14" width="23" style="5" customWidth="1"/>
    <col min="15" max="1024" width="9.140625" style="5"/>
  </cols>
  <sheetData>
    <row r="2" spans="3:14" s="125" customFormat="1" ht="36" x14ac:dyDescent="0.25">
      <c r="C2" s="126" t="s">
        <v>334</v>
      </c>
      <c r="D2" s="127" t="str">
        <f>D3</f>
        <v>Труба ПР 50х25х2,0 (6м) з урахуванням доставки та порізки по 2,5 м (84 шт.)</v>
      </c>
      <c r="E2" s="128" t="str">
        <f>E3</f>
        <v>м/п</v>
      </c>
      <c r="F2" s="129">
        <f>SUM(F3:F6)</f>
        <v>680.19</v>
      </c>
      <c r="G2" s="130"/>
      <c r="H2" s="130"/>
      <c r="I2" s="130"/>
      <c r="J2" s="131"/>
    </row>
    <row r="3" spans="3:14" x14ac:dyDescent="0.25">
      <c r="C3" s="52"/>
      <c r="D3" s="53" t="s">
        <v>134</v>
      </c>
      <c r="E3" s="54" t="s">
        <v>38</v>
      </c>
      <c r="F3" s="58">
        <v>210</v>
      </c>
      <c r="G3" s="58">
        <v>39.141451414514101</v>
      </c>
      <c r="H3" s="58">
        <v>8219.7047970479707</v>
      </c>
      <c r="I3" s="59"/>
      <c r="J3" s="132"/>
      <c r="K3" s="47"/>
      <c r="L3" s="48"/>
      <c r="M3" s="48"/>
      <c r="N3" s="48"/>
    </row>
    <row r="4" spans="3:14" x14ac:dyDescent="0.25">
      <c r="C4" s="41"/>
      <c r="D4" s="42" t="s">
        <v>134</v>
      </c>
      <c r="E4" s="38" t="s">
        <v>38</v>
      </c>
      <c r="F4" s="43">
        <v>43.4</v>
      </c>
      <c r="G4" s="43">
        <v>39.141451414514101</v>
      </c>
      <c r="H4" s="43">
        <v>1698.7389913899101</v>
      </c>
      <c r="I4" s="45"/>
      <c r="J4" s="133"/>
      <c r="K4" s="47"/>
      <c r="L4" s="48"/>
      <c r="M4" s="48"/>
      <c r="N4" s="48"/>
    </row>
    <row r="5" spans="3:14" x14ac:dyDescent="0.25">
      <c r="C5" s="41"/>
      <c r="D5" s="42" t="s">
        <v>199</v>
      </c>
      <c r="E5" s="38" t="s">
        <v>38</v>
      </c>
      <c r="F5" s="43">
        <v>296.58999999999997</v>
      </c>
      <c r="G5" s="43">
        <v>39.141451414514101</v>
      </c>
      <c r="H5" s="43">
        <v>11608.963075030801</v>
      </c>
      <c r="I5" s="45"/>
      <c r="J5" s="133"/>
      <c r="K5" s="47"/>
      <c r="L5" s="48"/>
      <c r="M5" s="48"/>
      <c r="N5" s="48"/>
    </row>
    <row r="6" spans="3:14" x14ac:dyDescent="0.25">
      <c r="C6" s="41"/>
      <c r="D6" s="42" t="s">
        <v>134</v>
      </c>
      <c r="E6" s="38" t="s">
        <v>38</v>
      </c>
      <c r="F6" s="43">
        <v>130.19999999999999</v>
      </c>
      <c r="G6" s="43">
        <v>39.141451414514101</v>
      </c>
      <c r="H6" s="43">
        <v>5096.2169741697398</v>
      </c>
      <c r="I6" s="45"/>
      <c r="J6" s="133"/>
      <c r="K6" s="47"/>
      <c r="L6" s="48"/>
      <c r="M6" s="48"/>
      <c r="N6" s="48"/>
    </row>
    <row r="7" spans="3:14" x14ac:dyDescent="0.25">
      <c r="C7" s="41"/>
      <c r="D7" s="42"/>
      <c r="E7" s="38"/>
      <c r="F7" s="43"/>
      <c r="G7" s="43"/>
      <c r="H7" s="43"/>
      <c r="I7" s="45"/>
      <c r="J7" s="133"/>
      <c r="K7" s="47"/>
      <c r="L7" s="48"/>
      <c r="M7" s="48"/>
      <c r="N7" s="48"/>
    </row>
    <row r="8" spans="3:14" s="125" customFormat="1" ht="36" x14ac:dyDescent="0.25">
      <c r="C8" s="126" t="s">
        <v>334</v>
      </c>
      <c r="D8" s="127" t="str">
        <f>D9</f>
        <v>Труба ПР120х120х3,0 з урахуванням доставки та порізки по 
3 м(12 м)  (4 шт.)</v>
      </c>
      <c r="E8" s="128" t="str">
        <f>E9</f>
        <v>м/п</v>
      </c>
      <c r="F8" s="129">
        <f>SUM(F9:F10)</f>
        <v>34.5</v>
      </c>
      <c r="G8" s="130"/>
      <c r="H8" s="130"/>
      <c r="I8" s="130"/>
      <c r="J8" s="131"/>
    </row>
    <row r="9" spans="3:14" ht="31.5" x14ac:dyDescent="0.25">
      <c r="C9" s="41"/>
      <c r="D9" s="42" t="s">
        <v>135</v>
      </c>
      <c r="E9" s="38" t="s">
        <v>38</v>
      </c>
      <c r="F9" s="43">
        <v>12</v>
      </c>
      <c r="G9" s="43">
        <v>211.43111111111099</v>
      </c>
      <c r="H9" s="43">
        <v>2537.17333333333</v>
      </c>
      <c r="I9" s="45"/>
      <c r="J9" s="133"/>
      <c r="K9" s="47"/>
      <c r="L9" s="48"/>
      <c r="M9" s="48"/>
      <c r="N9" s="48"/>
    </row>
    <row r="10" spans="3:14" x14ac:dyDescent="0.25">
      <c r="C10" s="41"/>
      <c r="D10" s="42" t="s">
        <v>335</v>
      </c>
      <c r="E10" s="38" t="s">
        <v>38</v>
      </c>
      <c r="F10" s="43">
        <v>22.5</v>
      </c>
      <c r="G10" s="43">
        <v>211.43111111111099</v>
      </c>
      <c r="H10" s="43">
        <v>4757.2</v>
      </c>
      <c r="I10" s="45"/>
      <c r="J10" s="133"/>
      <c r="K10" s="47"/>
      <c r="L10" s="48"/>
      <c r="M10" s="48"/>
      <c r="N10" s="48"/>
    </row>
    <row r="11" spans="3:14" x14ac:dyDescent="0.25">
      <c r="C11" s="41"/>
      <c r="D11" s="42"/>
      <c r="E11" s="38"/>
      <c r="F11" s="43"/>
      <c r="G11" s="43"/>
      <c r="H11" s="43"/>
      <c r="I11" s="45"/>
      <c r="J11" s="133"/>
      <c r="K11" s="47"/>
      <c r="L11" s="48"/>
      <c r="M11" s="48"/>
      <c r="N11" s="48"/>
    </row>
    <row r="12" spans="3:14" s="125" customFormat="1" ht="18" x14ac:dyDescent="0.25">
      <c r="C12" s="126" t="s">
        <v>334</v>
      </c>
      <c r="D12" s="127" t="str">
        <f>D13</f>
        <v>Грунт ГФ-021 С світло-сірий 2,8 кг</v>
      </c>
      <c r="E12" s="128" t="str">
        <f>E13</f>
        <v>кг</v>
      </c>
      <c r="F12" s="129">
        <f>SUM(F13:F18)</f>
        <v>22.349513895999998</v>
      </c>
      <c r="G12" s="130"/>
      <c r="H12" s="130"/>
      <c r="I12" s="130"/>
      <c r="J12" s="131"/>
    </row>
    <row r="13" spans="3:14" x14ac:dyDescent="0.25">
      <c r="C13" s="41"/>
      <c r="D13" s="42" t="s">
        <v>136</v>
      </c>
      <c r="E13" s="38" t="s">
        <v>137</v>
      </c>
      <c r="F13" s="43">
        <v>3.5401440000000002</v>
      </c>
      <c r="G13" s="43">
        <v>26.262857142857101</v>
      </c>
      <c r="H13" s="43">
        <v>92.9742961371429</v>
      </c>
      <c r="I13" s="45"/>
      <c r="J13" s="133"/>
      <c r="K13" s="47"/>
      <c r="L13" s="48"/>
      <c r="M13" s="48"/>
      <c r="N13" s="48"/>
    </row>
    <row r="14" spans="3:14" x14ac:dyDescent="0.25">
      <c r="C14" s="41"/>
      <c r="D14" s="42" t="s">
        <v>136</v>
      </c>
      <c r="E14" s="38" t="s">
        <v>137</v>
      </c>
      <c r="F14" s="43">
        <v>0.61404055999999996</v>
      </c>
      <c r="G14" s="43">
        <v>26.262857142857101</v>
      </c>
      <c r="H14" s="43">
        <v>16.1264595072</v>
      </c>
      <c r="I14" s="45"/>
      <c r="J14" s="133"/>
      <c r="K14" s="47"/>
      <c r="L14" s="48"/>
      <c r="M14" s="48"/>
      <c r="N14" s="48"/>
    </row>
    <row r="15" spans="3:14" x14ac:dyDescent="0.25">
      <c r="C15" s="41"/>
      <c r="D15" s="42" t="s">
        <v>136</v>
      </c>
      <c r="E15" s="38" t="s">
        <v>137</v>
      </c>
      <c r="F15" s="43">
        <v>4.6552800000000003</v>
      </c>
      <c r="G15" s="43">
        <v>26.262857142857101</v>
      </c>
      <c r="H15" s="43">
        <v>122.26095359999999</v>
      </c>
      <c r="I15" s="45"/>
      <c r="J15" s="133"/>
      <c r="K15" s="47"/>
      <c r="L15" s="48"/>
      <c r="M15" s="48"/>
      <c r="N15" s="48"/>
    </row>
    <row r="16" spans="3:14" x14ac:dyDescent="0.25">
      <c r="C16" s="41"/>
      <c r="D16" s="42" t="s">
        <v>136</v>
      </c>
      <c r="E16" s="38" t="s">
        <v>137</v>
      </c>
      <c r="F16" s="43">
        <v>5.2631114559999999</v>
      </c>
      <c r="G16" s="43">
        <v>26.262857142857101</v>
      </c>
      <c r="H16" s="43">
        <v>138.22434429586301</v>
      </c>
      <c r="I16" s="45"/>
      <c r="J16" s="133"/>
      <c r="K16" s="47"/>
      <c r="L16" s="48"/>
      <c r="M16" s="48"/>
      <c r="N16" s="48"/>
    </row>
    <row r="17" spans="3:14" x14ac:dyDescent="0.25">
      <c r="C17" s="41"/>
      <c r="D17" s="42" t="s">
        <v>136</v>
      </c>
      <c r="E17" s="38" t="s">
        <v>137</v>
      </c>
      <c r="F17" s="43">
        <v>6.4348162000000002</v>
      </c>
      <c r="G17" s="43">
        <v>26.262857142857101</v>
      </c>
      <c r="H17" s="43">
        <v>168.996658601143</v>
      </c>
      <c r="I17" s="45"/>
      <c r="J17" s="133"/>
      <c r="K17" s="47"/>
      <c r="L17" s="48"/>
      <c r="M17" s="48"/>
      <c r="N17" s="48"/>
    </row>
    <row r="18" spans="3:14" x14ac:dyDescent="0.25">
      <c r="C18" s="41"/>
      <c r="D18" s="42" t="s">
        <v>136</v>
      </c>
      <c r="E18" s="38" t="s">
        <v>137</v>
      </c>
      <c r="F18" s="43">
        <v>1.84212168</v>
      </c>
      <c r="G18" s="43">
        <v>26.262857142857101</v>
      </c>
      <c r="H18" s="43">
        <v>48.379378521600003</v>
      </c>
      <c r="I18" s="45"/>
      <c r="J18" s="133"/>
      <c r="K18" s="47"/>
      <c r="L18" s="48"/>
      <c r="M18" s="48"/>
      <c r="N18" s="48"/>
    </row>
    <row r="19" spans="3:14" x14ac:dyDescent="0.25">
      <c r="C19" s="41"/>
      <c r="D19" s="42"/>
      <c r="E19" s="38"/>
      <c r="F19" s="43"/>
      <c r="G19" s="43"/>
      <c r="H19" s="43"/>
      <c r="I19" s="45"/>
      <c r="J19" s="133"/>
      <c r="K19" s="47"/>
      <c r="L19" s="48"/>
      <c r="M19" s="48"/>
      <c r="N19" s="48"/>
    </row>
    <row r="20" spans="3:14" s="125" customFormat="1" ht="18" x14ac:dyDescent="0.25">
      <c r="C20" s="126" t="s">
        <v>334</v>
      </c>
      <c r="D20" s="127" t="str">
        <f>D21</f>
        <v>Емаль ПФ-115 С зелена 2,8 кг СТАНДАРТ</v>
      </c>
      <c r="E20" s="128" t="str">
        <f>E21</f>
        <v>кг</v>
      </c>
      <c r="F20" s="129">
        <f>SUM(F21:F26)</f>
        <v>37.727276091999997</v>
      </c>
      <c r="G20" s="130"/>
      <c r="H20" s="130"/>
      <c r="I20" s="130"/>
      <c r="J20" s="131"/>
    </row>
    <row r="21" spans="3:14" x14ac:dyDescent="0.25">
      <c r="C21" s="41"/>
      <c r="D21" s="42" t="s">
        <v>138</v>
      </c>
      <c r="E21" s="38" t="s">
        <v>137</v>
      </c>
      <c r="F21" s="43">
        <v>3.5000311919999998</v>
      </c>
      <c r="G21" s="43">
        <v>34.054285714285697</v>
      </c>
      <c r="H21" s="43">
        <v>119.19106222128001</v>
      </c>
      <c r="I21" s="45"/>
      <c r="J21" s="133"/>
      <c r="K21" s="47"/>
      <c r="L21" s="48"/>
      <c r="M21" s="48"/>
      <c r="N21" s="48"/>
    </row>
    <row r="22" spans="3:14" x14ac:dyDescent="0.25">
      <c r="C22" s="41"/>
      <c r="D22" s="42" t="s">
        <v>138</v>
      </c>
      <c r="E22" s="38" t="s">
        <v>137</v>
      </c>
      <c r="F22" s="43">
        <v>12.226150779999999</v>
      </c>
      <c r="G22" s="43">
        <v>34.054285714285697</v>
      </c>
      <c r="H22" s="43">
        <v>416.35283184805701</v>
      </c>
      <c r="I22" s="45"/>
      <c r="J22" s="133"/>
      <c r="K22" s="47"/>
      <c r="L22" s="48"/>
      <c r="M22" s="48"/>
      <c r="N22" s="48"/>
    </row>
    <row r="23" spans="3:14" x14ac:dyDescent="0.25">
      <c r="C23" s="41"/>
      <c r="D23" s="42" t="s">
        <v>138</v>
      </c>
      <c r="E23" s="38" t="s">
        <v>137</v>
      </c>
      <c r="F23" s="43">
        <v>8.8450319999999998</v>
      </c>
      <c r="G23" s="43">
        <v>34.054285714285697</v>
      </c>
      <c r="H23" s="43">
        <v>301.21124687999998</v>
      </c>
      <c r="I23" s="45"/>
      <c r="J23" s="133"/>
      <c r="K23" s="47"/>
      <c r="L23" s="48"/>
      <c r="M23" s="48"/>
      <c r="N23" s="48"/>
    </row>
    <row r="24" spans="3:14" x14ac:dyDescent="0.25">
      <c r="C24" s="41"/>
      <c r="D24" s="42" t="s">
        <v>138</v>
      </c>
      <c r="E24" s="38" t="s">
        <v>137</v>
      </c>
      <c r="F24" s="43">
        <v>6.7262735999999999</v>
      </c>
      <c r="G24" s="43">
        <v>34.054285714285697</v>
      </c>
      <c r="H24" s="43">
        <v>229.058442966857</v>
      </c>
      <c r="I24" s="45"/>
      <c r="J24" s="133"/>
      <c r="K24" s="47"/>
      <c r="L24" s="48"/>
      <c r="M24" s="48"/>
      <c r="N24" s="48"/>
    </row>
    <row r="25" spans="3:14" x14ac:dyDescent="0.25">
      <c r="C25" s="41"/>
      <c r="D25" s="42" t="s">
        <v>138</v>
      </c>
      <c r="E25" s="38" t="s">
        <v>137</v>
      </c>
      <c r="F25" s="43">
        <v>1.1666770639999999</v>
      </c>
      <c r="G25" s="43">
        <v>34.054285714285697</v>
      </c>
      <c r="H25" s="43">
        <v>39.730354073759997</v>
      </c>
      <c r="I25" s="45"/>
      <c r="J25" s="133"/>
      <c r="K25" s="47"/>
      <c r="L25" s="48"/>
      <c r="M25" s="48"/>
      <c r="N25" s="48"/>
    </row>
    <row r="26" spans="3:14" x14ac:dyDescent="0.25">
      <c r="C26" s="41"/>
      <c r="D26" s="42" t="s">
        <v>138</v>
      </c>
      <c r="E26" s="38" t="s">
        <v>137</v>
      </c>
      <c r="F26" s="43">
        <v>5.2631114559999999</v>
      </c>
      <c r="G26" s="43">
        <v>34.054285714285697</v>
      </c>
      <c r="H26" s="43">
        <v>179.23150126875399</v>
      </c>
      <c r="I26" s="45"/>
      <c r="J26" s="133"/>
      <c r="K26" s="47"/>
      <c r="L26" s="48"/>
      <c r="M26" s="48"/>
      <c r="N26" s="48"/>
    </row>
    <row r="28" spans="3:14" s="125" customFormat="1" ht="18" x14ac:dyDescent="0.25">
      <c r="C28" s="126" t="s">
        <v>334</v>
      </c>
      <c r="D28" s="127" t="str">
        <f>D29</f>
        <v>Бетон (В12,5) з доставкою на об'єкт</v>
      </c>
      <c r="E28" s="128" t="str">
        <f>E29</f>
        <v>м3</v>
      </c>
      <c r="F28" s="129">
        <f>SUM(F29:F33)</f>
        <v>369.26549999999997</v>
      </c>
      <c r="G28" s="130"/>
      <c r="H28" s="130"/>
      <c r="I28" s="130"/>
      <c r="J28" s="131"/>
    </row>
    <row r="29" spans="3:14" x14ac:dyDescent="0.25">
      <c r="C29" s="41"/>
      <c r="D29" s="42" t="s">
        <v>237</v>
      </c>
      <c r="E29" s="38" t="s">
        <v>89</v>
      </c>
      <c r="F29" s="43">
        <v>94.86</v>
      </c>
      <c r="G29" s="43">
        <v>847.93849397590395</v>
      </c>
      <c r="H29" s="43">
        <v>80435.445538554195</v>
      </c>
      <c r="I29" s="45"/>
      <c r="J29" s="46"/>
      <c r="K29" s="47"/>
      <c r="L29" s="48"/>
      <c r="M29" s="48"/>
      <c r="N29" s="48"/>
    </row>
    <row r="30" spans="3:14" x14ac:dyDescent="0.25">
      <c r="C30" s="41"/>
      <c r="D30" s="42" t="s">
        <v>146</v>
      </c>
      <c r="E30" s="38" t="s">
        <v>19</v>
      </c>
      <c r="F30" s="43">
        <v>31.237500000000001</v>
      </c>
      <c r="G30" s="43">
        <v>874.27200000000005</v>
      </c>
      <c r="H30" s="43">
        <v>27310.071599999999</v>
      </c>
      <c r="I30" s="45"/>
      <c r="J30" s="133"/>
      <c r="K30" s="47"/>
      <c r="L30" s="48"/>
      <c r="M30" s="48"/>
      <c r="N30" s="48"/>
    </row>
    <row r="31" spans="3:14" x14ac:dyDescent="0.25">
      <c r="C31" s="41"/>
      <c r="D31" s="42" t="s">
        <v>146</v>
      </c>
      <c r="E31" s="38" t="s">
        <v>19</v>
      </c>
      <c r="F31" s="43">
        <v>15.708</v>
      </c>
      <c r="G31" s="43">
        <v>874.27200000000005</v>
      </c>
      <c r="H31" s="43">
        <v>13733.064576000001</v>
      </c>
      <c r="I31" s="45"/>
      <c r="J31" s="133"/>
      <c r="K31" s="47"/>
      <c r="L31" s="48"/>
      <c r="M31" s="48"/>
      <c r="N31" s="48"/>
    </row>
    <row r="32" spans="3:14" x14ac:dyDescent="0.25">
      <c r="C32" s="41"/>
      <c r="D32" s="42" t="s">
        <v>237</v>
      </c>
      <c r="E32" s="38" t="s">
        <v>35</v>
      </c>
      <c r="F32" s="43">
        <v>132.6</v>
      </c>
      <c r="G32" s="43">
        <v>847.93849397590395</v>
      </c>
      <c r="H32" s="43">
        <v>112436.644301205</v>
      </c>
      <c r="I32" s="45"/>
      <c r="J32" s="46"/>
      <c r="K32" s="47"/>
      <c r="L32" s="48"/>
      <c r="M32" s="48"/>
      <c r="N32" s="48"/>
    </row>
    <row r="33" spans="3:14" x14ac:dyDescent="0.25">
      <c r="C33" s="41"/>
      <c r="D33" s="42" t="s">
        <v>237</v>
      </c>
      <c r="E33" s="38" t="s">
        <v>89</v>
      </c>
      <c r="F33" s="43">
        <v>94.86</v>
      </c>
      <c r="G33" s="43">
        <v>847.93849397590395</v>
      </c>
      <c r="H33" s="43">
        <v>80435.445538554195</v>
      </c>
      <c r="I33" s="45"/>
      <c r="J33" s="46"/>
      <c r="K33" s="47"/>
      <c r="L33" s="48"/>
      <c r="M33" s="48"/>
      <c r="N33" s="48"/>
    </row>
    <row r="34" spans="3:14" s="39" customFormat="1" ht="15.75" x14ac:dyDescent="0.25">
      <c r="C34" s="33"/>
      <c r="D34" s="34"/>
      <c r="E34" s="35"/>
      <c r="F34" s="36"/>
      <c r="G34" s="36"/>
      <c r="H34" s="36"/>
      <c r="I34" s="36"/>
      <c r="J34" s="74"/>
      <c r="L34" s="40"/>
      <c r="M34" s="40"/>
      <c r="N34" s="40"/>
    </row>
    <row r="35" spans="3:14" s="125" customFormat="1" ht="36" x14ac:dyDescent="0.25">
      <c r="C35" s="126" t="s">
        <v>334</v>
      </c>
      <c r="D35" s="127" t="str">
        <f>D36</f>
        <v>Труба ПР 40х20х2,0 (6м) з урахуванням доставки та порізки  по 2,5 м</v>
      </c>
      <c r="E35" s="128" t="str">
        <f>E36</f>
        <v>м/п</v>
      </c>
      <c r="F35" s="129">
        <f>SUM(F36)</f>
        <v>420</v>
      </c>
      <c r="G35" s="130"/>
      <c r="H35" s="130"/>
      <c r="I35" s="130"/>
      <c r="J35" s="131"/>
    </row>
    <row r="36" spans="3:14" x14ac:dyDescent="0.25">
      <c r="C36" s="41"/>
      <c r="D36" s="42" t="s">
        <v>336</v>
      </c>
      <c r="E36" s="38" t="s">
        <v>38</v>
      </c>
      <c r="F36" s="43">
        <v>420</v>
      </c>
      <c r="G36" s="43">
        <v>30.824983974359</v>
      </c>
      <c r="H36" s="43">
        <v>12946.493269230799</v>
      </c>
      <c r="I36" s="45"/>
      <c r="J36" s="133"/>
      <c r="K36" s="47"/>
      <c r="L36" s="48"/>
      <c r="M36" s="48"/>
      <c r="N36" s="48"/>
    </row>
    <row r="38" spans="3:14" s="125" customFormat="1" ht="18" x14ac:dyDescent="0.25">
      <c r="C38" s="126" t="s">
        <v>334</v>
      </c>
      <c r="D38" s="127" t="str">
        <f>D39</f>
        <v>Розчинник "WHITE SPIRIT"</v>
      </c>
      <c r="E38" s="128" t="str">
        <f>E39</f>
        <v>кг</v>
      </c>
      <c r="F38" s="129">
        <f>SUM(F39:F44)</f>
        <v>8.6631879211999987</v>
      </c>
      <c r="G38" s="130"/>
      <c r="H38" s="130"/>
      <c r="I38" s="130"/>
      <c r="J38" s="131"/>
    </row>
    <row r="39" spans="3:14" x14ac:dyDescent="0.25">
      <c r="C39" s="41"/>
      <c r="D39" s="42" t="s">
        <v>139</v>
      </c>
      <c r="E39" s="38" t="s">
        <v>137</v>
      </c>
      <c r="F39" s="43">
        <v>0.88450320000000004</v>
      </c>
      <c r="G39" s="43">
        <v>23.873999999999999</v>
      </c>
      <c r="H39" s="43">
        <v>21.116629396800001</v>
      </c>
      <c r="I39" s="45"/>
      <c r="J39" s="133"/>
      <c r="K39" s="47"/>
      <c r="L39" s="48"/>
      <c r="M39" s="48"/>
      <c r="N39" s="48"/>
    </row>
    <row r="40" spans="3:14" x14ac:dyDescent="0.25">
      <c r="C40" s="41"/>
      <c r="D40" s="42" t="s">
        <v>139</v>
      </c>
      <c r="E40" s="38" t="s">
        <v>137</v>
      </c>
      <c r="F40" s="43">
        <v>0.1166677064</v>
      </c>
      <c r="G40" s="43">
        <v>23.873999999999999</v>
      </c>
      <c r="H40" s="43">
        <v>2.7853248225936</v>
      </c>
      <c r="I40" s="45"/>
      <c r="J40" s="133"/>
      <c r="K40" s="47"/>
      <c r="L40" s="48"/>
      <c r="M40" s="48"/>
      <c r="N40" s="48"/>
    </row>
    <row r="41" spans="3:14" x14ac:dyDescent="0.25">
      <c r="C41" s="41"/>
      <c r="D41" s="42" t="s">
        <v>139</v>
      </c>
      <c r="E41" s="38" t="s">
        <v>137</v>
      </c>
      <c r="F41" s="43">
        <v>0.67262736000000001</v>
      </c>
      <c r="G41" s="43">
        <v>23.873999999999999</v>
      </c>
      <c r="H41" s="43">
        <v>16.05830559264</v>
      </c>
      <c r="I41" s="45"/>
      <c r="J41" s="133"/>
      <c r="K41" s="47"/>
      <c r="L41" s="48"/>
      <c r="M41" s="48"/>
      <c r="N41" s="48"/>
    </row>
    <row r="42" spans="3:14" x14ac:dyDescent="0.25">
      <c r="C42" s="41"/>
      <c r="D42" s="42" t="s">
        <v>139</v>
      </c>
      <c r="E42" s="38" t="s">
        <v>137</v>
      </c>
      <c r="F42" s="43">
        <v>0.52631114560000003</v>
      </c>
      <c r="G42" s="43">
        <v>23.873999999999999</v>
      </c>
      <c r="H42" s="43">
        <v>12.565152290054399</v>
      </c>
      <c r="I42" s="45"/>
      <c r="J42" s="133"/>
      <c r="K42" s="47"/>
      <c r="L42" s="88"/>
      <c r="M42" s="48"/>
      <c r="N42" s="48"/>
    </row>
    <row r="43" spans="3:14" x14ac:dyDescent="0.25">
      <c r="C43" s="41"/>
      <c r="D43" s="42" t="s">
        <v>139</v>
      </c>
      <c r="E43" s="38" t="s">
        <v>137</v>
      </c>
      <c r="F43" s="43">
        <v>6.1130753899999997</v>
      </c>
      <c r="G43" s="43">
        <v>23.873999999999999</v>
      </c>
      <c r="H43" s="43">
        <v>145.94356186086</v>
      </c>
      <c r="I43" s="45"/>
      <c r="J43" s="133"/>
      <c r="K43" s="47"/>
      <c r="L43" s="88"/>
      <c r="M43" s="48"/>
      <c r="N43" s="48"/>
    </row>
    <row r="44" spans="3:14" x14ac:dyDescent="0.25">
      <c r="C44" s="41"/>
      <c r="D44" s="42" t="s">
        <v>139</v>
      </c>
      <c r="E44" s="38" t="s">
        <v>137</v>
      </c>
      <c r="F44" s="43">
        <v>0.35000311919999999</v>
      </c>
      <c r="G44" s="43">
        <v>23.873999999999999</v>
      </c>
      <c r="H44" s="43">
        <v>8.3559744677808006</v>
      </c>
      <c r="I44" s="45"/>
      <c r="J44" s="133"/>
      <c r="K44" s="47"/>
      <c r="L44" s="88"/>
      <c r="M44" s="48"/>
      <c r="N44" s="48"/>
    </row>
    <row r="46" spans="3:14" s="125" customFormat="1" ht="18" x14ac:dyDescent="0.25">
      <c r="C46" s="126" t="s">
        <v>334</v>
      </c>
      <c r="D46" s="127" t="str">
        <f>D47</f>
        <v>Лист гофрований 9-хв. (2 м) RAL6005</v>
      </c>
      <c r="E46" s="128" t="str">
        <f>E47</f>
        <v>м2</v>
      </c>
      <c r="F46" s="129">
        <f>SUM(F47:F49)</f>
        <v>1174.4000000000001</v>
      </c>
      <c r="G46" s="130"/>
      <c r="H46" s="130"/>
      <c r="I46" s="130"/>
      <c r="J46" s="131"/>
    </row>
    <row r="47" spans="3:14" x14ac:dyDescent="0.25">
      <c r="C47" s="41"/>
      <c r="D47" s="42" t="s">
        <v>158</v>
      </c>
      <c r="E47" s="38" t="s">
        <v>114</v>
      </c>
      <c r="F47" s="43">
        <v>697</v>
      </c>
      <c r="G47" s="43">
        <v>83.81</v>
      </c>
      <c r="H47" s="43">
        <v>58415.57</v>
      </c>
      <c r="I47" s="45"/>
      <c r="J47" s="133"/>
      <c r="K47" s="47"/>
      <c r="L47" s="48"/>
      <c r="M47" s="48"/>
      <c r="N47" s="48"/>
    </row>
    <row r="48" spans="3:14" x14ac:dyDescent="0.25">
      <c r="C48" s="41"/>
      <c r="D48" s="42" t="s">
        <v>158</v>
      </c>
      <c r="E48" s="38" t="s">
        <v>114</v>
      </c>
      <c r="F48" s="43">
        <v>462</v>
      </c>
      <c r="G48" s="43">
        <v>83.81</v>
      </c>
      <c r="H48" s="43">
        <v>38720.22</v>
      </c>
      <c r="I48" s="45"/>
      <c r="J48" s="133"/>
      <c r="K48" s="47"/>
      <c r="L48" s="48"/>
      <c r="M48" s="48"/>
      <c r="N48" s="48"/>
    </row>
    <row r="49" spans="3:14" x14ac:dyDescent="0.25">
      <c r="C49" s="41"/>
      <c r="D49" s="42" t="s">
        <v>158</v>
      </c>
      <c r="E49" s="38" t="s">
        <v>114</v>
      </c>
      <c r="F49" s="43">
        <v>15.4</v>
      </c>
      <c r="G49" s="43">
        <v>83.81</v>
      </c>
      <c r="H49" s="43">
        <v>1290.674</v>
      </c>
      <c r="I49" s="45"/>
      <c r="J49" s="133"/>
      <c r="K49" s="47"/>
      <c r="L49" s="48"/>
      <c r="M49" s="48"/>
      <c r="N49" s="48"/>
    </row>
    <row r="50" spans="3:14" x14ac:dyDescent="0.25">
      <c r="C50" s="41"/>
      <c r="D50" s="42"/>
      <c r="E50" s="38"/>
      <c r="F50" s="43"/>
      <c r="G50" s="43"/>
      <c r="H50" s="43"/>
      <c r="I50" s="45"/>
      <c r="J50" s="133"/>
      <c r="K50" s="47"/>
      <c r="L50" s="48"/>
      <c r="M50" s="48"/>
      <c r="N50" s="48"/>
    </row>
    <row r="51" spans="3:14" s="125" customFormat="1" ht="18" x14ac:dyDescent="0.25">
      <c r="C51" s="126" t="s">
        <v>334</v>
      </c>
      <c r="D51" s="127" t="str">
        <f>D52</f>
        <v>Самонаріз 4,8*19 6005 (зелений)</v>
      </c>
      <c r="E51" s="128" t="str">
        <f>E52</f>
        <v>шт.</v>
      </c>
      <c r="F51" s="129">
        <f>SUM(F52:F54)</f>
        <v>7824</v>
      </c>
      <c r="G51" s="130"/>
      <c r="H51" s="130"/>
      <c r="I51" s="130"/>
      <c r="J51" s="131"/>
    </row>
    <row r="52" spans="3:14" x14ac:dyDescent="0.25">
      <c r="C52" s="41"/>
      <c r="D52" s="42" t="s">
        <v>159</v>
      </c>
      <c r="E52" s="38" t="s">
        <v>64</v>
      </c>
      <c r="F52" s="43">
        <v>2520</v>
      </c>
      <c r="G52" s="43">
        <v>0.58814999999999995</v>
      </c>
      <c r="H52" s="43">
        <v>1482.1379999999999</v>
      </c>
      <c r="I52" s="45"/>
      <c r="J52" s="133"/>
      <c r="K52" s="47"/>
      <c r="L52" s="48"/>
      <c r="M52" s="48"/>
      <c r="N52" s="48"/>
    </row>
    <row r="53" spans="3:14" x14ac:dyDescent="0.25">
      <c r="C53" s="41"/>
      <c r="D53" s="42" t="s">
        <v>159</v>
      </c>
      <c r="E53" s="38" t="s">
        <v>64</v>
      </c>
      <c r="F53" s="43">
        <v>84</v>
      </c>
      <c r="G53" s="43">
        <v>0.58814999999999995</v>
      </c>
      <c r="H53" s="43">
        <v>49.404600000000002</v>
      </c>
      <c r="I53" s="45"/>
      <c r="J53" s="133"/>
      <c r="K53" s="47"/>
      <c r="L53" s="48"/>
      <c r="M53" s="48"/>
      <c r="N53" s="48"/>
    </row>
    <row r="54" spans="3:14" x14ac:dyDescent="0.25">
      <c r="C54" s="41"/>
      <c r="D54" s="42" t="s">
        <v>159</v>
      </c>
      <c r="E54" s="38" t="s">
        <v>64</v>
      </c>
      <c r="F54" s="43">
        <v>5220</v>
      </c>
      <c r="G54" s="43">
        <v>0.58814999999999995</v>
      </c>
      <c r="H54" s="43">
        <v>3070.143</v>
      </c>
      <c r="I54" s="45"/>
      <c r="J54" s="133"/>
      <c r="K54" s="47"/>
      <c r="L54" s="48"/>
      <c r="M54" s="48"/>
      <c r="N54" s="48"/>
    </row>
    <row r="55" spans="3:14" x14ac:dyDescent="0.25">
      <c r="C55" s="41"/>
      <c r="D55" s="42"/>
      <c r="E55" s="38"/>
      <c r="F55" s="43"/>
      <c r="G55" s="43"/>
      <c r="H55" s="43"/>
      <c r="I55" s="45"/>
      <c r="J55" s="133"/>
      <c r="K55" s="47"/>
      <c r="L55" s="48"/>
      <c r="M55" s="48"/>
      <c r="N55" s="48"/>
    </row>
    <row r="56" spans="3:14" s="125" customFormat="1" ht="18" x14ac:dyDescent="0.25">
      <c r="C56" s="126" t="s">
        <v>334</v>
      </c>
      <c r="D56" s="127" t="str">
        <f>D57</f>
        <v>Петля 28 приварна</v>
      </c>
      <c r="E56" s="128" t="str">
        <f>E57</f>
        <v>компл.</v>
      </c>
      <c r="F56" s="129">
        <f>SUM(F57:F58)</f>
        <v>6</v>
      </c>
      <c r="G56" s="130"/>
      <c r="H56" s="130"/>
      <c r="I56" s="130"/>
      <c r="J56" s="131"/>
    </row>
    <row r="57" spans="3:14" ht="14.25" customHeight="1" x14ac:dyDescent="0.25">
      <c r="C57" s="41"/>
      <c r="D57" s="42" t="s">
        <v>160</v>
      </c>
      <c r="E57" s="38" t="s">
        <v>161</v>
      </c>
      <c r="F57" s="43">
        <v>3</v>
      </c>
      <c r="G57" s="43">
        <v>57.75</v>
      </c>
      <c r="H57" s="43">
        <v>173.25</v>
      </c>
      <c r="I57" s="45"/>
      <c r="J57" s="133"/>
      <c r="K57" s="47"/>
      <c r="L57" s="48"/>
      <c r="M57" s="48"/>
      <c r="N57" s="48"/>
    </row>
    <row r="58" spans="3:14" x14ac:dyDescent="0.25">
      <c r="C58" s="41"/>
      <c r="D58" s="42" t="s">
        <v>160</v>
      </c>
      <c r="E58" s="38" t="s">
        <v>212</v>
      </c>
      <c r="F58" s="43">
        <v>3</v>
      </c>
      <c r="G58" s="43">
        <v>57.75</v>
      </c>
      <c r="H58" s="43">
        <v>173.25</v>
      </c>
      <c r="I58" s="45"/>
      <c r="J58" s="133"/>
      <c r="K58" s="47"/>
      <c r="L58" s="48"/>
      <c r="M58" s="48"/>
      <c r="N58" s="48"/>
    </row>
    <row r="59" spans="3:14" ht="14.25" customHeight="1" x14ac:dyDescent="0.25">
      <c r="C59" s="41"/>
      <c r="D59" s="42"/>
      <c r="E59" s="38"/>
      <c r="F59" s="43"/>
      <c r="G59" s="43"/>
      <c r="H59" s="43"/>
      <c r="I59" s="45"/>
      <c r="J59" s="133"/>
      <c r="K59" s="47"/>
      <c r="L59" s="48"/>
      <c r="M59" s="48"/>
      <c r="N59" s="48"/>
    </row>
    <row r="60" spans="3:14" s="125" customFormat="1" ht="18" x14ac:dyDescent="0.25">
      <c r="C60" s="126" t="s">
        <v>334</v>
      </c>
      <c r="D60" s="127" t="str">
        <f>D61</f>
        <v>Замок врізний Мотор Січ 3В4-3, 111-6 чорний</v>
      </c>
      <c r="E60" s="128" t="str">
        <f>E61</f>
        <v>шт.</v>
      </c>
      <c r="F60" s="129">
        <f>SUM(F61:F62)</f>
        <v>2</v>
      </c>
      <c r="G60" s="130"/>
      <c r="H60" s="130"/>
      <c r="I60" s="130"/>
      <c r="J60" s="131"/>
    </row>
    <row r="61" spans="3:14" x14ac:dyDescent="0.25">
      <c r="C61" s="41"/>
      <c r="D61" s="42" t="s">
        <v>162</v>
      </c>
      <c r="E61" s="38" t="s">
        <v>64</v>
      </c>
      <c r="F61" s="43">
        <v>1</v>
      </c>
      <c r="G61" s="43">
        <v>243.72</v>
      </c>
      <c r="H61" s="43">
        <v>243.72</v>
      </c>
      <c r="I61" s="45"/>
      <c r="J61" s="133"/>
      <c r="K61" s="47"/>
      <c r="L61" s="48"/>
      <c r="M61" s="48"/>
      <c r="N61" s="48"/>
    </row>
    <row r="62" spans="3:14" x14ac:dyDescent="0.25">
      <c r="C62" s="41"/>
      <c r="D62" s="42" t="s">
        <v>162</v>
      </c>
      <c r="E62" s="38" t="s">
        <v>64</v>
      </c>
      <c r="F62" s="43">
        <v>1</v>
      </c>
      <c r="G62" s="43">
        <v>243.72</v>
      </c>
      <c r="H62" s="43">
        <v>243.72</v>
      </c>
      <c r="I62" s="45"/>
      <c r="J62" s="133"/>
      <c r="K62" s="47"/>
      <c r="L62" s="50"/>
      <c r="M62" s="48"/>
      <c r="N62" s="48"/>
    </row>
    <row r="63" spans="3:14" x14ac:dyDescent="0.25">
      <c r="C63" s="41"/>
      <c r="D63" s="42"/>
      <c r="E63" s="38"/>
      <c r="F63" s="43"/>
      <c r="G63" s="43"/>
      <c r="H63" s="43"/>
      <c r="I63" s="45"/>
      <c r="J63" s="133"/>
      <c r="K63" s="47"/>
      <c r="L63" s="48"/>
      <c r="M63" s="48"/>
      <c r="N63" s="48"/>
    </row>
    <row r="64" spans="3:14" s="125" customFormat="1" ht="18" x14ac:dyDescent="0.25">
      <c r="C64" s="126" t="s">
        <v>334</v>
      </c>
      <c r="D64" s="127" t="str">
        <f>D65</f>
        <v>Секрет 60 к/к</v>
      </c>
      <c r="E64" s="128" t="str">
        <f>E65</f>
        <v>шт.</v>
      </c>
      <c r="F64" s="129">
        <f>SUM(F65:F66)</f>
        <v>2</v>
      </c>
      <c r="G64" s="130"/>
      <c r="H64" s="130"/>
      <c r="I64" s="130"/>
      <c r="J64" s="131"/>
    </row>
    <row r="65" spans="3:14" x14ac:dyDescent="0.25">
      <c r="C65" s="41"/>
      <c r="D65" s="42" t="s">
        <v>163</v>
      </c>
      <c r="E65" s="38" t="s">
        <v>64</v>
      </c>
      <c r="F65" s="43">
        <v>1</v>
      </c>
      <c r="G65" s="43">
        <v>102.57</v>
      </c>
      <c r="H65" s="43">
        <v>102.57</v>
      </c>
      <c r="I65" s="45"/>
      <c r="J65" s="133"/>
      <c r="K65" s="47"/>
      <c r="L65" s="48"/>
      <c r="M65" s="48"/>
      <c r="N65" s="48"/>
    </row>
    <row r="66" spans="3:14" x14ac:dyDescent="0.25">
      <c r="C66" s="41"/>
      <c r="D66" s="42" t="s">
        <v>163</v>
      </c>
      <c r="E66" s="38" t="s">
        <v>64</v>
      </c>
      <c r="F66" s="43">
        <v>1</v>
      </c>
      <c r="G66" s="43">
        <v>102.57</v>
      </c>
      <c r="H66" s="43">
        <v>102.57</v>
      </c>
      <c r="I66" s="45"/>
      <c r="J66" s="133"/>
      <c r="K66" s="47"/>
      <c r="L66" s="50"/>
      <c r="M66" s="48"/>
      <c r="N66" s="48"/>
    </row>
    <row r="67" spans="3:14" x14ac:dyDescent="0.25">
      <c r="C67" s="134"/>
      <c r="D67" s="135"/>
      <c r="E67" s="136"/>
      <c r="F67" s="137"/>
      <c r="G67" s="137"/>
      <c r="H67" s="137"/>
      <c r="I67" s="138"/>
      <c r="J67" s="139"/>
      <c r="K67" s="47"/>
      <c r="L67" s="140"/>
      <c r="M67" s="47"/>
      <c r="N67" s="47"/>
    </row>
    <row r="68" spans="3:14" s="125" customFormat="1" ht="18" x14ac:dyDescent="0.25">
      <c r="C68" s="126" t="s">
        <v>334</v>
      </c>
      <c r="D68" s="127" t="str">
        <f>D69</f>
        <v>Труба ПР 40х20х2,0 (6м) з урахуванням доставки та порізки по 2,5 м</v>
      </c>
      <c r="E68" s="128" t="str">
        <f>E69</f>
        <v>м/п</v>
      </c>
      <c r="F68" s="129">
        <f>SUM(F69)</f>
        <v>580.54999999999995</v>
      </c>
      <c r="G68" s="130"/>
      <c r="H68" s="130"/>
      <c r="I68" s="130"/>
      <c r="J68" s="131"/>
    </row>
    <row r="69" spans="3:14" x14ac:dyDescent="0.25">
      <c r="C69" s="41"/>
      <c r="D69" s="42" t="s">
        <v>151</v>
      </c>
      <c r="E69" s="38" t="s">
        <v>38</v>
      </c>
      <c r="F69" s="43">
        <v>580.54999999999995</v>
      </c>
      <c r="G69" s="43">
        <v>30.824983974359</v>
      </c>
      <c r="H69" s="43">
        <v>17895.444446314101</v>
      </c>
      <c r="I69" s="45"/>
      <c r="J69" s="133"/>
      <c r="K69" s="47"/>
      <c r="L69" s="48"/>
      <c r="M69" s="48"/>
      <c r="N69" s="48"/>
    </row>
    <row r="70" spans="3:14" x14ac:dyDescent="0.25">
      <c r="C70" s="41"/>
      <c r="D70" s="42"/>
      <c r="E70" s="38"/>
      <c r="F70" s="43"/>
      <c r="G70" s="43"/>
      <c r="H70" s="43"/>
      <c r="I70" s="45"/>
      <c r="J70" s="133"/>
      <c r="K70" s="47"/>
      <c r="L70" s="48"/>
      <c r="M70" s="48"/>
      <c r="N70" s="48"/>
    </row>
    <row r="71" spans="3:14" s="125" customFormat="1" ht="18" x14ac:dyDescent="0.25">
      <c r="C71" s="126" t="s">
        <v>334</v>
      </c>
      <c r="D71" s="127" t="str">
        <f>D72</f>
        <v>Бензин</v>
      </c>
      <c r="E71" s="128" t="str">
        <f>E72</f>
        <v>л</v>
      </c>
      <c r="F71" s="129">
        <f>SUM(F72)</f>
        <v>900</v>
      </c>
      <c r="G71" s="130"/>
      <c r="H71" s="130"/>
      <c r="I71" s="130"/>
      <c r="J71" s="131"/>
    </row>
    <row r="72" spans="3:14" x14ac:dyDescent="0.25">
      <c r="C72" s="41"/>
      <c r="D72" s="42" t="s">
        <v>191</v>
      </c>
      <c r="E72" s="38" t="s">
        <v>98</v>
      </c>
      <c r="F72" s="43">
        <v>900</v>
      </c>
      <c r="G72" s="43">
        <v>21.89</v>
      </c>
      <c r="H72" s="43">
        <v>19701</v>
      </c>
      <c r="I72" s="45"/>
      <c r="J72" s="133">
        <v>19701</v>
      </c>
      <c r="K72" s="47"/>
      <c r="L72" s="48"/>
      <c r="M72" s="48"/>
      <c r="N72" s="48"/>
    </row>
    <row r="73" spans="3:14" x14ac:dyDescent="0.25">
      <c r="C73" s="41"/>
      <c r="D73" s="42"/>
      <c r="E73" s="38"/>
      <c r="F73" s="43"/>
      <c r="G73" s="43"/>
      <c r="H73" s="43"/>
      <c r="I73" s="45"/>
      <c r="J73" s="133"/>
      <c r="K73" s="47"/>
      <c r="L73" s="48"/>
      <c r="M73" s="48"/>
      <c r="N73" s="48"/>
    </row>
    <row r="74" spans="3:14" s="125" customFormat="1" ht="18" x14ac:dyDescent="0.25">
      <c r="C74" s="126" t="s">
        <v>334</v>
      </c>
      <c r="D74" s="127" t="str">
        <f>D75</f>
        <v>Щебінь фр.20-40 мм</v>
      </c>
      <c r="E74" s="128" t="str">
        <f>E75</f>
        <v>т</v>
      </c>
      <c r="F74" s="129">
        <f>SUM(F75:F77)</f>
        <v>264.88881499999997</v>
      </c>
      <c r="G74" s="130"/>
      <c r="H74" s="130"/>
      <c r="I74" s="130"/>
      <c r="J74" s="131"/>
    </row>
    <row r="75" spans="3:14" x14ac:dyDescent="0.25">
      <c r="C75" s="41"/>
      <c r="D75" s="42" t="s">
        <v>26</v>
      </c>
      <c r="E75" s="38" t="s">
        <v>27</v>
      </c>
      <c r="F75" s="43">
        <v>83.280929999999998</v>
      </c>
      <c r="G75" s="43">
        <v>180</v>
      </c>
      <c r="H75" s="43">
        <v>14990.5674</v>
      </c>
      <c r="I75" s="45"/>
      <c r="J75" s="46"/>
      <c r="K75" s="47"/>
      <c r="L75" s="48"/>
      <c r="M75" s="48"/>
      <c r="N75" s="48"/>
    </row>
    <row r="76" spans="3:14" x14ac:dyDescent="0.25">
      <c r="C76" s="41"/>
      <c r="D76" s="42" t="s">
        <v>26</v>
      </c>
      <c r="E76" s="38" t="s">
        <v>27</v>
      </c>
      <c r="F76" s="51">
        <v>75.623999999999995</v>
      </c>
      <c r="G76" s="43">
        <v>180</v>
      </c>
      <c r="H76" s="43">
        <v>13612.32</v>
      </c>
      <c r="I76" s="45"/>
      <c r="J76" s="46"/>
      <c r="K76" s="47"/>
      <c r="L76" s="48"/>
      <c r="M76" s="48"/>
      <c r="N76" s="48"/>
    </row>
    <row r="77" spans="3:14" x14ac:dyDescent="0.25">
      <c r="C77" s="41"/>
      <c r="D77" s="42" t="s">
        <v>26</v>
      </c>
      <c r="E77" s="38" t="s">
        <v>27</v>
      </c>
      <c r="F77" s="43">
        <v>105.983885</v>
      </c>
      <c r="G77" s="43">
        <v>180</v>
      </c>
      <c r="H77" s="43">
        <v>19077.099300000002</v>
      </c>
      <c r="I77" s="45"/>
      <c r="J77" s="46"/>
      <c r="K77" s="47"/>
      <c r="L77" s="48"/>
      <c r="M77" s="48"/>
      <c r="N77" s="48"/>
    </row>
    <row r="78" spans="3:14" x14ac:dyDescent="0.25">
      <c r="C78" s="41"/>
      <c r="D78" s="42"/>
      <c r="E78" s="38"/>
      <c r="F78" s="43"/>
      <c r="G78" s="43"/>
      <c r="H78" s="43"/>
      <c r="I78" s="45"/>
      <c r="J78" s="133"/>
      <c r="K78" s="47"/>
      <c r="L78" s="48"/>
      <c r="M78" s="48"/>
      <c r="N78" s="48"/>
    </row>
    <row r="79" spans="3:14" s="125" customFormat="1" ht="18" x14ac:dyDescent="0.25">
      <c r="C79" s="126" t="s">
        <v>334</v>
      </c>
      <c r="D79" s="127" t="str">
        <f>D80</f>
        <v>Пісок</v>
      </c>
      <c r="E79" s="128" t="str">
        <f>E80</f>
        <v>т</v>
      </c>
      <c r="F79" s="129">
        <f>SUM(F80:F81)</f>
        <v>1898.9294500000001</v>
      </c>
      <c r="G79" s="130"/>
      <c r="H79" s="130"/>
      <c r="I79" s="130"/>
      <c r="J79" s="131"/>
    </row>
    <row r="80" spans="3:14" x14ac:dyDescent="0.25">
      <c r="C80" s="41"/>
      <c r="D80" s="42" t="s">
        <v>30</v>
      </c>
      <c r="E80" s="38" t="s">
        <v>27</v>
      </c>
      <c r="F80" s="43">
        <v>1203.6475</v>
      </c>
      <c r="G80" s="43">
        <v>90</v>
      </c>
      <c r="H80" s="43">
        <v>108328.27499999999</v>
      </c>
      <c r="I80" s="45"/>
      <c r="J80" s="46"/>
      <c r="K80" s="47"/>
      <c r="L80" s="48"/>
      <c r="M80" s="48"/>
      <c r="N80" s="48"/>
    </row>
    <row r="81" spans="3:14" x14ac:dyDescent="0.25">
      <c r="C81" s="41"/>
      <c r="D81" s="42" t="s">
        <v>30</v>
      </c>
      <c r="E81" s="38" t="s">
        <v>27</v>
      </c>
      <c r="F81" s="43">
        <v>695.28195000000005</v>
      </c>
      <c r="G81" s="43">
        <v>90</v>
      </c>
      <c r="H81" s="43">
        <v>62575.375500000002</v>
      </c>
      <c r="I81" s="45"/>
      <c r="J81" s="46"/>
      <c r="K81" s="47"/>
      <c r="L81" s="48"/>
      <c r="M81" s="48"/>
      <c r="N81" s="48"/>
    </row>
    <row r="82" spans="3:14" x14ac:dyDescent="0.25">
      <c r="C82" s="41"/>
      <c r="D82" s="42"/>
      <c r="E82" s="38"/>
      <c r="F82" s="43"/>
      <c r="G82" s="43"/>
      <c r="H82" s="43"/>
      <c r="I82" s="45"/>
      <c r="J82" s="133"/>
      <c r="K82" s="47"/>
      <c r="L82" s="48"/>
      <c r="M82" s="48"/>
      <c r="N82" s="48"/>
    </row>
    <row r="83" spans="3:14" s="125" customFormat="1" ht="18" x14ac:dyDescent="0.25">
      <c r="C83" s="126" t="s">
        <v>334</v>
      </c>
      <c r="D83" s="127" t="str">
        <f>D84</f>
        <v>Гідроізоляційна шпонка ВД 320</v>
      </c>
      <c r="E83" s="128" t="str">
        <f>E84</f>
        <v>бухта</v>
      </c>
      <c r="F83" s="129">
        <f>SUM(F84)</f>
        <v>1</v>
      </c>
      <c r="G83" s="130"/>
      <c r="H83" s="130"/>
      <c r="I83" s="130"/>
      <c r="J83" s="131"/>
    </row>
    <row r="84" spans="3:14" x14ac:dyDescent="0.25">
      <c r="C84" s="41"/>
      <c r="D84" s="42" t="s">
        <v>39</v>
      </c>
      <c r="E84" s="38" t="s">
        <v>40</v>
      </c>
      <c r="F84" s="43">
        <v>1</v>
      </c>
      <c r="G84" s="43">
        <v>8269.5</v>
      </c>
      <c r="H84" s="43">
        <v>8269.5</v>
      </c>
      <c r="I84" s="45"/>
      <c r="J84" s="46"/>
      <c r="K84" s="47"/>
      <c r="L84" s="48"/>
      <c r="M84" s="48"/>
      <c r="N84" s="48"/>
    </row>
    <row r="85" spans="3:14" x14ac:dyDescent="0.25">
      <c r="C85" s="41"/>
      <c r="D85" s="42"/>
      <c r="E85" s="38"/>
      <c r="F85" s="43"/>
      <c r="G85" s="43"/>
      <c r="H85" s="43"/>
      <c r="I85" s="45"/>
      <c r="J85" s="133"/>
      <c r="K85" s="47"/>
      <c r="L85" s="48"/>
      <c r="M85" s="48"/>
      <c r="N85" s="48"/>
    </row>
    <row r="86" spans="3:14" s="125" customFormat="1" ht="54" x14ac:dyDescent="0.25">
      <c r="C86" s="126" t="s">
        <v>334</v>
      </c>
      <c r="D86" s="127" t="str">
        <f>D87</f>
        <v>Труба ПР 40х20х2,0 (6м) з урахуванням доставки та порізки по 2,5 м
МАТЕРІАЛ ВІД ДЕМОНТАЖУ ПАРКАНУ БУДИНКУ №1
(260м2 /3м(пролет)х2шт.)</v>
      </c>
      <c r="E86" s="128" t="str">
        <f>E87</f>
        <v>м/п</v>
      </c>
      <c r="F86" s="129">
        <f>SUM(F87)</f>
        <v>247.45</v>
      </c>
      <c r="G86" s="130"/>
      <c r="H86" s="130"/>
      <c r="I86" s="130"/>
      <c r="J86" s="131"/>
    </row>
    <row r="87" spans="3:14" ht="47.25" x14ac:dyDescent="0.25">
      <c r="C87" s="41"/>
      <c r="D87" s="42" t="s">
        <v>337</v>
      </c>
      <c r="E87" s="141" t="s">
        <v>38</v>
      </c>
      <c r="F87" s="142">
        <v>247.45</v>
      </c>
      <c r="G87" s="142">
        <v>0</v>
      </c>
      <c r="H87" s="142">
        <v>0</v>
      </c>
      <c r="I87" s="45"/>
      <c r="J87" s="133"/>
      <c r="K87" s="47"/>
      <c r="L87" s="48"/>
      <c r="M87" s="48"/>
      <c r="N87" s="48"/>
    </row>
    <row r="88" spans="3:14" s="39" customFormat="1" ht="32.25" customHeight="1" x14ac:dyDescent="0.25">
      <c r="C88" s="33"/>
      <c r="D88" s="34"/>
      <c r="E88" s="35"/>
      <c r="F88" s="36"/>
      <c r="G88" s="36"/>
      <c r="H88" s="36"/>
      <c r="I88" s="36"/>
      <c r="J88" s="74"/>
      <c r="L88" s="50"/>
      <c r="M88" s="40"/>
      <c r="N88" s="40"/>
    </row>
    <row r="89" spans="3:14" s="125" customFormat="1" ht="36" x14ac:dyDescent="0.25">
      <c r="C89" s="126" t="s">
        <v>334</v>
      </c>
      <c r="D89" s="127" t="str">
        <f>D90</f>
        <v>Дроблений бетон після розбору корівників 
(ціна тільки за перевезення з розбору корівників)</v>
      </c>
      <c r="E89" s="128" t="str">
        <f>E90</f>
        <v>м3</v>
      </c>
      <c r="F89" s="129">
        <f>SUM(F90:F91)</f>
        <v>501.8</v>
      </c>
      <c r="G89" s="130"/>
      <c r="H89" s="130"/>
      <c r="I89" s="130"/>
      <c r="J89" s="131"/>
    </row>
    <row r="90" spans="3:14" ht="31.5" x14ac:dyDescent="0.25">
      <c r="C90" s="41"/>
      <c r="D90" s="42" t="s">
        <v>338</v>
      </c>
      <c r="E90" s="38" t="s">
        <v>19</v>
      </c>
      <c r="F90" s="43">
        <v>20</v>
      </c>
      <c r="G90" s="43">
        <v>35</v>
      </c>
      <c r="H90" s="43">
        <v>700</v>
      </c>
      <c r="I90" s="45"/>
      <c r="J90" s="133"/>
      <c r="K90" s="47"/>
      <c r="L90" s="88"/>
      <c r="M90" s="48"/>
      <c r="N90" s="48"/>
    </row>
    <row r="91" spans="3:14" ht="31.5" x14ac:dyDescent="0.25">
      <c r="C91" s="41"/>
      <c r="D91" s="42" t="s">
        <v>339</v>
      </c>
      <c r="E91" s="38" t="s">
        <v>19</v>
      </c>
      <c r="F91" s="43">
        <v>481.8</v>
      </c>
      <c r="G91" s="43">
        <v>35</v>
      </c>
      <c r="H91" s="43">
        <v>16863</v>
      </c>
      <c r="I91" s="45"/>
      <c r="J91" s="133"/>
      <c r="K91" s="47"/>
      <c r="L91" s="48"/>
      <c r="M91" s="48"/>
      <c r="N91" s="48"/>
    </row>
    <row r="92" spans="3:14" s="39" customFormat="1" ht="15.75" x14ac:dyDescent="0.25">
      <c r="C92" s="33"/>
      <c r="D92" s="34"/>
      <c r="E92" s="35"/>
      <c r="F92" s="36"/>
      <c r="G92" s="36"/>
      <c r="H92" s="36"/>
      <c r="I92" s="36"/>
      <c r="J92" s="74"/>
      <c r="L92" s="40"/>
      <c r="M92" s="40"/>
      <c r="N92" s="40"/>
    </row>
    <row r="93" spans="3:14" s="125" customFormat="1" ht="54" x14ac:dyDescent="0.25">
      <c r="C93" s="126" t="s">
        <v>334</v>
      </c>
      <c r="D93" s="127" t="str">
        <f>D94</f>
        <v>Труба ПР 50х25х2,0 (6м) з урахуванням доставки та порізки по 2,5 м
МАТЕРІАЛ ВІД ДЕМОНТАЖУ ПАРКАНУ БУДИНКУ №1
(260м2 /3м(пролет)х1,9м(высота))+2 стойки</v>
      </c>
      <c r="E93" s="128" t="str">
        <f>E94</f>
        <v>м/п</v>
      </c>
      <c r="F93" s="129">
        <f>SUM(F94)</f>
        <v>126.41</v>
      </c>
      <c r="G93" s="130"/>
      <c r="H93" s="130"/>
      <c r="I93" s="130"/>
      <c r="J93" s="131"/>
    </row>
    <row r="94" spans="3:14" ht="47.25" x14ac:dyDescent="0.25">
      <c r="C94" s="41"/>
      <c r="D94" s="42" t="s">
        <v>340</v>
      </c>
      <c r="E94" s="141" t="s">
        <v>38</v>
      </c>
      <c r="F94" s="142">
        <v>126.41</v>
      </c>
      <c r="G94" s="142">
        <v>0</v>
      </c>
      <c r="H94" s="142">
        <v>0</v>
      </c>
      <c r="I94" s="45"/>
      <c r="J94" s="133"/>
      <c r="K94" s="47"/>
      <c r="L94" s="48"/>
      <c r="M94" s="48"/>
      <c r="N94" s="48"/>
    </row>
    <row r="95" spans="3:14" s="39" customFormat="1" ht="15.75" x14ac:dyDescent="0.25">
      <c r="C95" s="33"/>
      <c r="D95" s="34"/>
      <c r="E95" s="35"/>
      <c r="F95" s="36"/>
      <c r="G95" s="36"/>
      <c r="H95" s="36"/>
      <c r="I95" s="36"/>
      <c r="J95" s="74"/>
      <c r="L95" s="40"/>
      <c r="M95" s="40"/>
      <c r="N95" s="40"/>
    </row>
    <row r="96" spans="3:14" s="125" customFormat="1" ht="36" x14ac:dyDescent="0.25">
      <c r="C96" s="126" t="s">
        <v>334</v>
      </c>
      <c r="D96" s="127" t="str">
        <f>D97</f>
        <v>Лист гофрований 9-хв. (2 м) RAL6005
МАТЕРІАЛ ВІД ДЕМОНТАЖУ ПАРКАНУ БУДИНКУ №1</v>
      </c>
      <c r="E96" s="128" t="str">
        <f>E97</f>
        <v>м2</v>
      </c>
      <c r="F96" s="129">
        <f>SUM(F97)</f>
        <v>260</v>
      </c>
      <c r="G96" s="130"/>
      <c r="H96" s="130"/>
      <c r="I96" s="130"/>
      <c r="J96" s="131"/>
    </row>
    <row r="97" spans="3:14" ht="31.5" x14ac:dyDescent="0.25">
      <c r="C97" s="41"/>
      <c r="D97" s="42" t="s">
        <v>341</v>
      </c>
      <c r="E97" s="141" t="s">
        <v>114</v>
      </c>
      <c r="F97" s="142">
        <v>260</v>
      </c>
      <c r="G97" s="142">
        <v>0</v>
      </c>
      <c r="H97" s="142">
        <v>0</v>
      </c>
      <c r="I97" s="45"/>
      <c r="J97" s="133"/>
      <c r="K97" s="47"/>
      <c r="L97" s="48"/>
      <c r="M97" s="48"/>
      <c r="N97" s="48"/>
    </row>
    <row r="99" spans="3:14" s="125" customFormat="1" ht="18" x14ac:dyDescent="0.25">
      <c r="C99" s="126" t="s">
        <v>334</v>
      </c>
      <c r="D99" s="127" t="str">
        <f>D100</f>
        <v>Пінополістирол екструдований Г-1</v>
      </c>
      <c r="E99" s="128" t="str">
        <f>E100</f>
        <v>м3</v>
      </c>
      <c r="F99" s="129">
        <f>SUM(F100)</f>
        <v>0.16</v>
      </c>
      <c r="G99" s="130"/>
      <c r="H99" s="130"/>
      <c r="I99" s="130"/>
      <c r="J99" s="131"/>
    </row>
    <row r="100" spans="3:14" x14ac:dyDescent="0.25">
      <c r="C100" s="41"/>
      <c r="D100" s="42" t="s">
        <v>43</v>
      </c>
      <c r="E100" s="38" t="s">
        <v>19</v>
      </c>
      <c r="F100" s="43">
        <v>0.16</v>
      </c>
      <c r="G100" s="43">
        <v>1448.57</v>
      </c>
      <c r="H100" s="43">
        <v>231.77119999999999</v>
      </c>
      <c r="I100" s="45"/>
      <c r="J100" s="46"/>
      <c r="K100" s="47"/>
      <c r="L100" s="48"/>
      <c r="M100" s="48"/>
      <c r="N100" s="48"/>
    </row>
    <row r="101" spans="3:14" x14ac:dyDescent="0.25">
      <c r="C101" s="41"/>
      <c r="D101" s="42"/>
      <c r="E101" s="38"/>
      <c r="F101" s="43"/>
      <c r="G101" s="43"/>
      <c r="H101" s="43"/>
      <c r="I101" s="45"/>
      <c r="J101" s="46"/>
      <c r="K101" s="47"/>
      <c r="L101" s="48"/>
      <c r="M101" s="48"/>
      <c r="N101" s="48"/>
    </row>
    <row r="102" spans="3:14" s="125" customFormat="1" ht="18" x14ac:dyDescent="0.25">
      <c r="C102" s="126" t="s">
        <v>334</v>
      </c>
      <c r="D102" s="127" t="str">
        <f>D103</f>
        <v xml:space="preserve"> Джгут 40 мм</v>
      </c>
      <c r="E102" s="128" t="str">
        <f>E103</f>
        <v>м/п</v>
      </c>
      <c r="F102" s="129">
        <f>SUM(F103)</f>
        <v>16.649999999999999</v>
      </c>
      <c r="G102" s="130"/>
      <c r="H102" s="130"/>
      <c r="I102" s="130"/>
      <c r="J102" s="131"/>
    </row>
    <row r="103" spans="3:14" x14ac:dyDescent="0.25">
      <c r="C103" s="41"/>
      <c r="D103" s="42" t="s">
        <v>44</v>
      </c>
      <c r="E103" s="38" t="s">
        <v>38</v>
      </c>
      <c r="F103" s="43">
        <v>16.649999999999999</v>
      </c>
      <c r="G103" s="43">
        <v>4.8600000000000003</v>
      </c>
      <c r="H103" s="43">
        <v>80.918999999999997</v>
      </c>
      <c r="I103" s="45"/>
      <c r="J103" s="46"/>
      <c r="K103" s="47"/>
      <c r="L103" s="48"/>
      <c r="M103" s="48"/>
      <c r="N103" s="48"/>
    </row>
    <row r="104" spans="3:14" x14ac:dyDescent="0.25">
      <c r="C104" s="41"/>
      <c r="D104" s="42"/>
      <c r="E104" s="38"/>
      <c r="F104" s="43"/>
      <c r="G104" s="43"/>
      <c r="H104" s="43"/>
      <c r="I104" s="45"/>
      <c r="J104" s="46"/>
      <c r="K104" s="47"/>
      <c r="L104" s="48"/>
      <c r="M104" s="48"/>
      <c r="N104" s="48"/>
    </row>
    <row r="105" spans="3:14" s="125" customFormat="1" ht="18" x14ac:dyDescent="0.25">
      <c r="C105" s="126" t="s">
        <v>334</v>
      </c>
      <c r="D105" s="127" t="str">
        <f>D106</f>
        <v>Оксипласт, поліуретановий герметик (відро 12 кг)</v>
      </c>
      <c r="E105" s="128" t="str">
        <f>E106</f>
        <v>відро</v>
      </c>
      <c r="F105" s="129">
        <f>SUM(F106)</f>
        <v>10</v>
      </c>
      <c r="G105" s="130"/>
      <c r="H105" s="130"/>
      <c r="I105" s="130"/>
      <c r="J105" s="131"/>
    </row>
    <row r="106" spans="3:14" x14ac:dyDescent="0.25">
      <c r="C106" s="41"/>
      <c r="D106" s="42" t="s">
        <v>45</v>
      </c>
      <c r="E106" s="38" t="s">
        <v>46</v>
      </c>
      <c r="F106" s="43">
        <v>10</v>
      </c>
      <c r="G106" s="43">
        <v>959.76</v>
      </c>
      <c r="H106" s="43">
        <v>9597.6</v>
      </c>
      <c r="I106" s="45"/>
      <c r="J106" s="46"/>
      <c r="K106" s="47"/>
      <c r="L106" s="48"/>
      <c r="M106" s="48"/>
      <c r="N106" s="48"/>
    </row>
    <row r="107" spans="3:14" x14ac:dyDescent="0.25">
      <c r="C107" s="41"/>
      <c r="D107" s="42"/>
      <c r="E107" s="38"/>
      <c r="F107" s="43"/>
      <c r="G107" s="43"/>
      <c r="H107" s="43"/>
      <c r="I107" s="45"/>
      <c r="J107" s="46"/>
      <c r="K107" s="47"/>
      <c r="L107" s="48"/>
      <c r="M107" s="48"/>
      <c r="N107" s="48"/>
    </row>
    <row r="108" spans="3:14" s="125" customFormat="1" ht="18" x14ac:dyDescent="0.25">
      <c r="C108" s="126" t="s">
        <v>334</v>
      </c>
      <c r="D108" s="127" t="str">
        <f>D109</f>
        <v>Бетон С20/25  з доставкою на об'єкт</v>
      </c>
      <c r="E108" s="128" t="str">
        <f>E109</f>
        <v>м3</v>
      </c>
      <c r="F108" s="129">
        <f>SUM(F109:F111)</f>
        <v>1246.44</v>
      </c>
      <c r="G108" s="130"/>
      <c r="H108" s="130"/>
      <c r="I108" s="130"/>
      <c r="J108" s="131"/>
    </row>
    <row r="109" spans="3:14" x14ac:dyDescent="0.25">
      <c r="C109" s="41"/>
      <c r="D109" s="42" t="s">
        <v>264</v>
      </c>
      <c r="E109" s="38" t="s">
        <v>89</v>
      </c>
      <c r="F109" s="43">
        <v>367.2</v>
      </c>
      <c r="G109" s="43">
        <v>1001.28</v>
      </c>
      <c r="H109" s="43">
        <v>367670.016</v>
      </c>
      <c r="I109" s="45"/>
      <c r="J109" s="46"/>
      <c r="K109" s="47"/>
      <c r="L109" s="48"/>
      <c r="M109" s="48"/>
      <c r="N109" s="48"/>
    </row>
    <row r="110" spans="3:14" x14ac:dyDescent="0.25">
      <c r="C110" s="41"/>
      <c r="D110" s="42" t="s">
        <v>248</v>
      </c>
      <c r="E110" s="38" t="s">
        <v>35</v>
      </c>
      <c r="F110" s="43">
        <v>512.04</v>
      </c>
      <c r="G110" s="43">
        <v>1001.28</v>
      </c>
      <c r="H110" s="43">
        <v>512695.41119999997</v>
      </c>
      <c r="I110" s="45"/>
      <c r="J110" s="46"/>
      <c r="K110" s="47"/>
      <c r="L110" s="48"/>
      <c r="M110" s="48"/>
      <c r="N110" s="48"/>
    </row>
    <row r="111" spans="3:14" x14ac:dyDescent="0.25">
      <c r="C111" s="41"/>
      <c r="D111" s="42" t="s">
        <v>248</v>
      </c>
      <c r="E111" s="38" t="s">
        <v>89</v>
      </c>
      <c r="F111" s="43">
        <v>367.2</v>
      </c>
      <c r="G111" s="43">
        <v>1001.28</v>
      </c>
      <c r="H111" s="43">
        <v>367670.016</v>
      </c>
      <c r="I111" s="45"/>
      <c r="J111" s="46"/>
      <c r="K111" s="47"/>
      <c r="L111" s="48"/>
      <c r="M111" s="48"/>
      <c r="N111" s="48"/>
    </row>
    <row r="112" spans="3:14" x14ac:dyDescent="0.25">
      <c r="C112" s="41"/>
      <c r="D112" s="42"/>
      <c r="E112" s="38"/>
      <c r="F112" s="43"/>
      <c r="G112" s="43"/>
      <c r="H112" s="43"/>
      <c r="I112" s="45"/>
      <c r="J112" s="46"/>
      <c r="K112" s="47"/>
      <c r="L112" s="48"/>
      <c r="M112" s="48"/>
      <c r="N112" s="48"/>
    </row>
    <row r="113" spans="3:14" s="125" customFormat="1" ht="18" x14ac:dyDescent="0.25">
      <c r="C113" s="126" t="s">
        <v>334</v>
      </c>
      <c r="D113" s="127" t="str">
        <f>D114</f>
        <v>Арматура Ф10 А400С (25Г2С)</v>
      </c>
      <c r="E113" s="128" t="str">
        <f>E114</f>
        <v>т</v>
      </c>
      <c r="F113" s="129">
        <f>SUM(F114:F116)</f>
        <v>2.5662000000000003</v>
      </c>
      <c r="G113" s="130"/>
      <c r="H113" s="130"/>
      <c r="I113" s="130"/>
      <c r="J113" s="131"/>
    </row>
    <row r="114" spans="3:14" x14ac:dyDescent="0.25">
      <c r="C114" s="41"/>
      <c r="D114" s="42" t="s">
        <v>50</v>
      </c>
      <c r="E114" s="38" t="s">
        <v>27</v>
      </c>
      <c r="F114" s="51">
        <v>1.008</v>
      </c>
      <c r="G114" s="43">
        <v>11450.004000000001</v>
      </c>
      <c r="H114" s="43">
        <v>11541.604031999999</v>
      </c>
      <c r="I114" s="45"/>
      <c r="J114" s="46"/>
      <c r="K114" s="47"/>
      <c r="L114" s="48"/>
      <c r="M114" s="48"/>
      <c r="N114" s="48"/>
    </row>
    <row r="115" spans="3:14" x14ac:dyDescent="0.25">
      <c r="C115" s="41"/>
      <c r="D115" s="42" t="s">
        <v>50</v>
      </c>
      <c r="E115" s="38" t="s">
        <v>27</v>
      </c>
      <c r="F115" s="51">
        <v>0.77910000000000001</v>
      </c>
      <c r="G115" s="43">
        <v>11450.004000000001</v>
      </c>
      <c r="H115" s="43">
        <v>8920.6981164000008</v>
      </c>
      <c r="I115" s="45"/>
      <c r="J115" s="46"/>
      <c r="K115" s="47"/>
      <c r="L115" s="48"/>
      <c r="M115" s="48"/>
      <c r="N115" s="48"/>
    </row>
    <row r="116" spans="3:14" x14ac:dyDescent="0.25">
      <c r="C116" s="41"/>
      <c r="D116" s="42" t="s">
        <v>50</v>
      </c>
      <c r="E116" s="38" t="s">
        <v>27</v>
      </c>
      <c r="F116" s="51">
        <v>0.77910000000000001</v>
      </c>
      <c r="G116" s="43">
        <v>11450.004000000001</v>
      </c>
      <c r="H116" s="43">
        <v>8920.6981164000008</v>
      </c>
      <c r="I116" s="45"/>
      <c r="J116" s="46"/>
      <c r="K116" s="47"/>
      <c r="L116" s="48"/>
      <c r="M116" s="48"/>
      <c r="N116" s="48"/>
    </row>
    <row r="117" spans="3:14" x14ac:dyDescent="0.25">
      <c r="C117" s="41"/>
      <c r="D117" s="42"/>
      <c r="E117" s="38"/>
      <c r="F117" s="51"/>
      <c r="G117" s="43"/>
      <c r="H117" s="43"/>
      <c r="I117" s="45"/>
      <c r="J117" s="143"/>
      <c r="K117" s="47"/>
      <c r="L117" s="48"/>
      <c r="M117" s="48"/>
      <c r="N117" s="48"/>
    </row>
    <row r="118" spans="3:14" s="125" customFormat="1" ht="18.75" customHeight="1" x14ac:dyDescent="0.25">
      <c r="C118" s="126" t="s">
        <v>334</v>
      </c>
      <c r="D118" s="127" t="str">
        <f>D119</f>
        <v>Арматура Ф12 А400С (25Г2С)</v>
      </c>
      <c r="E118" s="128" t="str">
        <f>E119</f>
        <v>т</v>
      </c>
      <c r="F118" s="129">
        <f>SUM(F119:F121)</f>
        <v>56.393500000000003</v>
      </c>
      <c r="G118" s="130"/>
      <c r="H118" s="130"/>
      <c r="I118" s="130"/>
      <c r="J118" s="131"/>
    </row>
    <row r="119" spans="3:14" x14ac:dyDescent="0.25">
      <c r="C119" s="41"/>
      <c r="D119" s="42" t="s">
        <v>51</v>
      </c>
      <c r="E119" s="38" t="s">
        <v>27</v>
      </c>
      <c r="F119" s="51">
        <v>16.494499999999999</v>
      </c>
      <c r="G119" s="43">
        <v>11300.004000000001</v>
      </c>
      <c r="H119" s="43">
        <v>186387.915978</v>
      </c>
      <c r="I119" s="45"/>
      <c r="J119" s="46"/>
      <c r="K119" s="47"/>
      <c r="L119" s="48"/>
      <c r="M119" s="48"/>
      <c r="N119" s="48"/>
    </row>
    <row r="120" spans="3:14" x14ac:dyDescent="0.25">
      <c r="C120" s="41"/>
      <c r="D120" s="42" t="s">
        <v>51</v>
      </c>
      <c r="E120" s="38" t="s">
        <v>27</v>
      </c>
      <c r="F120" s="51">
        <v>23.404499999999999</v>
      </c>
      <c r="G120" s="43">
        <v>11300.004000000001</v>
      </c>
      <c r="H120" s="43">
        <v>264470.94361800002</v>
      </c>
      <c r="I120" s="45"/>
      <c r="J120" s="8"/>
      <c r="K120" s="47"/>
      <c r="L120" s="48"/>
      <c r="M120" s="48"/>
      <c r="N120" s="48"/>
    </row>
    <row r="121" spans="3:14" x14ac:dyDescent="0.25">
      <c r="C121" s="41"/>
      <c r="D121" s="42" t="s">
        <v>51</v>
      </c>
      <c r="E121" s="38" t="s">
        <v>27</v>
      </c>
      <c r="F121" s="51">
        <v>16.494499999999999</v>
      </c>
      <c r="G121" s="43">
        <v>11300.004000000001</v>
      </c>
      <c r="H121" s="43">
        <v>186387.915978</v>
      </c>
      <c r="I121" s="45"/>
      <c r="J121" s="46"/>
      <c r="K121" s="47"/>
      <c r="L121" s="48"/>
      <c r="M121" s="48"/>
      <c r="N121" s="48"/>
    </row>
    <row r="122" spans="3:14" x14ac:dyDescent="0.25">
      <c r="C122" s="41"/>
      <c r="D122" s="42"/>
      <c r="E122" s="38"/>
      <c r="F122" s="51"/>
      <c r="G122" s="43"/>
      <c r="H122" s="43"/>
      <c r="I122" s="45"/>
      <c r="J122" s="8"/>
      <c r="K122" s="47"/>
      <c r="L122" s="48"/>
      <c r="M122" s="48"/>
      <c r="N122" s="48"/>
    </row>
    <row r="123" spans="3:14" s="125" customFormat="1" ht="18.75" customHeight="1" x14ac:dyDescent="0.25">
      <c r="C123" s="126" t="s">
        <v>334</v>
      </c>
      <c r="D123" s="127" t="str">
        <f>D124</f>
        <v>Арматура Ф16 А400С (25Г2С)</v>
      </c>
      <c r="E123" s="128" t="str">
        <f>E124</f>
        <v>т</v>
      </c>
      <c r="F123" s="129">
        <f>SUM(F124:F126)</f>
        <v>56.569900000000004</v>
      </c>
      <c r="G123" s="130"/>
      <c r="H123" s="130"/>
      <c r="I123" s="130"/>
      <c r="J123" s="131"/>
    </row>
    <row r="124" spans="3:14" x14ac:dyDescent="0.25">
      <c r="C124" s="41"/>
      <c r="D124" s="42" t="s">
        <v>52</v>
      </c>
      <c r="E124" s="38" t="s">
        <v>27</v>
      </c>
      <c r="F124" s="51">
        <v>16.618400000000001</v>
      </c>
      <c r="G124" s="43">
        <v>11300.004000000001</v>
      </c>
      <c r="H124" s="43">
        <v>187787.9864736</v>
      </c>
      <c r="I124" s="45"/>
      <c r="J124" s="46"/>
      <c r="K124" s="47"/>
      <c r="L124" s="48"/>
      <c r="M124" s="48"/>
      <c r="N124" s="48"/>
    </row>
    <row r="125" spans="3:14" x14ac:dyDescent="0.25">
      <c r="C125" s="41"/>
      <c r="D125" s="42" t="s">
        <v>52</v>
      </c>
      <c r="E125" s="38" t="s">
        <v>27</v>
      </c>
      <c r="F125" s="51">
        <v>23.333100000000002</v>
      </c>
      <c r="G125" s="43">
        <v>11300.004000000001</v>
      </c>
      <c r="H125" s="43">
        <v>263664.12333239999</v>
      </c>
      <c r="I125" s="45"/>
      <c r="J125" s="46"/>
      <c r="K125" s="47"/>
      <c r="L125" s="48"/>
      <c r="M125" s="48"/>
      <c r="N125" s="48"/>
    </row>
    <row r="126" spans="3:14" x14ac:dyDescent="0.25">
      <c r="C126" s="41"/>
      <c r="D126" s="42" t="s">
        <v>52</v>
      </c>
      <c r="E126" s="38" t="s">
        <v>27</v>
      </c>
      <c r="F126" s="51">
        <v>16.618400000000001</v>
      </c>
      <c r="G126" s="43">
        <v>11300.004000000001</v>
      </c>
      <c r="H126" s="43">
        <v>187787.9864736</v>
      </c>
      <c r="I126" s="45"/>
      <c r="J126" s="46"/>
      <c r="K126" s="47"/>
      <c r="L126" s="48"/>
      <c r="M126" s="48"/>
      <c r="N126" s="48"/>
    </row>
    <row r="127" spans="3:14" x14ac:dyDescent="0.25">
      <c r="C127" s="52"/>
      <c r="D127" s="53"/>
      <c r="E127" s="54"/>
      <c r="F127" s="55"/>
      <c r="G127" s="58"/>
      <c r="H127" s="43"/>
      <c r="I127" s="59"/>
      <c r="J127" s="60"/>
      <c r="K127" s="47"/>
      <c r="L127" s="61"/>
      <c r="M127" s="61"/>
      <c r="N127" s="61"/>
    </row>
    <row r="128" spans="3:14" s="125" customFormat="1" ht="18.75" customHeight="1" x14ac:dyDescent="0.25">
      <c r="C128" s="126" t="s">
        <v>334</v>
      </c>
      <c r="D128" s="127" t="str">
        <f>D129</f>
        <v>Проволока 1,2 т/о</v>
      </c>
      <c r="E128" s="128" t="str">
        <f>E129</f>
        <v>тн</v>
      </c>
      <c r="F128" s="129">
        <f>SUM(F129:F131)</f>
        <v>0.88022552380952401</v>
      </c>
      <c r="G128" s="130"/>
      <c r="H128" s="130"/>
      <c r="I128" s="130"/>
      <c r="J128" s="131"/>
    </row>
    <row r="129" spans="3:14" x14ac:dyDescent="0.25">
      <c r="C129" s="52"/>
      <c r="D129" s="53" t="s">
        <v>53</v>
      </c>
      <c r="E129" s="54" t="s">
        <v>54</v>
      </c>
      <c r="F129" s="55">
        <v>0.36377599999999999</v>
      </c>
      <c r="G129" s="58">
        <v>15900</v>
      </c>
      <c r="H129" s="43">
        <v>5784.0384000000004</v>
      </c>
      <c r="I129" s="59"/>
      <c r="J129" s="60"/>
      <c r="K129" s="47"/>
      <c r="L129" s="61"/>
      <c r="M129" s="61"/>
      <c r="N129" s="61"/>
    </row>
    <row r="130" spans="3:14" x14ac:dyDescent="0.25">
      <c r="C130" s="52"/>
      <c r="D130" s="53" t="s">
        <v>53</v>
      </c>
      <c r="E130" s="54" t="s">
        <v>54</v>
      </c>
      <c r="F130" s="55">
        <v>0.25822476190476201</v>
      </c>
      <c r="G130" s="58">
        <v>15900</v>
      </c>
      <c r="H130" s="58">
        <v>4105.7737142857104</v>
      </c>
      <c r="I130" s="59"/>
      <c r="J130" s="60"/>
      <c r="K130" s="47"/>
      <c r="L130" s="61"/>
      <c r="M130" s="61"/>
      <c r="N130" s="61"/>
    </row>
    <row r="131" spans="3:14" x14ac:dyDescent="0.25">
      <c r="C131" s="52"/>
      <c r="D131" s="53" t="s">
        <v>53</v>
      </c>
      <c r="E131" s="54" t="s">
        <v>54</v>
      </c>
      <c r="F131" s="55">
        <v>0.25822476190476201</v>
      </c>
      <c r="G131" s="58">
        <v>15900</v>
      </c>
      <c r="H131" s="43">
        <v>4105.7737142857104</v>
      </c>
      <c r="I131" s="59"/>
      <c r="J131" s="60"/>
      <c r="K131" s="47"/>
      <c r="L131" s="61"/>
      <c r="M131" s="61"/>
      <c r="N131" s="61"/>
    </row>
    <row r="132" spans="3:14" x14ac:dyDescent="0.25">
      <c r="C132" s="52"/>
      <c r="D132" s="53"/>
      <c r="E132" s="54"/>
      <c r="F132" s="55"/>
      <c r="G132" s="58"/>
      <c r="H132" s="43"/>
      <c r="I132" s="59"/>
      <c r="J132" s="60"/>
      <c r="K132" s="47"/>
      <c r="L132" s="61"/>
      <c r="M132" s="61"/>
      <c r="N132" s="61"/>
    </row>
    <row r="133" spans="3:14" s="125" customFormat="1" ht="18.75" customHeight="1" x14ac:dyDescent="0.25">
      <c r="C133" s="126" t="s">
        <v>334</v>
      </c>
      <c r="D133" s="127" t="str">
        <f>D134</f>
        <v>Лист 8 мм С245</v>
      </c>
      <c r="E133" s="128" t="str">
        <f>E134</f>
        <v>тн</v>
      </c>
      <c r="F133" s="129">
        <f>SUM(F134:F136)</f>
        <v>1.6219999999999998E-2</v>
      </c>
      <c r="G133" s="130"/>
      <c r="H133" s="130"/>
      <c r="I133" s="130"/>
      <c r="J133" s="131"/>
    </row>
    <row r="134" spans="3:14" x14ac:dyDescent="0.25">
      <c r="C134" s="52"/>
      <c r="D134" s="53" t="s">
        <v>55</v>
      </c>
      <c r="E134" s="54" t="s">
        <v>54</v>
      </c>
      <c r="F134" s="62">
        <v>4.5399999999999998E-3</v>
      </c>
      <c r="G134" s="58">
        <v>15000</v>
      </c>
      <c r="H134" s="43">
        <v>68.099999999999994</v>
      </c>
      <c r="I134" s="59"/>
      <c r="J134" s="60"/>
      <c r="K134" s="47"/>
      <c r="L134" s="61"/>
      <c r="M134" s="61"/>
      <c r="N134" s="61"/>
    </row>
    <row r="135" spans="3:14" x14ac:dyDescent="0.25">
      <c r="C135" s="52"/>
      <c r="D135" s="53" t="s">
        <v>55</v>
      </c>
      <c r="E135" s="54" t="s">
        <v>54</v>
      </c>
      <c r="F135" s="62">
        <v>7.1399999999999996E-3</v>
      </c>
      <c r="G135" s="58">
        <v>15000</v>
      </c>
      <c r="H135" s="43">
        <v>107.1</v>
      </c>
      <c r="I135" s="59"/>
      <c r="J135" s="60"/>
      <c r="K135" s="47"/>
      <c r="L135" s="61"/>
      <c r="M135" s="61"/>
      <c r="N135" s="61"/>
    </row>
    <row r="136" spans="3:14" x14ac:dyDescent="0.25">
      <c r="C136" s="52"/>
      <c r="D136" s="53" t="s">
        <v>55</v>
      </c>
      <c r="E136" s="54" t="s">
        <v>54</v>
      </c>
      <c r="F136" s="62">
        <v>4.5399999999999998E-3</v>
      </c>
      <c r="G136" s="58">
        <v>15000</v>
      </c>
      <c r="H136" s="43">
        <v>68.099999999999994</v>
      </c>
      <c r="I136" s="59"/>
      <c r="J136" s="60"/>
      <c r="K136" s="47"/>
      <c r="L136" s="61"/>
      <c r="M136" s="61"/>
      <c r="N136" s="61"/>
    </row>
    <row r="137" spans="3:14" x14ac:dyDescent="0.25">
      <c r="C137" s="52"/>
      <c r="D137" s="53"/>
      <c r="E137" s="54"/>
      <c r="F137" s="62"/>
      <c r="G137" s="58"/>
      <c r="H137" s="43"/>
      <c r="I137" s="59"/>
      <c r="J137" s="60"/>
      <c r="K137" s="47"/>
      <c r="L137" s="61"/>
      <c r="M137" s="61"/>
      <c r="N137" s="61"/>
    </row>
    <row r="138" spans="3:14" s="125" customFormat="1" ht="18.75" customHeight="1" x14ac:dyDescent="0.25">
      <c r="C138" s="126" t="s">
        <v>334</v>
      </c>
      <c r="D138" s="127" t="str">
        <f>D139</f>
        <v>Труба ПЕ100 SDR17 - Ф110 х 6,6 відр. Питна</v>
      </c>
      <c r="E138" s="128" t="str">
        <f>E139</f>
        <v>м/п</v>
      </c>
      <c r="F138" s="129">
        <f>SUM(F139:F141)</f>
        <v>57</v>
      </c>
      <c r="G138" s="130"/>
      <c r="H138" s="130"/>
      <c r="I138" s="130"/>
      <c r="J138" s="131"/>
    </row>
    <row r="139" spans="3:14" x14ac:dyDescent="0.25">
      <c r="C139" s="41"/>
      <c r="D139" s="42" t="s">
        <v>104</v>
      </c>
      <c r="E139" s="38" t="s">
        <v>38</v>
      </c>
      <c r="F139" s="43">
        <v>13</v>
      </c>
      <c r="G139" s="43">
        <v>108.27</v>
      </c>
      <c r="H139" s="43">
        <v>1407.51</v>
      </c>
      <c r="I139" s="45"/>
      <c r="J139" s="46"/>
      <c r="K139" s="47"/>
      <c r="L139" s="48"/>
      <c r="M139" s="48"/>
      <c r="N139" s="48"/>
    </row>
    <row r="140" spans="3:14" x14ac:dyDescent="0.25">
      <c r="C140" s="41"/>
      <c r="D140" s="42" t="s">
        <v>62</v>
      </c>
      <c r="E140" s="38" t="s">
        <v>38</v>
      </c>
      <c r="F140" s="43">
        <v>13</v>
      </c>
      <c r="G140" s="43">
        <v>108.27</v>
      </c>
      <c r="H140" s="43">
        <v>1407.51</v>
      </c>
      <c r="I140" s="45"/>
      <c r="J140" s="46"/>
      <c r="K140" s="47"/>
      <c r="L140" s="48"/>
      <c r="M140" s="48"/>
      <c r="N140" s="48"/>
    </row>
    <row r="141" spans="3:14" x14ac:dyDescent="0.25">
      <c r="C141" s="41"/>
      <c r="D141" s="42" t="s">
        <v>62</v>
      </c>
      <c r="E141" s="38" t="s">
        <v>38</v>
      </c>
      <c r="F141" s="43">
        <v>31</v>
      </c>
      <c r="G141" s="43">
        <v>108.27</v>
      </c>
      <c r="H141" s="43">
        <v>3356.37</v>
      </c>
      <c r="I141" s="45"/>
      <c r="J141" s="46"/>
      <c r="K141" s="47"/>
      <c r="L141" s="48"/>
      <c r="M141" s="48"/>
      <c r="N141" s="48"/>
    </row>
    <row r="142" spans="3:14" x14ac:dyDescent="0.25">
      <c r="C142" s="41"/>
      <c r="D142" s="42"/>
      <c r="E142" s="38"/>
      <c r="F142" s="43"/>
      <c r="G142" s="43"/>
      <c r="H142" s="43"/>
      <c r="I142" s="45"/>
      <c r="J142" s="46"/>
      <c r="K142" s="47"/>
      <c r="L142" s="48"/>
      <c r="M142" s="48"/>
      <c r="N142" s="48"/>
    </row>
    <row r="143" spans="3:14" s="125" customFormat="1" ht="18.75" customHeight="1" x14ac:dyDescent="0.25">
      <c r="C143" s="126" t="s">
        <v>334</v>
      </c>
      <c r="D143" s="127" t="str">
        <f>D144</f>
        <v>Коліно Ф110 мм ПЕ-80 SDR21</v>
      </c>
      <c r="E143" s="128" t="str">
        <f>E144</f>
        <v>шт.</v>
      </c>
      <c r="F143" s="129">
        <f>SUM(F144:F146)</f>
        <v>13</v>
      </c>
      <c r="G143" s="130"/>
      <c r="H143" s="130"/>
      <c r="I143" s="130"/>
      <c r="J143" s="131"/>
    </row>
    <row r="144" spans="3:14" x14ac:dyDescent="0.25">
      <c r="C144" s="41"/>
      <c r="D144" s="42" t="s">
        <v>63</v>
      </c>
      <c r="E144" s="38" t="s">
        <v>64</v>
      </c>
      <c r="F144" s="43">
        <v>7</v>
      </c>
      <c r="G144" s="43">
        <v>172.7</v>
      </c>
      <c r="H144" s="43">
        <v>1208.9000000000001</v>
      </c>
      <c r="I144" s="45"/>
      <c r="J144" s="46"/>
      <c r="K144" s="47"/>
      <c r="L144" s="48"/>
      <c r="M144" s="48"/>
      <c r="N144" s="48"/>
    </row>
    <row r="145" spans="3:14" x14ac:dyDescent="0.25">
      <c r="C145" s="41"/>
      <c r="D145" s="42" t="s">
        <v>63</v>
      </c>
      <c r="E145" s="38" t="s">
        <v>64</v>
      </c>
      <c r="F145" s="43">
        <v>3</v>
      </c>
      <c r="G145" s="43">
        <v>172.7</v>
      </c>
      <c r="H145" s="43">
        <v>518.1</v>
      </c>
      <c r="I145" s="45"/>
      <c r="J145" s="46"/>
      <c r="K145" s="47"/>
      <c r="L145" s="48"/>
      <c r="M145" s="48"/>
      <c r="N145" s="48"/>
    </row>
    <row r="146" spans="3:14" x14ac:dyDescent="0.25">
      <c r="C146" s="41"/>
      <c r="D146" s="42" t="s">
        <v>105</v>
      </c>
      <c r="E146" s="38" t="s">
        <v>64</v>
      </c>
      <c r="F146" s="43">
        <v>3</v>
      </c>
      <c r="G146" s="43">
        <v>172.7</v>
      </c>
      <c r="H146" s="43">
        <v>518.1</v>
      </c>
      <c r="I146" s="45"/>
      <c r="J146" s="46"/>
      <c r="K146" s="47"/>
      <c r="L146" s="48"/>
      <c r="M146" s="48"/>
      <c r="N146" s="48"/>
    </row>
    <row r="147" spans="3:14" x14ac:dyDescent="0.25">
      <c r="C147" s="41"/>
      <c r="D147" s="42"/>
      <c r="E147" s="38"/>
      <c r="F147" s="43"/>
      <c r="G147" s="43"/>
      <c r="H147" s="43"/>
      <c r="I147" s="45"/>
      <c r="J147" s="46"/>
      <c r="K147" s="47"/>
      <c r="L147" s="48"/>
      <c r="M147" s="48"/>
      <c r="N147" s="48"/>
    </row>
    <row r="148" spans="3:14" s="125" customFormat="1" ht="18.75" customHeight="1" x14ac:dyDescent="0.25">
      <c r="C148" s="126" t="s">
        <v>334</v>
      </c>
      <c r="D148" s="127" t="str">
        <f>D149</f>
        <v>Трійник Ф110 мм ПЕ-80 SDR21</v>
      </c>
      <c r="E148" s="128" t="str">
        <f>E149</f>
        <v>шт.</v>
      </c>
      <c r="F148" s="129">
        <f>SUM(F149:F150)</f>
        <v>2</v>
      </c>
      <c r="G148" s="130"/>
      <c r="H148" s="130"/>
      <c r="I148" s="130"/>
      <c r="J148" s="131"/>
    </row>
    <row r="149" spans="3:14" x14ac:dyDescent="0.25">
      <c r="C149" s="41"/>
      <c r="D149" s="42" t="s">
        <v>65</v>
      </c>
      <c r="E149" s="38" t="s">
        <v>64</v>
      </c>
      <c r="F149" s="43">
        <v>1</v>
      </c>
      <c r="G149" s="43">
        <v>196.09</v>
      </c>
      <c r="H149" s="43">
        <v>196.09</v>
      </c>
      <c r="I149" s="45"/>
      <c r="J149" s="46"/>
      <c r="K149" s="47"/>
      <c r="L149" s="48"/>
      <c r="M149" s="48"/>
      <c r="N149" s="48"/>
    </row>
    <row r="150" spans="3:14" x14ac:dyDescent="0.25">
      <c r="C150" s="41"/>
      <c r="D150" s="42" t="s">
        <v>106</v>
      </c>
      <c r="E150" s="38" t="s">
        <v>64</v>
      </c>
      <c r="F150" s="43">
        <v>1</v>
      </c>
      <c r="G150" s="43">
        <v>196.09</v>
      </c>
      <c r="H150" s="43">
        <v>196.09</v>
      </c>
      <c r="I150" s="45"/>
      <c r="J150" s="46"/>
      <c r="K150" s="47"/>
      <c r="L150" s="48"/>
      <c r="M150" s="48"/>
      <c r="N150" s="48"/>
    </row>
  </sheetData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MJ201"/>
  <sheetViews>
    <sheetView zoomScale="67" zoomScaleNormal="67" workbookViewId="0">
      <pane ySplit="8" topLeftCell="A78" activePane="bottomLeft" state="frozen"/>
      <selection pane="bottomLeft" activeCell="D92" sqref="D92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144" customWidth="1"/>
    <col min="13" max="13" width="37.140625" style="9" customWidth="1"/>
    <col min="14" max="14" width="0.85546875" style="5" customWidth="1"/>
    <col min="15" max="15" width="18.710937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45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8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8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8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46">
        <v>10</v>
      </c>
      <c r="M9" s="16">
        <v>11</v>
      </c>
      <c r="O9" s="17"/>
      <c r="P9" s="17"/>
      <c r="Q9" s="17"/>
    </row>
    <row r="10" spans="3:17" s="6" customFormat="1" x14ac:dyDescent="0.25">
      <c r="C10" s="18" t="s">
        <v>18</v>
      </c>
      <c r="D10" s="19" t="s">
        <v>122</v>
      </c>
      <c r="E10" s="20"/>
      <c r="F10" s="21" t="s">
        <v>17</v>
      </c>
      <c r="G10" s="21"/>
      <c r="H10" s="21"/>
      <c r="I10" s="21"/>
      <c r="J10" s="21"/>
      <c r="K10" s="21"/>
      <c r="L10" s="147"/>
      <c r="M10" s="23"/>
      <c r="O10" s="24"/>
      <c r="P10" s="25"/>
      <c r="Q10" s="26"/>
    </row>
    <row r="11" spans="3:17" s="6" customFormat="1" x14ac:dyDescent="0.25">
      <c r="C11" s="27" t="s">
        <v>20</v>
      </c>
      <c r="D11" s="28" t="s">
        <v>123</v>
      </c>
      <c r="E11" s="63"/>
      <c r="F11" s="31"/>
      <c r="G11" s="31"/>
      <c r="H11" s="31"/>
      <c r="I11" s="31">
        <f>SUM(I12:I58)</f>
        <v>52836.449620799998</v>
      </c>
      <c r="J11" s="31">
        <f>J13+J21+J24+J31+J38+J44+J47+J57</f>
        <v>150730.32737997899</v>
      </c>
      <c r="K11" s="31">
        <f>SUM(K12:K58)</f>
        <v>203566.77700077899</v>
      </c>
      <c r="L11" s="148">
        <f>SUM(L12:L58)</f>
        <v>42836.449620799998</v>
      </c>
      <c r="M11" s="64"/>
      <c r="O11" s="24"/>
      <c r="P11" s="25"/>
      <c r="Q11" s="26"/>
    </row>
    <row r="12" spans="3:17" s="39" customFormat="1" ht="15.75" x14ac:dyDescent="0.25">
      <c r="C12" s="33" t="s">
        <v>124</v>
      </c>
      <c r="D12" s="34" t="s">
        <v>125</v>
      </c>
      <c r="E12" s="35" t="s">
        <v>126</v>
      </c>
      <c r="F12" s="36">
        <f>15.4/(0.5*0.5*0.7)</f>
        <v>88.000000000000014</v>
      </c>
      <c r="G12" s="36">
        <v>20</v>
      </c>
      <c r="H12" s="36"/>
      <c r="I12" s="36">
        <f>G12*F12</f>
        <v>1760.0000000000002</v>
      </c>
      <c r="J12" s="36"/>
      <c r="K12" s="36">
        <f>J12+I12</f>
        <v>1760.0000000000002</v>
      </c>
      <c r="L12" s="149">
        <f>I12</f>
        <v>1760.0000000000002</v>
      </c>
      <c r="M12" s="38"/>
      <c r="O12" s="40"/>
      <c r="P12" s="40"/>
      <c r="Q12" s="40"/>
    </row>
    <row r="13" spans="3:17" s="39" customFormat="1" ht="15.75" x14ac:dyDescent="0.25">
      <c r="C13" s="33" t="s">
        <v>127</v>
      </c>
      <c r="D13" s="34" t="s">
        <v>128</v>
      </c>
      <c r="E13" s="35" t="s">
        <v>54</v>
      </c>
      <c r="F13" s="36">
        <f>(F16*0.00217)+(F17*0.0109)</f>
        <v>0.58650000000000002</v>
      </c>
      <c r="G13" s="36">
        <v>7000</v>
      </c>
      <c r="H13" s="36"/>
      <c r="I13" s="36">
        <f>G13*F13</f>
        <v>4105.5</v>
      </c>
      <c r="J13" s="36">
        <f>SUM(J16:J20)</f>
        <v>11094.969175077946</v>
      </c>
      <c r="K13" s="36">
        <f>J13+I13</f>
        <v>15200.469175077946</v>
      </c>
      <c r="L13" s="149">
        <f>I13</f>
        <v>4105.5</v>
      </c>
      <c r="M13" s="38"/>
      <c r="O13" s="40"/>
      <c r="P13" s="40"/>
      <c r="Q13" s="40"/>
    </row>
    <row r="14" spans="3:17" s="39" customFormat="1" ht="15.75" x14ac:dyDescent="0.25">
      <c r="C14" s="33" t="s">
        <v>129</v>
      </c>
      <c r="D14" s="34" t="s">
        <v>130</v>
      </c>
      <c r="E14" s="35" t="s">
        <v>131</v>
      </c>
      <c r="F14" s="36">
        <f>F18/0.1</f>
        <v>35.401440000000001</v>
      </c>
      <c r="G14" s="36">
        <v>8</v>
      </c>
      <c r="H14" s="36"/>
      <c r="I14" s="36">
        <f>G14*F14</f>
        <v>283.21152000000001</v>
      </c>
      <c r="J14" s="36"/>
      <c r="K14" s="36">
        <f>J14+I14</f>
        <v>283.21152000000001</v>
      </c>
      <c r="L14" s="149">
        <f>I14</f>
        <v>283.21152000000001</v>
      </c>
      <c r="M14" s="38"/>
      <c r="O14" s="40"/>
      <c r="P14" s="40"/>
      <c r="Q14" s="40"/>
    </row>
    <row r="15" spans="3:17" s="39" customFormat="1" ht="15.75" x14ac:dyDescent="0.25">
      <c r="C15" s="33" t="s">
        <v>132</v>
      </c>
      <c r="D15" s="34" t="s">
        <v>133</v>
      </c>
      <c r="E15" s="35" t="s">
        <v>131</v>
      </c>
      <c r="F15" s="36">
        <f>F19/0.19</f>
        <v>35.401440000000001</v>
      </c>
      <c r="G15" s="36">
        <v>10</v>
      </c>
      <c r="H15" s="36"/>
      <c r="I15" s="36">
        <f>G15*F15</f>
        <v>354.01440000000002</v>
      </c>
      <c r="J15" s="36"/>
      <c r="K15" s="36">
        <f>J15+I15</f>
        <v>354.01440000000002</v>
      </c>
      <c r="L15" s="149">
        <f>I15</f>
        <v>354.01440000000002</v>
      </c>
      <c r="M15" s="38"/>
      <c r="O15" s="40"/>
      <c r="P15" s="40"/>
      <c r="Q15" s="40"/>
    </row>
    <row r="16" spans="3:17" ht="31.5" x14ac:dyDescent="0.25">
      <c r="C16" s="41"/>
      <c r="D16" s="42" t="s">
        <v>134</v>
      </c>
      <c r="E16" s="38" t="s">
        <v>38</v>
      </c>
      <c r="F16" s="43">
        <v>210</v>
      </c>
      <c r="G16" s="44"/>
      <c r="H16" s="43">
        <f>(31002.3+569.7+250)/813</f>
        <v>39.141451414514144</v>
      </c>
      <c r="I16" s="43"/>
      <c r="J16" s="43">
        <f>H16*F16</f>
        <v>8219.7047970479707</v>
      </c>
      <c r="K16" s="45"/>
      <c r="L16" s="150"/>
      <c r="M16" s="38"/>
      <c r="N16" s="47"/>
      <c r="O16" s="48"/>
      <c r="P16" s="48"/>
      <c r="Q16" s="48"/>
    </row>
    <row r="17" spans="3:17" ht="31.5" x14ac:dyDescent="0.25">
      <c r="C17" s="41"/>
      <c r="D17" s="42" t="s">
        <v>135</v>
      </c>
      <c r="E17" s="38" t="s">
        <v>38</v>
      </c>
      <c r="F17" s="43">
        <v>12</v>
      </c>
      <c r="G17" s="44"/>
      <c r="H17" s="43">
        <f>(7303.2+250+58.32)/36</f>
        <v>211.43111111111111</v>
      </c>
      <c r="I17" s="43"/>
      <c r="J17" s="43">
        <f>H17*F17</f>
        <v>2537.1733333333332</v>
      </c>
      <c r="K17" s="45"/>
      <c r="L17" s="150"/>
      <c r="M17" s="38"/>
      <c r="N17" s="47"/>
      <c r="O17" s="48"/>
      <c r="P17" s="48"/>
      <c r="Q17" s="48"/>
    </row>
    <row r="18" spans="3:17" x14ac:dyDescent="0.25">
      <c r="C18" s="41"/>
      <c r="D18" s="42" t="s">
        <v>136</v>
      </c>
      <c r="E18" s="38" t="s">
        <v>137</v>
      </c>
      <c r="F18" s="43">
        <f>0.1*((F16*0.00217*65.2)+(F17*0.0109*43.5))</f>
        <v>3.5401440000000002</v>
      </c>
      <c r="G18" s="44"/>
      <c r="H18" s="43">
        <f>(61.28*1.2)/2.8</f>
        <v>26.262857142857143</v>
      </c>
      <c r="I18" s="43"/>
      <c r="J18" s="43">
        <f>H18*F18</f>
        <v>92.974296137142858</v>
      </c>
      <c r="K18" s="45"/>
      <c r="L18" s="150"/>
      <c r="M18" s="38"/>
      <c r="N18" s="47"/>
      <c r="O18" s="48"/>
      <c r="P18" s="48"/>
      <c r="Q18" s="48"/>
    </row>
    <row r="19" spans="3:17" x14ac:dyDescent="0.25">
      <c r="C19" s="41"/>
      <c r="D19" s="42" t="s">
        <v>138</v>
      </c>
      <c r="E19" s="38" t="s">
        <v>137</v>
      </c>
      <c r="F19" s="43">
        <f>0.19*((F16*0.00217*65.2)+(F17*0.0109*43.5))</f>
        <v>6.7262735999999999</v>
      </c>
      <c r="G19" s="44"/>
      <c r="H19" s="43">
        <f>(79.46*1.2)/2.8</f>
        <v>34.054285714285712</v>
      </c>
      <c r="I19" s="43"/>
      <c r="J19" s="43">
        <f>H19*F19</f>
        <v>229.05844296685711</v>
      </c>
      <c r="K19" s="45"/>
      <c r="L19" s="150"/>
      <c r="M19" s="38"/>
      <c r="N19" s="47"/>
      <c r="O19" s="48"/>
      <c r="P19" s="48"/>
      <c r="Q19" s="48"/>
    </row>
    <row r="20" spans="3:17" x14ac:dyDescent="0.25">
      <c r="C20" s="41"/>
      <c r="D20" s="42" t="s">
        <v>139</v>
      </c>
      <c r="E20" s="38" t="s">
        <v>137</v>
      </c>
      <c r="F20" s="49">
        <f>F19/10</f>
        <v>0.67262736000000001</v>
      </c>
      <c r="G20" s="44"/>
      <c r="H20" s="43">
        <f>(79.58*1.2)/4</f>
        <v>23.873999999999999</v>
      </c>
      <c r="I20" s="43"/>
      <c r="J20" s="43">
        <f>H20*F20</f>
        <v>16.05830559264</v>
      </c>
      <c r="K20" s="45"/>
      <c r="L20" s="150"/>
      <c r="M20" s="38"/>
      <c r="N20" s="47"/>
      <c r="O20" s="48"/>
      <c r="P20" s="48"/>
      <c r="Q20" s="48"/>
    </row>
    <row r="21" spans="3:17" s="39" customFormat="1" ht="15.75" x14ac:dyDescent="0.25">
      <c r="C21" s="33" t="s">
        <v>141</v>
      </c>
      <c r="D21" s="34" t="s">
        <v>142</v>
      </c>
      <c r="E21" s="35" t="s">
        <v>64</v>
      </c>
      <c r="F21" s="36">
        <f>15.4/(0.5*0.5*0.7)</f>
        <v>88.000000000000014</v>
      </c>
      <c r="G21" s="36">
        <v>25</v>
      </c>
      <c r="H21" s="36"/>
      <c r="I21" s="36">
        <f>G21*F21</f>
        <v>2200.0000000000005</v>
      </c>
      <c r="J21" s="36">
        <f>SUM(J23)</f>
        <v>13733.064575999997</v>
      </c>
      <c r="K21" s="36">
        <f>J21+I21</f>
        <v>15933.064575999997</v>
      </c>
      <c r="L21" s="149">
        <f>I21</f>
        <v>2200.0000000000005</v>
      </c>
      <c r="M21" s="38"/>
      <c r="O21" s="40"/>
      <c r="P21" s="40"/>
      <c r="Q21" s="40"/>
    </row>
    <row r="22" spans="3:17" s="39" customFormat="1" ht="94.5" x14ac:dyDescent="0.25">
      <c r="C22" s="33" t="s">
        <v>143</v>
      </c>
      <c r="D22" s="34" t="s">
        <v>144</v>
      </c>
      <c r="E22" s="35" t="s">
        <v>95</v>
      </c>
      <c r="F22" s="36">
        <v>12</v>
      </c>
      <c r="G22" s="36">
        <v>400</v>
      </c>
      <c r="H22" s="36"/>
      <c r="I22" s="151"/>
      <c r="J22" s="151"/>
      <c r="K22" s="151"/>
      <c r="L22" s="152"/>
      <c r="M22" s="1" t="s">
        <v>342</v>
      </c>
      <c r="O22" s="40"/>
      <c r="P22" s="40"/>
      <c r="Q22" s="40"/>
    </row>
    <row r="23" spans="3:17" ht="31.5" x14ac:dyDescent="0.25">
      <c r="C23" s="41"/>
      <c r="D23" s="42" t="s">
        <v>146</v>
      </c>
      <c r="E23" s="38" t="s">
        <v>19</v>
      </c>
      <c r="F23" s="43">
        <f>1.02*(88*(0.5*0.5*0.7))</f>
        <v>15.707999999999998</v>
      </c>
      <c r="G23" s="44"/>
      <c r="H23" s="43">
        <f>43713.6/50</f>
        <v>874.27199999999993</v>
      </c>
      <c r="I23" s="43"/>
      <c r="J23" s="43">
        <f>H23*F23</f>
        <v>13733.064575999997</v>
      </c>
      <c r="K23" s="45"/>
      <c r="L23" s="150"/>
      <c r="M23" s="38"/>
      <c r="N23" s="47"/>
      <c r="O23" s="48"/>
      <c r="P23" s="48"/>
      <c r="Q23" s="48"/>
    </row>
    <row r="24" spans="3:17" s="39" customFormat="1" ht="15.75" x14ac:dyDescent="0.25">
      <c r="C24" s="33" t="s">
        <v>147</v>
      </c>
      <c r="D24" s="34" t="s">
        <v>148</v>
      </c>
      <c r="E24" s="35" t="s">
        <v>54</v>
      </c>
      <c r="F24" s="36">
        <f>F27*0.0017</f>
        <v>0.71399999999999997</v>
      </c>
      <c r="G24" s="36">
        <v>7000</v>
      </c>
      <c r="H24" s="36"/>
      <c r="I24" s="36">
        <f>G24*F24</f>
        <v>4998</v>
      </c>
      <c r="J24" s="36">
        <f>SUM(J27:J30)</f>
        <v>13391.082099107571</v>
      </c>
      <c r="K24" s="36">
        <f>J24+I24</f>
        <v>18389.082099107571</v>
      </c>
      <c r="L24" s="149">
        <f>I24</f>
        <v>4998</v>
      </c>
      <c r="M24" s="38"/>
      <c r="O24" s="40"/>
      <c r="P24" s="40"/>
      <c r="Q24" s="40"/>
    </row>
    <row r="25" spans="3:17" s="39" customFormat="1" ht="15.75" x14ac:dyDescent="0.25">
      <c r="C25" s="33" t="s">
        <v>149</v>
      </c>
      <c r="D25" s="34" t="s">
        <v>130</v>
      </c>
      <c r="E25" s="35" t="s">
        <v>131</v>
      </c>
      <c r="F25" s="36">
        <f>F28/0.1</f>
        <v>46.552799999999998</v>
      </c>
      <c r="G25" s="36">
        <v>8</v>
      </c>
      <c r="H25" s="36"/>
      <c r="I25" s="36">
        <f>G25*F25</f>
        <v>372.42239999999998</v>
      </c>
      <c r="J25" s="36"/>
      <c r="K25" s="36">
        <f>J25+I25</f>
        <v>372.42239999999998</v>
      </c>
      <c r="L25" s="149">
        <f>I25</f>
        <v>372.42239999999998</v>
      </c>
      <c r="M25" s="38"/>
      <c r="O25" s="40"/>
      <c r="P25" s="40"/>
      <c r="Q25" s="40"/>
    </row>
    <row r="26" spans="3:17" s="39" customFormat="1" ht="15.75" x14ac:dyDescent="0.25">
      <c r="C26" s="33" t="s">
        <v>150</v>
      </c>
      <c r="D26" s="34" t="s">
        <v>133</v>
      </c>
      <c r="E26" s="35" t="s">
        <v>131</v>
      </c>
      <c r="F26" s="36">
        <f>F29/0.19</f>
        <v>46.552799999999998</v>
      </c>
      <c r="G26" s="36">
        <v>10</v>
      </c>
      <c r="H26" s="36"/>
      <c r="I26" s="36">
        <f>G26*F26</f>
        <v>465.52799999999996</v>
      </c>
      <c r="J26" s="36"/>
      <c r="K26" s="36">
        <f>J26+I26</f>
        <v>465.52799999999996</v>
      </c>
      <c r="L26" s="149">
        <f>I26</f>
        <v>465.52799999999996</v>
      </c>
      <c r="M26" s="38"/>
      <c r="O26" s="40"/>
      <c r="P26" s="40"/>
      <c r="Q26" s="40"/>
    </row>
    <row r="27" spans="3:17" ht="31.5" x14ac:dyDescent="0.25">
      <c r="C27" s="41"/>
      <c r="D27" s="42" t="s">
        <v>151</v>
      </c>
      <c r="E27" s="38" t="s">
        <v>38</v>
      </c>
      <c r="F27" s="43">
        <f>420</f>
        <v>420</v>
      </c>
      <c r="G27" s="44"/>
      <c r="H27" s="43">
        <f>(37395.9+250+823.68)/1248</f>
        <v>30.824983974358975</v>
      </c>
      <c r="I27" s="43"/>
      <c r="J27" s="43">
        <f>H27*F27</f>
        <v>12946.49326923077</v>
      </c>
      <c r="K27" s="45"/>
      <c r="L27" s="150"/>
      <c r="M27" s="38"/>
      <c r="N27" s="47"/>
      <c r="O27" s="48"/>
      <c r="P27" s="48"/>
      <c r="Q27" s="48"/>
    </row>
    <row r="28" spans="3:17" x14ac:dyDescent="0.25">
      <c r="C28" s="41"/>
      <c r="D28" s="42" t="s">
        <v>136</v>
      </c>
      <c r="E28" s="38" t="s">
        <v>137</v>
      </c>
      <c r="F28" s="43">
        <f>0.1*(0.0017*F27*65.2)</f>
        <v>4.6552800000000003</v>
      </c>
      <c r="G28" s="44"/>
      <c r="H28" s="43">
        <f>(61.28*1.2)/2.8</f>
        <v>26.262857142857143</v>
      </c>
      <c r="I28" s="43"/>
      <c r="J28" s="43">
        <f>H28*F28</f>
        <v>122.26095360000001</v>
      </c>
      <c r="K28" s="45"/>
      <c r="L28" s="150"/>
      <c r="M28" s="38"/>
      <c r="N28" s="47"/>
      <c r="O28" s="48"/>
      <c r="P28" s="48"/>
      <c r="Q28" s="48"/>
    </row>
    <row r="29" spans="3:17" x14ac:dyDescent="0.25">
      <c r="C29" s="41"/>
      <c r="D29" s="42" t="s">
        <v>138</v>
      </c>
      <c r="E29" s="38" t="s">
        <v>137</v>
      </c>
      <c r="F29" s="43">
        <f>0.19*(0.0017*F27*65.2)</f>
        <v>8.8450319999999998</v>
      </c>
      <c r="G29" s="44"/>
      <c r="H29" s="43">
        <f>(79.46*1.2)/2.8</f>
        <v>34.054285714285712</v>
      </c>
      <c r="I29" s="43"/>
      <c r="J29" s="43">
        <f>H29*F29</f>
        <v>301.21124687999998</v>
      </c>
      <c r="K29" s="45"/>
      <c r="L29" s="150"/>
      <c r="M29" s="38"/>
      <c r="N29" s="47"/>
      <c r="O29" s="48"/>
      <c r="P29" s="48"/>
      <c r="Q29" s="48"/>
    </row>
    <row r="30" spans="3:17" x14ac:dyDescent="0.25">
      <c r="C30" s="41"/>
      <c r="D30" s="42" t="s">
        <v>139</v>
      </c>
      <c r="E30" s="38" t="s">
        <v>137</v>
      </c>
      <c r="F30" s="49">
        <f>F29/10</f>
        <v>0.88450319999999993</v>
      </c>
      <c r="G30" s="44"/>
      <c r="H30" s="43">
        <f>(79.58*1.2)/4</f>
        <v>23.873999999999999</v>
      </c>
      <c r="I30" s="43"/>
      <c r="J30" s="43">
        <f>H30*F30</f>
        <v>21.116629396799997</v>
      </c>
      <c r="K30" s="45"/>
      <c r="L30" s="150"/>
      <c r="M30" s="38"/>
      <c r="N30" s="47"/>
      <c r="O30" s="48"/>
      <c r="P30" s="48"/>
      <c r="Q30" s="48"/>
    </row>
    <row r="31" spans="3:17" s="39" customFormat="1" ht="15.75" x14ac:dyDescent="0.25">
      <c r="C31" s="33" t="s">
        <v>152</v>
      </c>
      <c r="D31" s="34" t="s">
        <v>153</v>
      </c>
      <c r="E31" s="35" t="s">
        <v>54</v>
      </c>
      <c r="F31" s="36">
        <f>F34*0.00217</f>
        <v>9.4177999999999998E-2</v>
      </c>
      <c r="G31" s="36">
        <v>7000</v>
      </c>
      <c r="H31" s="36"/>
      <c r="I31" s="36">
        <f>G31*F31</f>
        <v>659.24599999999998</v>
      </c>
      <c r="J31" s="36">
        <f>SUM(J34:J37)</f>
        <v>1757.3811297934674</v>
      </c>
      <c r="K31" s="36">
        <f>J31+I31</f>
        <v>2416.6271297934672</v>
      </c>
      <c r="L31" s="149">
        <f>I31</f>
        <v>659.24599999999998</v>
      </c>
      <c r="M31" s="38"/>
      <c r="O31" s="40"/>
      <c r="P31" s="40"/>
      <c r="Q31" s="40"/>
    </row>
    <row r="32" spans="3:17" s="39" customFormat="1" ht="15.75" x14ac:dyDescent="0.25">
      <c r="C32" s="33" t="s">
        <v>154</v>
      </c>
      <c r="D32" s="34" t="s">
        <v>130</v>
      </c>
      <c r="E32" s="35" t="s">
        <v>131</v>
      </c>
      <c r="F32" s="36">
        <f>F35/0.1</f>
        <v>6.1404055999999994</v>
      </c>
      <c r="G32" s="36">
        <v>8</v>
      </c>
      <c r="H32" s="36"/>
      <c r="I32" s="36">
        <f>G32*F32</f>
        <v>49.123244799999995</v>
      </c>
      <c r="J32" s="36"/>
      <c r="K32" s="36">
        <f>J32+I32</f>
        <v>49.123244799999995</v>
      </c>
      <c r="L32" s="149">
        <f>I32</f>
        <v>49.123244799999995</v>
      </c>
      <c r="M32" s="38"/>
      <c r="O32" s="40"/>
      <c r="P32" s="40"/>
      <c r="Q32" s="40"/>
    </row>
    <row r="33" spans="3:17" s="39" customFormat="1" ht="15.75" x14ac:dyDescent="0.25">
      <c r="C33" s="33" t="s">
        <v>155</v>
      </c>
      <c r="D33" s="34" t="s">
        <v>133</v>
      </c>
      <c r="E33" s="35" t="s">
        <v>131</v>
      </c>
      <c r="F33" s="36">
        <f>F36/0.19</f>
        <v>6.1404055999999994</v>
      </c>
      <c r="G33" s="36">
        <v>10</v>
      </c>
      <c r="H33" s="36"/>
      <c r="I33" s="36">
        <f>G33*F33</f>
        <v>61.404055999999997</v>
      </c>
      <c r="J33" s="36"/>
      <c r="K33" s="36">
        <f>J33+I33</f>
        <v>61.404055999999997</v>
      </c>
      <c r="L33" s="149">
        <f>I33</f>
        <v>61.404055999999997</v>
      </c>
      <c r="M33" s="38"/>
      <c r="O33" s="40"/>
      <c r="P33" s="40"/>
      <c r="Q33" s="40"/>
    </row>
    <row r="34" spans="3:17" ht="31.5" x14ac:dyDescent="0.25">
      <c r="C34" s="41"/>
      <c r="D34" s="42" t="s">
        <v>134</v>
      </c>
      <c r="E34" s="38" t="s">
        <v>38</v>
      </c>
      <c r="F34" s="43">
        <v>43.4</v>
      </c>
      <c r="G34" s="44"/>
      <c r="H34" s="43">
        <f>(31002.3+569.7+250)/813</f>
        <v>39.141451414514144</v>
      </c>
      <c r="I34" s="43"/>
      <c r="J34" s="43">
        <f>H34*F34</f>
        <v>1698.7389913899137</v>
      </c>
      <c r="K34" s="45"/>
      <c r="L34" s="150"/>
      <c r="M34" s="38"/>
      <c r="N34" s="47"/>
      <c r="O34" s="48"/>
      <c r="P34" s="48"/>
      <c r="Q34" s="48"/>
    </row>
    <row r="35" spans="3:17" x14ac:dyDescent="0.25">
      <c r="C35" s="41"/>
      <c r="D35" s="42" t="s">
        <v>136</v>
      </c>
      <c r="E35" s="38" t="s">
        <v>137</v>
      </c>
      <c r="F35" s="43">
        <f>0.1*(0.00217*65.2*F34)</f>
        <v>0.61404055999999996</v>
      </c>
      <c r="G35" s="44"/>
      <c r="H35" s="43">
        <f>(61.28*1.2)/2.8</f>
        <v>26.262857142857143</v>
      </c>
      <c r="I35" s="43"/>
      <c r="J35" s="43">
        <f>H35*F35</f>
        <v>16.1264595072</v>
      </c>
      <c r="K35" s="45"/>
      <c r="L35" s="150"/>
      <c r="M35" s="38"/>
      <c r="N35" s="47"/>
      <c r="O35" s="48"/>
      <c r="P35" s="48"/>
      <c r="Q35" s="48"/>
    </row>
    <row r="36" spans="3:17" x14ac:dyDescent="0.25">
      <c r="C36" s="41"/>
      <c r="D36" s="42" t="s">
        <v>138</v>
      </c>
      <c r="E36" s="38" t="s">
        <v>137</v>
      </c>
      <c r="F36" s="43">
        <f>0.19*(0.00217*65.2*F34)</f>
        <v>1.1666770639999999</v>
      </c>
      <c r="G36" s="44"/>
      <c r="H36" s="43">
        <f>(79.46*1.2)/2.8</f>
        <v>34.054285714285712</v>
      </c>
      <c r="I36" s="43"/>
      <c r="J36" s="43">
        <f>H36*F36</f>
        <v>39.730354073759997</v>
      </c>
      <c r="K36" s="45"/>
      <c r="L36" s="150"/>
      <c r="M36" s="38"/>
      <c r="N36" s="47"/>
      <c r="O36" s="48"/>
      <c r="P36" s="48"/>
      <c r="Q36" s="48"/>
    </row>
    <row r="37" spans="3:17" x14ac:dyDescent="0.25">
      <c r="C37" s="41"/>
      <c r="D37" s="42" t="s">
        <v>139</v>
      </c>
      <c r="E37" s="38" t="s">
        <v>137</v>
      </c>
      <c r="F37" s="49">
        <f>F36/10</f>
        <v>0.11666770639999999</v>
      </c>
      <c r="G37" s="44"/>
      <c r="H37" s="43">
        <f>(79.58*1.2)/4</f>
        <v>23.873999999999999</v>
      </c>
      <c r="I37" s="43"/>
      <c r="J37" s="43">
        <f>H37*F37</f>
        <v>2.7853248225935996</v>
      </c>
      <c r="K37" s="45"/>
      <c r="L37" s="150"/>
      <c r="M37" s="38"/>
      <c r="N37" s="47"/>
      <c r="O37" s="48"/>
      <c r="P37" s="48"/>
      <c r="Q37" s="48"/>
    </row>
    <row r="38" spans="3:17" s="39" customFormat="1" ht="15.75" x14ac:dyDescent="0.25">
      <c r="C38" s="33" t="s">
        <v>156</v>
      </c>
      <c r="D38" s="34" t="s">
        <v>157</v>
      </c>
      <c r="E38" s="35" t="s">
        <v>114</v>
      </c>
      <c r="F38" s="36">
        <v>14</v>
      </c>
      <c r="G38" s="36">
        <v>12</v>
      </c>
      <c r="H38" s="36"/>
      <c r="I38" s="36">
        <f>G38*F38</f>
        <v>168</v>
      </c>
      <c r="J38" s="36">
        <f>SUM(J39:J43)</f>
        <v>3449.6784000000007</v>
      </c>
      <c r="K38" s="36">
        <f>J38+I38</f>
        <v>3617.6784000000007</v>
      </c>
      <c r="L38" s="149">
        <f>I38</f>
        <v>168</v>
      </c>
      <c r="M38" s="38"/>
      <c r="O38" s="40"/>
      <c r="P38" s="40"/>
      <c r="Q38" s="40"/>
    </row>
    <row r="39" spans="3:17" x14ac:dyDescent="0.25">
      <c r="C39" s="41"/>
      <c r="D39" s="42" t="s">
        <v>158</v>
      </c>
      <c r="E39" s="38" t="s">
        <v>114</v>
      </c>
      <c r="F39" s="43">
        <f>1.1*F38</f>
        <v>15.400000000000002</v>
      </c>
      <c r="G39" s="44"/>
      <c r="H39" s="43">
        <f>155.83*1.2</f>
        <v>186.99600000000001</v>
      </c>
      <c r="I39" s="43"/>
      <c r="J39" s="43">
        <f>H39*F39</f>
        <v>2879.7384000000006</v>
      </c>
      <c r="K39" s="45"/>
      <c r="L39" s="150"/>
      <c r="M39" s="38"/>
      <c r="N39" s="47"/>
      <c r="O39" s="48"/>
      <c r="P39" s="48"/>
      <c r="Q39" s="48"/>
    </row>
    <row r="40" spans="3:17" x14ac:dyDescent="0.25">
      <c r="C40" s="41"/>
      <c r="D40" s="42" t="s">
        <v>159</v>
      </c>
      <c r="E40" s="38" t="s">
        <v>64</v>
      </c>
      <c r="F40" s="43">
        <f>6*F38</f>
        <v>84</v>
      </c>
      <c r="G40" s="44"/>
      <c r="H40" s="43">
        <f>0.5*1.2</f>
        <v>0.6</v>
      </c>
      <c r="I40" s="43"/>
      <c r="J40" s="43">
        <f>H40*F40</f>
        <v>50.4</v>
      </c>
      <c r="K40" s="45"/>
      <c r="L40" s="150"/>
      <c r="M40" s="38"/>
      <c r="N40" s="47"/>
      <c r="O40" s="48"/>
      <c r="P40" s="48"/>
      <c r="Q40" s="48"/>
    </row>
    <row r="41" spans="3:17" x14ac:dyDescent="0.25">
      <c r="C41" s="41"/>
      <c r="D41" s="42" t="s">
        <v>160</v>
      </c>
      <c r="E41" s="38" t="s">
        <v>161</v>
      </c>
      <c r="F41" s="43">
        <v>3</v>
      </c>
      <c r="G41" s="44"/>
      <c r="H41" s="43">
        <f>57.75</f>
        <v>57.75</v>
      </c>
      <c r="I41" s="43"/>
      <c r="J41" s="43">
        <f>H41*F41</f>
        <v>173.25</v>
      </c>
      <c r="K41" s="45"/>
      <c r="L41" s="150"/>
      <c r="M41" s="38"/>
      <c r="N41" s="47"/>
      <c r="O41" s="48"/>
      <c r="P41" s="48"/>
      <c r="Q41" s="48"/>
    </row>
    <row r="42" spans="3:17" x14ac:dyDescent="0.25">
      <c r="C42" s="41"/>
      <c r="D42" s="42" t="s">
        <v>162</v>
      </c>
      <c r="E42" s="38" t="s">
        <v>64</v>
      </c>
      <c r="F42" s="43">
        <v>1</v>
      </c>
      <c r="G42" s="44"/>
      <c r="H42" s="43">
        <v>243.72</v>
      </c>
      <c r="I42" s="43"/>
      <c r="J42" s="43">
        <f>H42*F42</f>
        <v>243.72</v>
      </c>
      <c r="K42" s="45"/>
      <c r="L42" s="150"/>
      <c r="M42" s="38"/>
      <c r="N42" s="47"/>
      <c r="O42" s="48"/>
      <c r="P42" s="48"/>
      <c r="Q42" s="48"/>
    </row>
    <row r="43" spans="3:17" x14ac:dyDescent="0.25">
      <c r="C43" s="41"/>
      <c r="D43" s="42" t="s">
        <v>163</v>
      </c>
      <c r="E43" s="38" t="s">
        <v>64</v>
      </c>
      <c r="F43" s="43">
        <v>1</v>
      </c>
      <c r="G43" s="44"/>
      <c r="H43" s="43">
        <v>102.57</v>
      </c>
      <c r="I43" s="43"/>
      <c r="J43" s="43">
        <f>H43*F43</f>
        <v>102.57</v>
      </c>
      <c r="K43" s="45"/>
      <c r="L43" s="150"/>
      <c r="M43" s="38"/>
      <c r="N43" s="47"/>
      <c r="O43" s="48"/>
      <c r="P43" s="48"/>
      <c r="Q43" s="48"/>
    </row>
    <row r="44" spans="3:17" s="39" customFormat="1" ht="32.25" customHeight="1" x14ac:dyDescent="0.25">
      <c r="C44" s="33" t="s">
        <v>164</v>
      </c>
      <c r="D44" s="34" t="s">
        <v>165</v>
      </c>
      <c r="E44" s="35" t="s">
        <v>114</v>
      </c>
      <c r="F44" s="36">
        <v>420</v>
      </c>
      <c r="G44" s="36">
        <v>12</v>
      </c>
      <c r="H44" s="36"/>
      <c r="I44" s="36">
        <f>G44*F44</f>
        <v>5040</v>
      </c>
      <c r="J44" s="36">
        <f>SUM(J45:J46)</f>
        <v>87904.152000000016</v>
      </c>
      <c r="K44" s="36">
        <f>J44+I44</f>
        <v>92944.152000000016</v>
      </c>
      <c r="L44" s="149">
        <f>I44</f>
        <v>5040</v>
      </c>
      <c r="M44" s="38"/>
      <c r="O44" s="40"/>
      <c r="P44" s="40"/>
      <c r="Q44" s="40"/>
    </row>
    <row r="45" spans="3:17" x14ac:dyDescent="0.25">
      <c r="C45" s="41"/>
      <c r="D45" s="42" t="s">
        <v>158</v>
      </c>
      <c r="E45" s="38" t="s">
        <v>114</v>
      </c>
      <c r="F45" s="43">
        <f>1.1*F44</f>
        <v>462.00000000000006</v>
      </c>
      <c r="G45" s="44"/>
      <c r="H45" s="43">
        <f>155.83*1.2</f>
        <v>186.99600000000001</v>
      </c>
      <c r="I45" s="43"/>
      <c r="J45" s="43">
        <f>H45*F45</f>
        <v>86392.152000000016</v>
      </c>
      <c r="K45" s="45"/>
      <c r="L45" s="150"/>
      <c r="M45" s="38"/>
      <c r="N45" s="47"/>
      <c r="O45" s="48"/>
      <c r="P45" s="48"/>
      <c r="Q45" s="48"/>
    </row>
    <row r="46" spans="3:17" x14ac:dyDescent="0.25">
      <c r="C46" s="41"/>
      <c r="D46" s="42" t="s">
        <v>159</v>
      </c>
      <c r="E46" s="38" t="s">
        <v>64</v>
      </c>
      <c r="F46" s="43">
        <f>6*F44</f>
        <v>2520</v>
      </c>
      <c r="G46" s="44"/>
      <c r="H46" s="43">
        <v>0.6</v>
      </c>
      <c r="I46" s="43"/>
      <c r="J46" s="43">
        <f>H46*F46</f>
        <v>1512</v>
      </c>
      <c r="K46" s="45"/>
      <c r="L46" s="150"/>
      <c r="M46" s="38"/>
      <c r="N46" s="47"/>
      <c r="O46" s="48"/>
      <c r="P46" s="48"/>
      <c r="Q46" s="48"/>
    </row>
    <row r="47" spans="3:17" s="39" customFormat="1" ht="32.25" customHeight="1" x14ac:dyDescent="0.25">
      <c r="C47" s="33" t="s">
        <v>166</v>
      </c>
      <c r="D47" s="34" t="s">
        <v>167</v>
      </c>
      <c r="E47" s="35" t="s">
        <v>114</v>
      </c>
      <c r="F47" s="36">
        <v>224</v>
      </c>
      <c r="G47" s="36">
        <v>20</v>
      </c>
      <c r="H47" s="36"/>
      <c r="I47" s="36">
        <f>G47*F47</f>
        <v>4480</v>
      </c>
      <c r="J47" s="36">
        <f>SUM(J48)</f>
        <v>3200</v>
      </c>
      <c r="K47" s="36">
        <f>J47+I47</f>
        <v>7680</v>
      </c>
      <c r="L47" s="149">
        <f>I47</f>
        <v>4480</v>
      </c>
      <c r="M47" s="38"/>
      <c r="O47" s="40"/>
      <c r="P47" s="40"/>
      <c r="Q47" s="40"/>
    </row>
    <row r="48" spans="3:17" x14ac:dyDescent="0.25">
      <c r="C48" s="41"/>
      <c r="D48" s="42" t="s">
        <v>168</v>
      </c>
      <c r="E48" s="38" t="s">
        <v>19</v>
      </c>
      <c r="F48" s="43">
        <v>20</v>
      </c>
      <c r="G48" s="44"/>
      <c r="H48" s="43">
        <v>160</v>
      </c>
      <c r="I48" s="43"/>
      <c r="J48" s="43">
        <f>H48*F48</f>
        <v>3200</v>
      </c>
      <c r="K48" s="45"/>
      <c r="L48" s="150"/>
      <c r="M48" s="38"/>
      <c r="N48" s="47"/>
      <c r="O48" s="48"/>
      <c r="P48" s="48"/>
      <c r="Q48" s="48"/>
    </row>
    <row r="49" spans="3:17" s="39" customFormat="1" ht="32.25" customHeight="1" x14ac:dyDescent="0.25">
      <c r="C49" s="33" t="s">
        <v>169</v>
      </c>
      <c r="D49" s="34" t="s">
        <v>170</v>
      </c>
      <c r="E49" s="35"/>
      <c r="F49" s="36"/>
      <c r="G49" s="36"/>
      <c r="H49" s="36"/>
      <c r="I49" s="36"/>
      <c r="J49" s="36"/>
      <c r="K49" s="36"/>
      <c r="L49" s="149"/>
      <c r="M49" s="38"/>
      <c r="O49" s="40"/>
      <c r="P49" s="40"/>
      <c r="Q49" s="40"/>
    </row>
    <row r="50" spans="3:17" s="39" customFormat="1" ht="63" x14ac:dyDescent="0.25">
      <c r="C50" s="33"/>
      <c r="D50" s="34" t="s">
        <v>343</v>
      </c>
      <c r="E50" s="35" t="s">
        <v>57</v>
      </c>
      <c r="F50" s="151">
        <v>2</v>
      </c>
      <c r="G50" s="36">
        <v>900</v>
      </c>
      <c r="H50" s="36"/>
      <c r="I50" s="36">
        <f>G50*F50</f>
        <v>1800</v>
      </c>
      <c r="J50" s="36"/>
      <c r="K50" s="36">
        <f>J50+I50</f>
        <v>1800</v>
      </c>
      <c r="L50" s="149"/>
      <c r="M50" s="1" t="s">
        <v>344</v>
      </c>
      <c r="O50" s="40"/>
      <c r="P50" s="40"/>
      <c r="Q50" s="40"/>
    </row>
    <row r="51" spans="3:17" s="39" customFormat="1" ht="32.25" customHeight="1" x14ac:dyDescent="0.25">
      <c r="C51" s="33"/>
      <c r="D51" s="34" t="s">
        <v>83</v>
      </c>
      <c r="E51" s="35" t="s">
        <v>57</v>
      </c>
      <c r="F51" s="151">
        <v>2</v>
      </c>
      <c r="G51" s="36">
        <v>3500</v>
      </c>
      <c r="H51" s="36"/>
      <c r="I51" s="36">
        <f>G51*F51</f>
        <v>7000</v>
      </c>
      <c r="J51" s="36"/>
      <c r="K51" s="36">
        <f>J51+I51</f>
        <v>7000</v>
      </c>
      <c r="L51" s="149"/>
      <c r="M51" s="216" t="s">
        <v>345</v>
      </c>
      <c r="O51" s="40"/>
      <c r="P51" s="40"/>
      <c r="Q51" s="40"/>
    </row>
    <row r="52" spans="3:17" s="39" customFormat="1" ht="32.25" customHeight="1" x14ac:dyDescent="0.25">
      <c r="C52" s="33"/>
      <c r="D52" s="34" t="s">
        <v>346</v>
      </c>
      <c r="E52" s="35" t="s">
        <v>95</v>
      </c>
      <c r="F52" s="36">
        <f>2*F51</f>
        <v>4</v>
      </c>
      <c r="G52" s="36">
        <v>410</v>
      </c>
      <c r="H52" s="36"/>
      <c r="I52" s="36">
        <f>G52*F52</f>
        <v>1640</v>
      </c>
      <c r="J52" s="36"/>
      <c r="K52" s="36">
        <f>J52+I52</f>
        <v>1640</v>
      </c>
      <c r="L52" s="149">
        <f>I52</f>
        <v>1640</v>
      </c>
      <c r="M52" s="216"/>
      <c r="O52" s="40"/>
      <c r="P52" s="40"/>
      <c r="Q52" s="40"/>
    </row>
    <row r="53" spans="3:17" s="39" customFormat="1" ht="32.25" customHeight="1" x14ac:dyDescent="0.25">
      <c r="C53" s="33"/>
      <c r="D53" s="34" t="s">
        <v>347</v>
      </c>
      <c r="E53" s="35" t="s">
        <v>57</v>
      </c>
      <c r="F53" s="36">
        <v>4</v>
      </c>
      <c r="G53" s="36">
        <v>2100</v>
      </c>
      <c r="H53" s="36"/>
      <c r="I53" s="36">
        <f>G53*F53</f>
        <v>8400</v>
      </c>
      <c r="J53" s="36"/>
      <c r="K53" s="36">
        <f>J53+I53</f>
        <v>8400</v>
      </c>
      <c r="L53" s="149"/>
      <c r="M53" s="216"/>
      <c r="O53" s="40"/>
      <c r="P53" s="40"/>
      <c r="Q53" s="40"/>
    </row>
    <row r="54" spans="3:17" s="39" customFormat="1" ht="32.25" customHeight="1" x14ac:dyDescent="0.25">
      <c r="C54" s="153" t="s">
        <v>179</v>
      </c>
      <c r="D54" s="154" t="s">
        <v>180</v>
      </c>
      <c r="E54" s="155"/>
      <c r="F54" s="151"/>
      <c r="G54" s="151"/>
      <c r="H54" s="151"/>
      <c r="I54" s="151"/>
      <c r="J54" s="151"/>
      <c r="K54" s="151"/>
      <c r="L54" s="152"/>
      <c r="M54" s="216" t="s">
        <v>348</v>
      </c>
      <c r="O54" s="40"/>
      <c r="P54" s="40"/>
      <c r="Q54" s="40"/>
    </row>
    <row r="55" spans="3:17" s="39" customFormat="1" ht="32.25" customHeight="1" x14ac:dyDescent="0.25">
      <c r="C55" s="153"/>
      <c r="D55" s="154" t="s">
        <v>182</v>
      </c>
      <c r="E55" s="155" t="s">
        <v>57</v>
      </c>
      <c r="F55" s="151">
        <f>2+3</f>
        <v>5</v>
      </c>
      <c r="G55" s="151">
        <v>3500</v>
      </c>
      <c r="H55" s="151"/>
      <c r="I55" s="151"/>
      <c r="J55" s="151"/>
      <c r="K55" s="151"/>
      <c r="L55" s="152"/>
      <c r="M55" s="216"/>
      <c r="O55" s="40"/>
      <c r="P55" s="40"/>
      <c r="Q55" s="40"/>
    </row>
    <row r="56" spans="3:17" s="39" customFormat="1" ht="32.25" customHeight="1" x14ac:dyDescent="0.25">
      <c r="C56" s="153"/>
      <c r="D56" s="154" t="s">
        <v>185</v>
      </c>
      <c r="E56" s="155" t="s">
        <v>95</v>
      </c>
      <c r="F56" s="151">
        <f>2*F55</f>
        <v>10</v>
      </c>
      <c r="G56" s="151">
        <v>400</v>
      </c>
      <c r="H56" s="151"/>
      <c r="I56" s="151"/>
      <c r="J56" s="151"/>
      <c r="K56" s="151"/>
      <c r="L56" s="152"/>
      <c r="M56" s="216"/>
      <c r="O56" s="40"/>
      <c r="P56" s="40"/>
      <c r="Q56" s="40"/>
    </row>
    <row r="57" spans="3:17" s="39" customFormat="1" ht="32.25" customHeight="1" x14ac:dyDescent="0.25">
      <c r="C57" s="33" t="s">
        <v>187</v>
      </c>
      <c r="D57" s="34" t="s">
        <v>188</v>
      </c>
      <c r="E57" s="35" t="s">
        <v>189</v>
      </c>
      <c r="F57" s="36">
        <f>ROUNDUP((2.5*7),0)</f>
        <v>18</v>
      </c>
      <c r="G57" s="36">
        <v>500</v>
      </c>
      <c r="H57" s="36"/>
      <c r="I57" s="36">
        <f>G57*F57</f>
        <v>9000</v>
      </c>
      <c r="J57" s="36">
        <f>SUM(J58)</f>
        <v>16200</v>
      </c>
      <c r="K57" s="36">
        <f>I57+J57</f>
        <v>25200</v>
      </c>
      <c r="L57" s="149"/>
      <c r="M57" s="217" t="s">
        <v>349</v>
      </c>
      <c r="O57" s="40"/>
      <c r="P57" s="40"/>
      <c r="Q57" s="40"/>
    </row>
    <row r="58" spans="3:17" x14ac:dyDescent="0.25">
      <c r="C58" s="41"/>
      <c r="D58" s="42" t="s">
        <v>191</v>
      </c>
      <c r="E58" s="38" t="s">
        <v>98</v>
      </c>
      <c r="F58" s="43">
        <f>(4*9)*F57</f>
        <v>648</v>
      </c>
      <c r="G58" s="44"/>
      <c r="H58" s="43">
        <v>25</v>
      </c>
      <c r="I58" s="43"/>
      <c r="J58" s="43">
        <f>H58*F58</f>
        <v>16200</v>
      </c>
      <c r="K58" s="45"/>
      <c r="L58" s="150">
        <f>J58</f>
        <v>16200</v>
      </c>
      <c r="M58" s="217"/>
      <c r="N58" s="47"/>
      <c r="O58" s="48"/>
      <c r="P58" s="48"/>
      <c r="Q58" s="48"/>
    </row>
    <row r="59" spans="3:17" s="6" customFormat="1" x14ac:dyDescent="0.25">
      <c r="C59" s="27" t="s">
        <v>23</v>
      </c>
      <c r="D59" s="28" t="s">
        <v>192</v>
      </c>
      <c r="E59" s="63"/>
      <c r="F59" s="31"/>
      <c r="G59" s="31"/>
      <c r="H59" s="31"/>
      <c r="I59" s="31">
        <f>SUM(I60:I100)</f>
        <v>56406.865523663153</v>
      </c>
      <c r="J59" s="31">
        <f>J61+J72+J69+J79+J86+J99</f>
        <v>285848.5188155963</v>
      </c>
      <c r="K59" s="31">
        <f>SUM(K60:K100)</f>
        <v>342255.38433925947</v>
      </c>
      <c r="L59" s="148">
        <f>SUM(L60:L100)</f>
        <v>63706.865523663153</v>
      </c>
      <c r="M59" s="64"/>
      <c r="O59" s="24"/>
      <c r="P59" s="25"/>
      <c r="Q59" s="26"/>
    </row>
    <row r="60" spans="3:17" s="39" customFormat="1" ht="15.75" x14ac:dyDescent="0.25">
      <c r="C60" s="33" t="s">
        <v>193</v>
      </c>
      <c r="D60" s="34" t="s">
        <v>194</v>
      </c>
      <c r="E60" s="35" t="s">
        <v>126</v>
      </c>
      <c r="F60" s="36">
        <v>175</v>
      </c>
      <c r="G60" s="36">
        <v>20</v>
      </c>
      <c r="H60" s="36"/>
      <c r="I60" s="36">
        <f>G60*F60</f>
        <v>3500</v>
      </c>
      <c r="J60" s="36"/>
      <c r="K60" s="36">
        <f>J60+I60</f>
        <v>3500</v>
      </c>
      <c r="L60" s="149">
        <f>I60</f>
        <v>3500</v>
      </c>
      <c r="M60" s="38"/>
      <c r="O60" s="40"/>
      <c r="P60" s="40"/>
      <c r="Q60" s="40"/>
    </row>
    <row r="61" spans="3:17" s="39" customFormat="1" ht="15.75" x14ac:dyDescent="0.25">
      <c r="C61" s="33" t="s">
        <v>195</v>
      </c>
      <c r="D61" s="34" t="s">
        <v>196</v>
      </c>
      <c r="E61" s="35" t="s">
        <v>54</v>
      </c>
      <c r="F61" s="36">
        <f>(F64*0.00217)+(F65*0.0109)</f>
        <v>1.16316</v>
      </c>
      <c r="G61" s="36">
        <v>7000</v>
      </c>
      <c r="H61" s="36"/>
      <c r="I61" s="36">
        <f>G61*F61</f>
        <v>8142.12</v>
      </c>
      <c r="J61" s="36">
        <f>SUM(J64:J68)</f>
        <v>21756.201973689516</v>
      </c>
      <c r="K61" s="36">
        <f>J61+I61</f>
        <v>29898.321973689515</v>
      </c>
      <c r="L61" s="149">
        <f>I61</f>
        <v>8142.12</v>
      </c>
      <c r="M61" s="38"/>
      <c r="O61" s="40"/>
      <c r="P61" s="40"/>
      <c r="Q61" s="40"/>
    </row>
    <row r="62" spans="3:17" s="39" customFormat="1" ht="15.75" x14ac:dyDescent="0.25">
      <c r="C62" s="33" t="s">
        <v>197</v>
      </c>
      <c r="D62" s="34" t="s">
        <v>130</v>
      </c>
      <c r="E62" s="35" t="s">
        <v>131</v>
      </c>
      <c r="F62" s="36">
        <f>F66/0.1</f>
        <v>70.516107000000005</v>
      </c>
      <c r="G62" s="36">
        <v>8</v>
      </c>
      <c r="H62" s="36"/>
      <c r="I62" s="36">
        <f>G62*F62</f>
        <v>564.12885600000004</v>
      </c>
      <c r="J62" s="36"/>
      <c r="K62" s="36">
        <f>J62+I62</f>
        <v>564.12885600000004</v>
      </c>
      <c r="L62" s="149">
        <f>I62</f>
        <v>564.12885600000004</v>
      </c>
      <c r="M62" s="38"/>
      <c r="O62" s="40"/>
      <c r="P62" s="40"/>
      <c r="Q62" s="40"/>
    </row>
    <row r="63" spans="3:17" s="39" customFormat="1" ht="15.75" x14ac:dyDescent="0.25">
      <c r="C63" s="33" t="s">
        <v>198</v>
      </c>
      <c r="D63" s="34" t="s">
        <v>133</v>
      </c>
      <c r="E63" s="35" t="s">
        <v>131</v>
      </c>
      <c r="F63" s="36">
        <f>F67/0.19</f>
        <v>37.113740526315794</v>
      </c>
      <c r="G63" s="36">
        <v>10</v>
      </c>
      <c r="H63" s="36"/>
      <c r="I63" s="36">
        <f>G63*F63</f>
        <v>371.13740526315792</v>
      </c>
      <c r="J63" s="36"/>
      <c r="K63" s="36">
        <f>J63+I63</f>
        <v>371.13740526315792</v>
      </c>
      <c r="L63" s="149">
        <f>I63</f>
        <v>371.13740526315792</v>
      </c>
      <c r="M63" s="38"/>
      <c r="O63" s="40"/>
      <c r="P63" s="40"/>
      <c r="Q63" s="40"/>
    </row>
    <row r="64" spans="3:17" ht="31.5" x14ac:dyDescent="0.25">
      <c r="C64" s="41"/>
      <c r="D64" s="42" t="s">
        <v>199</v>
      </c>
      <c r="E64" s="38" t="s">
        <v>38</v>
      </c>
      <c r="F64" s="43">
        <v>423</v>
      </c>
      <c r="G64" s="44"/>
      <c r="H64" s="43">
        <f>(31002.3+569.7+250)/813</f>
        <v>39.141451414514144</v>
      </c>
      <c r="I64" s="43"/>
      <c r="J64" s="43">
        <f>H64*F64</f>
        <v>16556.833948339481</v>
      </c>
      <c r="K64" s="45"/>
      <c r="L64" s="150"/>
      <c r="M64" s="38"/>
      <c r="N64" s="47"/>
      <c r="O64" s="48"/>
      <c r="P64" s="48"/>
      <c r="Q64" s="48"/>
    </row>
    <row r="65" spans="3:17" ht="47.25" x14ac:dyDescent="0.25">
      <c r="C65" s="41"/>
      <c r="D65" s="42" t="s">
        <v>200</v>
      </c>
      <c r="E65" s="38" t="s">
        <v>38</v>
      </c>
      <c r="F65" s="43">
        <v>22.5</v>
      </c>
      <c r="G65" s="44"/>
      <c r="H65" s="43">
        <f>(7303.2+250+58.32)/36</f>
        <v>211.43111111111111</v>
      </c>
      <c r="I65" s="43"/>
      <c r="J65" s="43">
        <f>H65*F65</f>
        <v>4757.2</v>
      </c>
      <c r="K65" s="45"/>
      <c r="L65" s="150"/>
      <c r="M65" s="38"/>
      <c r="N65" s="47"/>
      <c r="O65" s="48"/>
      <c r="P65" s="48"/>
      <c r="Q65" s="48"/>
    </row>
    <row r="66" spans="3:17" x14ac:dyDescent="0.25">
      <c r="C66" s="41"/>
      <c r="D66" s="42" t="s">
        <v>136</v>
      </c>
      <c r="E66" s="38" t="s">
        <v>137</v>
      </c>
      <c r="F66" s="43">
        <f>0.1*((F64*0.00217*65.2)+(F65*0.0109*43.5))</f>
        <v>7.0516107000000012</v>
      </c>
      <c r="G66" s="44"/>
      <c r="H66" s="43">
        <f>(61.28*1.2)/2.8</f>
        <v>26.262857142857143</v>
      </c>
      <c r="I66" s="43"/>
      <c r="J66" s="43">
        <f>H66*F66</f>
        <v>185.19544444114288</v>
      </c>
      <c r="K66" s="45"/>
      <c r="L66" s="150"/>
      <c r="M66" s="38"/>
      <c r="N66" s="47"/>
      <c r="O66" s="48"/>
      <c r="P66" s="48"/>
      <c r="Q66" s="48"/>
    </row>
    <row r="67" spans="3:17" x14ac:dyDescent="0.25">
      <c r="C67" s="41"/>
      <c r="D67" s="42" t="s">
        <v>138</v>
      </c>
      <c r="E67" s="38" t="s">
        <v>137</v>
      </c>
      <c r="F67" s="43">
        <f>0.1*((F64*0.00217*65.2)+(F65*0.0109*43.5))</f>
        <v>7.0516107000000012</v>
      </c>
      <c r="G67" s="44"/>
      <c r="H67" s="43">
        <f>(79.46*1.2)/2.8</f>
        <v>34.054285714285712</v>
      </c>
      <c r="I67" s="43"/>
      <c r="J67" s="43">
        <f>H67*F67</f>
        <v>240.1375655237143</v>
      </c>
      <c r="K67" s="45"/>
      <c r="L67" s="150"/>
      <c r="M67" s="38"/>
      <c r="N67" s="47"/>
      <c r="O67" s="48"/>
      <c r="P67" s="48"/>
      <c r="Q67" s="48"/>
    </row>
    <row r="68" spans="3:17" x14ac:dyDescent="0.25">
      <c r="C68" s="41"/>
      <c r="D68" s="42" t="s">
        <v>139</v>
      </c>
      <c r="E68" s="38" t="s">
        <v>137</v>
      </c>
      <c r="F68" s="49">
        <f>F67/10</f>
        <v>0.70516107000000017</v>
      </c>
      <c r="G68" s="44"/>
      <c r="H68" s="43">
        <f>(79.58*1.2)/4</f>
        <v>23.873999999999999</v>
      </c>
      <c r="I68" s="43"/>
      <c r="J68" s="43">
        <f>H68*F68</f>
        <v>16.835015385180004</v>
      </c>
      <c r="K68" s="45"/>
      <c r="L68" s="150"/>
      <c r="M68" s="38"/>
      <c r="N68" s="47"/>
      <c r="O68" s="48"/>
      <c r="P68" s="48"/>
      <c r="Q68" s="48"/>
    </row>
    <row r="69" spans="3:17" s="39" customFormat="1" ht="15.75" x14ac:dyDescent="0.25">
      <c r="C69" s="33" t="s">
        <v>201</v>
      </c>
      <c r="D69" s="34" t="s">
        <v>142</v>
      </c>
      <c r="E69" s="35" t="s">
        <v>64</v>
      </c>
      <c r="F69" s="36">
        <f>ROUNDUP(30.6/(0.5*0.5*0.7),0)</f>
        <v>175</v>
      </c>
      <c r="G69" s="36">
        <v>25</v>
      </c>
      <c r="H69" s="36"/>
      <c r="I69" s="36">
        <f>G69*F69</f>
        <v>4375</v>
      </c>
      <c r="J69" s="36">
        <f>SUM(J71)</f>
        <v>27310.071599999996</v>
      </c>
      <c r="K69" s="36">
        <f>J69+I69</f>
        <v>31685.071599999996</v>
      </c>
      <c r="L69" s="149">
        <f>I69</f>
        <v>4375</v>
      </c>
      <c r="M69" s="38"/>
      <c r="O69" s="40"/>
      <c r="P69" s="40"/>
      <c r="Q69" s="40"/>
    </row>
    <row r="70" spans="3:17" s="39" customFormat="1" ht="94.5" x14ac:dyDescent="0.25">
      <c r="C70" s="33" t="s">
        <v>202</v>
      </c>
      <c r="D70" s="34" t="s">
        <v>144</v>
      </c>
      <c r="E70" s="35" t="s">
        <v>95</v>
      </c>
      <c r="F70" s="36">
        <v>24</v>
      </c>
      <c r="G70" s="36">
        <v>400</v>
      </c>
      <c r="H70" s="36"/>
      <c r="I70" s="151"/>
      <c r="J70" s="151"/>
      <c r="K70" s="151"/>
      <c r="L70" s="152"/>
      <c r="M70" s="1" t="s">
        <v>342</v>
      </c>
      <c r="O70" s="40"/>
      <c r="P70" s="40"/>
      <c r="Q70" s="40"/>
    </row>
    <row r="71" spans="3:17" ht="31.5" x14ac:dyDescent="0.25">
      <c r="C71" s="41"/>
      <c r="D71" s="42" t="s">
        <v>146</v>
      </c>
      <c r="E71" s="38" t="s">
        <v>19</v>
      </c>
      <c r="F71" s="43">
        <f>1.02*(175*(0.5*0.5*0.7))</f>
        <v>31.237499999999997</v>
      </c>
      <c r="G71" s="44"/>
      <c r="H71" s="43">
        <f>43713.6/50</f>
        <v>874.27199999999993</v>
      </c>
      <c r="I71" s="43"/>
      <c r="J71" s="43">
        <f>H71*F71</f>
        <v>27310.071599999996</v>
      </c>
      <c r="K71" s="45"/>
      <c r="L71" s="150"/>
      <c r="M71" s="38"/>
      <c r="N71" s="47"/>
      <c r="O71" s="48"/>
      <c r="P71" s="48"/>
      <c r="Q71" s="48"/>
    </row>
    <row r="72" spans="3:17" s="39" customFormat="1" ht="15.75" x14ac:dyDescent="0.25">
      <c r="C72" s="33" t="s">
        <v>203</v>
      </c>
      <c r="D72" s="34" t="s">
        <v>148</v>
      </c>
      <c r="E72" s="35" t="s">
        <v>54</v>
      </c>
      <c r="F72" s="36">
        <f>F75*0.0017</f>
        <v>1.4076</v>
      </c>
      <c r="G72" s="36">
        <v>7000</v>
      </c>
      <c r="H72" s="36"/>
      <c r="I72" s="36">
        <f>G72*F72</f>
        <v>9853.1999999999989</v>
      </c>
      <c r="J72" s="36">
        <f>SUM(J75:J78)</f>
        <v>26399.561852526349</v>
      </c>
      <c r="K72" s="36">
        <f>J72+I72</f>
        <v>36252.761852526346</v>
      </c>
      <c r="L72" s="149">
        <f>I72</f>
        <v>9853.1999999999989</v>
      </c>
      <c r="M72" s="38"/>
      <c r="O72" s="40"/>
      <c r="P72" s="40"/>
      <c r="Q72" s="40"/>
    </row>
    <row r="73" spans="3:17" s="39" customFormat="1" ht="15.75" x14ac:dyDescent="0.25">
      <c r="C73" s="33" t="s">
        <v>204</v>
      </c>
      <c r="D73" s="34" t="s">
        <v>130</v>
      </c>
      <c r="E73" s="35" t="s">
        <v>131</v>
      </c>
      <c r="F73" s="36">
        <f>F76/0.1</f>
        <v>91.77552</v>
      </c>
      <c r="G73" s="36">
        <v>8</v>
      </c>
      <c r="H73" s="36"/>
      <c r="I73" s="36">
        <f>G73*F73</f>
        <v>734.20416</v>
      </c>
      <c r="J73" s="36"/>
      <c r="K73" s="36">
        <f>J73+I73</f>
        <v>734.20416</v>
      </c>
      <c r="L73" s="149">
        <f>I73</f>
        <v>734.20416</v>
      </c>
      <c r="M73" s="38"/>
      <c r="O73" s="40"/>
      <c r="P73" s="40"/>
      <c r="Q73" s="40"/>
    </row>
    <row r="74" spans="3:17" s="39" customFormat="1" ht="15.75" x14ac:dyDescent="0.25">
      <c r="C74" s="33" t="s">
        <v>205</v>
      </c>
      <c r="D74" s="34" t="s">
        <v>133</v>
      </c>
      <c r="E74" s="35" t="s">
        <v>131</v>
      </c>
      <c r="F74" s="36">
        <f>F77/0.19</f>
        <v>91.775519999999986</v>
      </c>
      <c r="G74" s="36">
        <v>10</v>
      </c>
      <c r="H74" s="36"/>
      <c r="I74" s="36">
        <f>G74*F74</f>
        <v>917.75519999999983</v>
      </c>
      <c r="J74" s="36"/>
      <c r="K74" s="36">
        <f>J74+I74</f>
        <v>917.75519999999983</v>
      </c>
      <c r="L74" s="149">
        <f>I74</f>
        <v>917.75519999999983</v>
      </c>
      <c r="M74" s="38"/>
      <c r="O74" s="40"/>
      <c r="P74" s="40"/>
      <c r="Q74" s="40"/>
    </row>
    <row r="75" spans="3:17" ht="31.5" x14ac:dyDescent="0.25">
      <c r="C75" s="41"/>
      <c r="D75" s="42" t="s">
        <v>151</v>
      </c>
      <c r="E75" s="38" t="s">
        <v>38</v>
      </c>
      <c r="F75" s="43">
        <v>828</v>
      </c>
      <c r="G75" s="44"/>
      <c r="H75" s="43">
        <f>(37395.9+250+823.68)/1248</f>
        <v>30.824983974358975</v>
      </c>
      <c r="I75" s="43"/>
      <c r="J75" s="43">
        <f>H75*F75</f>
        <v>25523.086730769232</v>
      </c>
      <c r="K75" s="45"/>
      <c r="L75" s="150"/>
      <c r="M75" s="38"/>
      <c r="N75" s="47"/>
      <c r="O75" s="48"/>
      <c r="P75" s="48"/>
      <c r="Q75" s="48"/>
    </row>
    <row r="76" spans="3:17" x14ac:dyDescent="0.25">
      <c r="C76" s="41"/>
      <c r="D76" s="42" t="s">
        <v>136</v>
      </c>
      <c r="E76" s="38" t="s">
        <v>137</v>
      </c>
      <c r="F76" s="43">
        <f>0.1*(0.0017*F75*65.2)</f>
        <v>9.1775520000000004</v>
      </c>
      <c r="G76" s="44"/>
      <c r="H76" s="43">
        <f>(61.28*1.2)/2.8</f>
        <v>26.262857142857143</v>
      </c>
      <c r="I76" s="43"/>
      <c r="J76" s="43">
        <f>H76*F76</f>
        <v>241.02873709714288</v>
      </c>
      <c r="K76" s="45"/>
      <c r="L76" s="150"/>
      <c r="M76" s="38"/>
      <c r="N76" s="47"/>
      <c r="O76" s="48"/>
      <c r="P76" s="48"/>
      <c r="Q76" s="48"/>
    </row>
    <row r="77" spans="3:17" x14ac:dyDescent="0.25">
      <c r="C77" s="41"/>
      <c r="D77" s="42" t="s">
        <v>138</v>
      </c>
      <c r="E77" s="38" t="s">
        <v>137</v>
      </c>
      <c r="F77" s="43">
        <f>0.19*(0.0017*F75*65.2)</f>
        <v>17.437348799999999</v>
      </c>
      <c r="G77" s="44"/>
      <c r="H77" s="43">
        <f>(79.46*1.2)/2.8</f>
        <v>34.054285714285712</v>
      </c>
      <c r="I77" s="43"/>
      <c r="J77" s="43">
        <f>H77*F77</f>
        <v>593.81645813485704</v>
      </c>
      <c r="K77" s="45"/>
      <c r="L77" s="150"/>
      <c r="M77" s="38"/>
      <c r="N77" s="47"/>
      <c r="O77" s="48"/>
      <c r="P77" s="48"/>
      <c r="Q77" s="48"/>
    </row>
    <row r="78" spans="3:17" x14ac:dyDescent="0.25">
      <c r="C78" s="41"/>
      <c r="D78" s="42" t="s">
        <v>139</v>
      </c>
      <c r="E78" s="38" t="s">
        <v>137</v>
      </c>
      <c r="F78" s="49">
        <f>F77/10</f>
        <v>1.7437348799999999</v>
      </c>
      <c r="G78" s="44"/>
      <c r="H78" s="43">
        <f>(79.58*1.2)/4</f>
        <v>23.873999999999999</v>
      </c>
      <c r="I78" s="43"/>
      <c r="J78" s="43">
        <f>H78*F78</f>
        <v>41.629926525119998</v>
      </c>
      <c r="K78" s="45"/>
      <c r="L78" s="150"/>
      <c r="M78" s="38"/>
      <c r="N78" s="47"/>
      <c r="O78" s="48"/>
      <c r="P78" s="48"/>
      <c r="Q78" s="48"/>
    </row>
    <row r="79" spans="3:17" s="39" customFormat="1" ht="32.25" customHeight="1" x14ac:dyDescent="0.25">
      <c r="C79" s="33" t="s">
        <v>206</v>
      </c>
      <c r="D79" s="34" t="s">
        <v>207</v>
      </c>
      <c r="E79" s="35" t="s">
        <v>54</v>
      </c>
      <c r="F79" s="36">
        <f>F82*0.00217</f>
        <v>0.28253400000000001</v>
      </c>
      <c r="G79" s="36">
        <v>7000</v>
      </c>
      <c r="H79" s="36"/>
      <c r="I79" s="36">
        <f>G79*F79</f>
        <v>1977.7380000000001</v>
      </c>
      <c r="J79" s="36">
        <f>SUM(J82:J85)</f>
        <v>5272.1433893804015</v>
      </c>
      <c r="K79" s="36">
        <f>J79+I79</f>
        <v>7249.8813893804017</v>
      </c>
      <c r="L79" s="149">
        <f>I79</f>
        <v>1977.7380000000001</v>
      </c>
      <c r="M79" s="38"/>
      <c r="O79" s="40"/>
      <c r="P79" s="40"/>
      <c r="Q79" s="40"/>
    </row>
    <row r="80" spans="3:17" s="39" customFormat="1" ht="15.75" x14ac:dyDescent="0.25">
      <c r="C80" s="33" t="s">
        <v>208</v>
      </c>
      <c r="D80" s="34" t="s">
        <v>130</v>
      </c>
      <c r="E80" s="35" t="s">
        <v>131</v>
      </c>
      <c r="F80" s="36">
        <f>F83/0.1</f>
        <v>18.4212168</v>
      </c>
      <c r="G80" s="36">
        <v>8</v>
      </c>
      <c r="H80" s="36"/>
      <c r="I80" s="36">
        <f>G80*F80</f>
        <v>147.3697344</v>
      </c>
      <c r="J80" s="36"/>
      <c r="K80" s="36">
        <f>J80+I80</f>
        <v>147.3697344</v>
      </c>
      <c r="L80" s="149">
        <f>I80</f>
        <v>147.3697344</v>
      </c>
      <c r="M80" s="38"/>
      <c r="O80" s="40"/>
      <c r="P80" s="40"/>
      <c r="Q80" s="40"/>
    </row>
    <row r="81" spans="3:17" s="39" customFormat="1" ht="15.75" x14ac:dyDescent="0.25">
      <c r="C81" s="33" t="s">
        <v>209</v>
      </c>
      <c r="D81" s="34" t="s">
        <v>133</v>
      </c>
      <c r="E81" s="35" t="s">
        <v>131</v>
      </c>
      <c r="F81" s="36">
        <f>F84/0.19</f>
        <v>18.4212168</v>
      </c>
      <c r="G81" s="36">
        <v>10</v>
      </c>
      <c r="H81" s="36"/>
      <c r="I81" s="36">
        <f>G81*F81</f>
        <v>184.21216799999999</v>
      </c>
      <c r="J81" s="36"/>
      <c r="K81" s="36">
        <f>J81+I81</f>
        <v>184.21216799999999</v>
      </c>
      <c r="L81" s="149">
        <f>I81</f>
        <v>184.21216799999999</v>
      </c>
      <c r="M81" s="38"/>
      <c r="O81" s="40"/>
      <c r="P81" s="40"/>
      <c r="Q81" s="40"/>
    </row>
    <row r="82" spans="3:17" ht="31.5" x14ac:dyDescent="0.25">
      <c r="C82" s="41"/>
      <c r="D82" s="42" t="s">
        <v>134</v>
      </c>
      <c r="E82" s="38" t="s">
        <v>38</v>
      </c>
      <c r="F82" s="43">
        <v>130.19999999999999</v>
      </c>
      <c r="G82" s="44"/>
      <c r="H82" s="43">
        <f>(31002.3+569.7+250)/813</f>
        <v>39.141451414514144</v>
      </c>
      <c r="I82" s="43"/>
      <c r="J82" s="43">
        <f>H82*F82</f>
        <v>5096.2169741697408</v>
      </c>
      <c r="K82" s="45"/>
      <c r="L82" s="150"/>
      <c r="M82" s="38"/>
      <c r="N82" s="47"/>
      <c r="O82" s="48"/>
      <c r="P82" s="48"/>
      <c r="Q82" s="48"/>
    </row>
    <row r="83" spans="3:17" x14ac:dyDescent="0.25">
      <c r="C83" s="41"/>
      <c r="D83" s="42" t="s">
        <v>136</v>
      </c>
      <c r="E83" s="38" t="s">
        <v>137</v>
      </c>
      <c r="F83" s="43">
        <f>0.1*(0.00217*65.2*F82)</f>
        <v>1.84212168</v>
      </c>
      <c r="G83" s="44"/>
      <c r="H83" s="43">
        <f>(61.28*1.2)/2.8</f>
        <v>26.262857142857143</v>
      </c>
      <c r="I83" s="43"/>
      <c r="J83" s="43">
        <f>H83*F83</f>
        <v>48.379378521600003</v>
      </c>
      <c r="K83" s="45"/>
      <c r="L83" s="150"/>
      <c r="M83" s="38"/>
      <c r="N83" s="47"/>
      <c r="O83" s="48"/>
      <c r="P83" s="48"/>
      <c r="Q83" s="48"/>
    </row>
    <row r="84" spans="3:17" x14ac:dyDescent="0.25">
      <c r="C84" s="41"/>
      <c r="D84" s="42" t="s">
        <v>138</v>
      </c>
      <c r="E84" s="38" t="s">
        <v>137</v>
      </c>
      <c r="F84" s="43">
        <f>0.19*(0.00217*65.2*F82)</f>
        <v>3.5000311919999998</v>
      </c>
      <c r="G84" s="44"/>
      <c r="H84" s="43">
        <f>(79.46*1.2)/2.8</f>
        <v>34.054285714285712</v>
      </c>
      <c r="I84" s="43"/>
      <c r="J84" s="43">
        <f>H84*F84</f>
        <v>119.19106222127998</v>
      </c>
      <c r="K84" s="45"/>
      <c r="L84" s="150"/>
      <c r="M84" s="38"/>
      <c r="N84" s="47"/>
      <c r="O84" s="48"/>
      <c r="P84" s="48"/>
      <c r="Q84" s="48"/>
    </row>
    <row r="85" spans="3:17" x14ac:dyDescent="0.25">
      <c r="C85" s="41"/>
      <c r="D85" s="42" t="s">
        <v>139</v>
      </c>
      <c r="E85" s="38" t="s">
        <v>137</v>
      </c>
      <c r="F85" s="49">
        <f>F84/10</f>
        <v>0.35000311919999999</v>
      </c>
      <c r="G85" s="44"/>
      <c r="H85" s="43">
        <f>(79.58*1.2)/4</f>
        <v>23.873999999999999</v>
      </c>
      <c r="I85" s="43"/>
      <c r="J85" s="43">
        <f>H85*F85</f>
        <v>8.3559744677807988</v>
      </c>
      <c r="K85" s="45"/>
      <c r="L85" s="150"/>
      <c r="M85" s="38"/>
      <c r="N85" s="47"/>
      <c r="O85" s="48"/>
      <c r="P85" s="48"/>
      <c r="Q85" s="48"/>
    </row>
    <row r="86" spans="3:17" s="39" customFormat="1" ht="22.5" customHeight="1" x14ac:dyDescent="0.25">
      <c r="C86" s="33" t="s">
        <v>210</v>
      </c>
      <c r="D86" s="34" t="s">
        <v>211</v>
      </c>
      <c r="E86" s="35" t="s">
        <v>114</v>
      </c>
      <c r="F86" s="36">
        <v>870</v>
      </c>
      <c r="G86" s="36">
        <v>12</v>
      </c>
      <c r="H86" s="36"/>
      <c r="I86" s="36">
        <f>G86*F86</f>
        <v>10440</v>
      </c>
      <c r="J86" s="36">
        <f>SUM(J87:J91)</f>
        <v>182610.54000000004</v>
      </c>
      <c r="K86" s="36">
        <f>J86+I86</f>
        <v>193050.54000000004</v>
      </c>
      <c r="L86" s="149">
        <f>I86</f>
        <v>10440</v>
      </c>
      <c r="M86" s="38"/>
      <c r="O86" s="40"/>
      <c r="P86" s="40"/>
      <c r="Q86" s="40"/>
    </row>
    <row r="87" spans="3:17" x14ac:dyDescent="0.25">
      <c r="C87" s="41"/>
      <c r="D87" s="42" t="s">
        <v>158</v>
      </c>
      <c r="E87" s="38" t="s">
        <v>114</v>
      </c>
      <c r="F87" s="43">
        <f>1.1*F86</f>
        <v>957.00000000000011</v>
      </c>
      <c r="G87" s="44"/>
      <c r="H87" s="43">
        <v>187</v>
      </c>
      <c r="I87" s="43"/>
      <c r="J87" s="43">
        <f>H87*F87</f>
        <v>178959.00000000003</v>
      </c>
      <c r="K87" s="45"/>
      <c r="L87" s="150"/>
      <c r="M87" s="38"/>
      <c r="N87" s="47"/>
      <c r="O87" s="48"/>
      <c r="P87" s="48"/>
      <c r="Q87" s="48"/>
    </row>
    <row r="88" spans="3:17" x14ac:dyDescent="0.25">
      <c r="C88" s="41"/>
      <c r="D88" s="42" t="s">
        <v>159</v>
      </c>
      <c r="E88" s="38" t="s">
        <v>64</v>
      </c>
      <c r="F88" s="43">
        <f>6*F86</f>
        <v>5220</v>
      </c>
      <c r="G88" s="44"/>
      <c r="H88" s="43">
        <v>0.6</v>
      </c>
      <c r="I88" s="43"/>
      <c r="J88" s="43">
        <f>H88*F88</f>
        <v>3132</v>
      </c>
      <c r="K88" s="45"/>
      <c r="L88" s="150"/>
      <c r="M88" s="38"/>
      <c r="N88" s="47"/>
      <c r="O88" s="48"/>
      <c r="P88" s="48"/>
      <c r="Q88" s="48"/>
    </row>
    <row r="89" spans="3:17" x14ac:dyDescent="0.25">
      <c r="C89" s="41"/>
      <c r="D89" s="42" t="s">
        <v>160</v>
      </c>
      <c r="E89" s="38" t="s">
        <v>212</v>
      </c>
      <c r="F89" s="43">
        <v>3</v>
      </c>
      <c r="G89" s="44"/>
      <c r="H89" s="43">
        <f>57.75</f>
        <v>57.75</v>
      </c>
      <c r="I89" s="43"/>
      <c r="J89" s="43">
        <f>H89*F89</f>
        <v>173.25</v>
      </c>
      <c r="K89" s="45"/>
      <c r="L89" s="150"/>
      <c r="M89" s="38"/>
      <c r="N89" s="47"/>
      <c r="O89" s="48"/>
      <c r="P89" s="48"/>
      <c r="Q89" s="48"/>
    </row>
    <row r="90" spans="3:17" x14ac:dyDescent="0.25">
      <c r="C90" s="41"/>
      <c r="D90" s="42" t="s">
        <v>162</v>
      </c>
      <c r="E90" s="38" t="s">
        <v>64</v>
      </c>
      <c r="F90" s="43">
        <v>1</v>
      </c>
      <c r="G90" s="44"/>
      <c r="H90" s="43">
        <v>243.72</v>
      </c>
      <c r="I90" s="43"/>
      <c r="J90" s="43">
        <f>H90*F90</f>
        <v>243.72</v>
      </c>
      <c r="K90" s="45"/>
      <c r="L90" s="150"/>
      <c r="M90" s="38"/>
      <c r="N90" s="47"/>
      <c r="O90" s="48"/>
      <c r="P90" s="48"/>
      <c r="Q90" s="48"/>
    </row>
    <row r="91" spans="3:17" x14ac:dyDescent="0.25">
      <c r="C91" s="41"/>
      <c r="D91" s="42" t="s">
        <v>163</v>
      </c>
      <c r="E91" s="38" t="s">
        <v>64</v>
      </c>
      <c r="F91" s="43">
        <v>1</v>
      </c>
      <c r="G91" s="44"/>
      <c r="H91" s="43">
        <v>102.57</v>
      </c>
      <c r="I91" s="43"/>
      <c r="J91" s="43">
        <f>H91*F91</f>
        <v>102.57</v>
      </c>
      <c r="K91" s="45"/>
      <c r="L91" s="150"/>
      <c r="M91" s="38"/>
      <c r="N91" s="47"/>
      <c r="O91" s="48"/>
      <c r="P91" s="48"/>
      <c r="Q91" s="48"/>
    </row>
    <row r="92" spans="3:17" s="39" customFormat="1" ht="27.75" customHeight="1" x14ac:dyDescent="0.25">
      <c r="C92" s="153" t="s">
        <v>213</v>
      </c>
      <c r="D92" s="154" t="s">
        <v>180</v>
      </c>
      <c r="E92" s="155"/>
      <c r="F92" s="151"/>
      <c r="G92" s="151"/>
      <c r="H92" s="151"/>
      <c r="I92" s="151"/>
      <c r="J92" s="151"/>
      <c r="K92" s="151"/>
      <c r="L92" s="152"/>
      <c r="M92" s="216" t="s">
        <v>350</v>
      </c>
      <c r="O92" s="40"/>
      <c r="P92" s="40"/>
      <c r="Q92" s="40"/>
    </row>
    <row r="93" spans="3:17" s="39" customFormat="1" ht="24" customHeight="1" x14ac:dyDescent="0.25">
      <c r="C93" s="153"/>
      <c r="D93" s="154" t="s">
        <v>182</v>
      </c>
      <c r="E93" s="155" t="s">
        <v>57</v>
      </c>
      <c r="F93" s="151">
        <v>5</v>
      </c>
      <c r="G93" s="151">
        <v>3500</v>
      </c>
      <c r="H93" s="151"/>
      <c r="I93" s="151"/>
      <c r="J93" s="151"/>
      <c r="K93" s="151"/>
      <c r="L93" s="152"/>
      <c r="M93" s="216"/>
      <c r="O93" s="40"/>
      <c r="P93" s="40"/>
      <c r="Q93" s="40"/>
    </row>
    <row r="94" spans="3:17" s="39" customFormat="1" ht="32.25" customHeight="1" x14ac:dyDescent="0.25">
      <c r="C94" s="153"/>
      <c r="D94" s="154" t="s">
        <v>185</v>
      </c>
      <c r="E94" s="155" t="s">
        <v>95</v>
      </c>
      <c r="F94" s="151">
        <f>2*F93</f>
        <v>10</v>
      </c>
      <c r="G94" s="151">
        <v>400</v>
      </c>
      <c r="H94" s="151"/>
      <c r="I94" s="151"/>
      <c r="J94" s="151"/>
      <c r="K94" s="151"/>
      <c r="L94" s="152"/>
      <c r="M94" s="216"/>
      <c r="O94" s="40"/>
      <c r="P94" s="40"/>
      <c r="Q94" s="40"/>
    </row>
    <row r="95" spans="3:17" s="39" customFormat="1" ht="24" customHeight="1" x14ac:dyDescent="0.25">
      <c r="C95" s="153" t="s">
        <v>218</v>
      </c>
      <c r="D95" s="154" t="s">
        <v>170</v>
      </c>
      <c r="E95" s="155"/>
      <c r="F95" s="151"/>
      <c r="G95" s="151"/>
      <c r="H95" s="151"/>
      <c r="I95" s="151"/>
      <c r="J95" s="151"/>
      <c r="K95" s="151"/>
      <c r="L95" s="152"/>
      <c r="M95" s="216" t="s">
        <v>351</v>
      </c>
      <c r="O95" s="40"/>
      <c r="P95" s="40"/>
      <c r="Q95" s="40"/>
    </row>
    <row r="96" spans="3:17" s="39" customFormat="1" ht="24" customHeight="1" x14ac:dyDescent="0.25">
      <c r="C96" s="153"/>
      <c r="D96" s="154" t="s">
        <v>83</v>
      </c>
      <c r="E96" s="155" t="s">
        <v>57</v>
      </c>
      <c r="F96" s="151">
        <v>2</v>
      </c>
      <c r="G96" s="151">
        <v>3500</v>
      </c>
      <c r="H96" s="151"/>
      <c r="I96" s="151"/>
      <c r="J96" s="151"/>
      <c r="K96" s="151"/>
      <c r="L96" s="152"/>
      <c r="M96" s="216"/>
      <c r="O96" s="40"/>
      <c r="P96" s="40"/>
      <c r="Q96" s="40"/>
    </row>
    <row r="97" spans="3:17" s="39" customFormat="1" ht="24.75" customHeight="1" x14ac:dyDescent="0.25">
      <c r="C97" s="153"/>
      <c r="D97" s="154" t="s">
        <v>221</v>
      </c>
      <c r="E97" s="155" t="s">
        <v>95</v>
      </c>
      <c r="F97" s="151">
        <f>2*2</f>
        <v>4</v>
      </c>
      <c r="G97" s="151">
        <v>410</v>
      </c>
      <c r="H97" s="151"/>
      <c r="I97" s="151"/>
      <c r="J97" s="151"/>
      <c r="K97" s="151"/>
      <c r="L97" s="152"/>
      <c r="M97" s="216"/>
      <c r="O97" s="40"/>
      <c r="P97" s="40"/>
      <c r="Q97" s="40"/>
    </row>
    <row r="98" spans="3:17" s="39" customFormat="1" ht="47.25" x14ac:dyDescent="0.25">
      <c r="C98" s="33"/>
      <c r="D98" s="154" t="s">
        <v>223</v>
      </c>
      <c r="E98" s="155" t="s">
        <v>57</v>
      </c>
      <c r="F98" s="156">
        <v>3</v>
      </c>
      <c r="G98" s="151">
        <v>900</v>
      </c>
      <c r="H98" s="151"/>
      <c r="I98" s="151">
        <f>G98*F98</f>
        <v>2700</v>
      </c>
      <c r="J98" s="151"/>
      <c r="K98" s="151">
        <f>I98</f>
        <v>2700</v>
      </c>
      <c r="L98" s="152"/>
      <c r="M98" s="38"/>
      <c r="O98" s="40"/>
      <c r="P98" s="40"/>
      <c r="Q98" s="40"/>
    </row>
    <row r="99" spans="3:17" s="39" customFormat="1" ht="32.25" customHeight="1" x14ac:dyDescent="0.25">
      <c r="C99" s="33" t="s">
        <v>226</v>
      </c>
      <c r="D99" s="34" t="s">
        <v>188</v>
      </c>
      <c r="E99" s="35" t="s">
        <v>189</v>
      </c>
      <c r="F99" s="36">
        <f>ROUNDUP((3.5*7),0)</f>
        <v>25</v>
      </c>
      <c r="G99" s="36">
        <v>500</v>
      </c>
      <c r="H99" s="36"/>
      <c r="I99" s="36">
        <f>G99*F99</f>
        <v>12500</v>
      </c>
      <c r="J99" s="36">
        <f>SUM(J100)</f>
        <v>22500</v>
      </c>
      <c r="K99" s="36">
        <f>I99+J99</f>
        <v>35000</v>
      </c>
      <c r="L99" s="149"/>
      <c r="M99" s="38"/>
      <c r="O99" s="40"/>
      <c r="P99" s="40"/>
      <c r="Q99" s="40"/>
    </row>
    <row r="100" spans="3:17" x14ac:dyDescent="0.25">
      <c r="C100" s="41"/>
      <c r="D100" s="42" t="s">
        <v>191</v>
      </c>
      <c r="E100" s="38" t="s">
        <v>98</v>
      </c>
      <c r="F100" s="43">
        <f>(4*9)*F99</f>
        <v>900</v>
      </c>
      <c r="G100" s="44"/>
      <c r="H100" s="43">
        <v>25</v>
      </c>
      <c r="I100" s="43"/>
      <c r="J100" s="43">
        <f>H100*F100</f>
        <v>22500</v>
      </c>
      <c r="K100" s="45"/>
      <c r="L100" s="150">
        <f>J100</f>
        <v>22500</v>
      </c>
      <c r="M100" s="38"/>
      <c r="N100" s="47"/>
      <c r="O100" s="48"/>
      <c r="P100" s="48"/>
      <c r="Q100" s="48"/>
    </row>
    <row r="101" spans="3:17" ht="47.25" x14ac:dyDescent="0.25">
      <c r="C101" s="65"/>
      <c r="D101" s="66" t="s">
        <v>228</v>
      </c>
      <c r="E101" s="67"/>
      <c r="F101" s="68"/>
      <c r="G101" s="68"/>
      <c r="H101" s="68"/>
      <c r="I101" s="68">
        <f>I59+I11</f>
        <v>109243.31514446315</v>
      </c>
      <c r="J101" s="68">
        <f>J59+J11</f>
        <v>436578.84619557532</v>
      </c>
      <c r="K101" s="68">
        <f>K59+K11</f>
        <v>545822.16134003852</v>
      </c>
      <c r="L101" s="157">
        <f>L59+L11</f>
        <v>106543.31514446315</v>
      </c>
      <c r="M101" s="70"/>
    </row>
    <row r="102" spans="3:17" ht="6" customHeight="1" x14ac:dyDescent="0.25"/>
    <row r="103" spans="3:17" s="6" customFormat="1" ht="31.5" x14ac:dyDescent="0.25">
      <c r="C103" s="18" t="s">
        <v>66</v>
      </c>
      <c r="D103" s="19" t="s">
        <v>229</v>
      </c>
      <c r="E103" s="20"/>
      <c r="F103" s="21" t="s">
        <v>17</v>
      </c>
      <c r="G103" s="21"/>
      <c r="H103" s="21"/>
      <c r="I103" s="21"/>
      <c r="J103" s="21"/>
      <c r="K103" s="21"/>
      <c r="L103" s="147"/>
      <c r="M103" s="23"/>
      <c r="O103" s="24"/>
      <c r="P103" s="25"/>
      <c r="Q103" s="26"/>
    </row>
    <row r="104" spans="3:17" ht="31.5" x14ac:dyDescent="0.25">
      <c r="C104" s="27" t="s">
        <v>68</v>
      </c>
      <c r="D104" s="28" t="s">
        <v>16</v>
      </c>
      <c r="E104" s="63"/>
      <c r="F104" s="31"/>
      <c r="G104" s="31"/>
      <c r="H104" s="31"/>
      <c r="I104" s="31">
        <f>SUM(I105:I129)</f>
        <v>208291.25</v>
      </c>
      <c r="J104" s="31">
        <f>J106+J108+J110+J112+J114+J118+J126</f>
        <v>939472.50386689708</v>
      </c>
      <c r="K104" s="31">
        <f>SUM(K105:K129)</f>
        <v>1147763.753866897</v>
      </c>
      <c r="L104" s="148">
        <f>SUM(L105:L129)</f>
        <v>208291.25</v>
      </c>
      <c r="M104" s="158" t="s">
        <v>352</v>
      </c>
      <c r="N104" s="6"/>
      <c r="O104" s="24"/>
      <c r="P104" s="25"/>
      <c r="Q104" s="26"/>
    </row>
    <row r="105" spans="3:17" x14ac:dyDescent="0.25">
      <c r="C105" s="33" t="s">
        <v>231</v>
      </c>
      <c r="D105" s="34" t="s">
        <v>21</v>
      </c>
      <c r="E105" s="35" t="s">
        <v>22</v>
      </c>
      <c r="F105" s="36">
        <f>580/0.4</f>
        <v>1450</v>
      </c>
      <c r="G105" s="36">
        <v>25</v>
      </c>
      <c r="H105" s="36"/>
      <c r="I105" s="36">
        <f>F105*G105</f>
        <v>36250</v>
      </c>
      <c r="J105" s="36"/>
      <c r="K105" s="36">
        <f>J105+I105</f>
        <v>36250</v>
      </c>
      <c r="L105" s="149">
        <f>F105*25</f>
        <v>36250</v>
      </c>
      <c r="M105" s="38"/>
      <c r="N105" s="39"/>
      <c r="O105" s="40"/>
      <c r="P105" s="40"/>
      <c r="Q105" s="40"/>
    </row>
    <row r="106" spans="3:17" ht="31.5" x14ac:dyDescent="0.25">
      <c r="C106" s="33" t="s">
        <v>232</v>
      </c>
      <c r="D106" s="34" t="s">
        <v>24</v>
      </c>
      <c r="E106" s="35" t="s">
        <v>25</v>
      </c>
      <c r="F106" s="36">
        <v>65</v>
      </c>
      <c r="G106" s="36">
        <v>100</v>
      </c>
      <c r="H106" s="36">
        <f>J106/F106</f>
        <v>291.46750000000003</v>
      </c>
      <c r="I106" s="36">
        <f>G106*F106</f>
        <v>6500</v>
      </c>
      <c r="J106" s="36">
        <f>SUM(J107)</f>
        <v>18945.387500000001</v>
      </c>
      <c r="K106" s="36">
        <f>J106+I106</f>
        <v>25445.387500000001</v>
      </c>
      <c r="L106" s="149">
        <f>I106</f>
        <v>6500</v>
      </c>
      <c r="M106" s="38"/>
      <c r="N106" s="39"/>
      <c r="O106" s="40"/>
      <c r="P106" s="40"/>
      <c r="Q106" s="40"/>
    </row>
    <row r="107" spans="3:17" ht="47.25" x14ac:dyDescent="0.25">
      <c r="C107" s="41"/>
      <c r="D107" s="42" t="s">
        <v>26</v>
      </c>
      <c r="E107" s="38" t="s">
        <v>27</v>
      </c>
      <c r="F107" s="49">
        <f>F106*1.15*1.37</f>
        <v>102.40750000000001</v>
      </c>
      <c r="G107" s="44"/>
      <c r="H107" s="43">
        <v>185</v>
      </c>
      <c r="I107" s="43"/>
      <c r="J107" s="43">
        <f>H107*F107</f>
        <v>18945.387500000001</v>
      </c>
      <c r="K107" s="45"/>
      <c r="L107" s="150"/>
      <c r="M107" s="1" t="s">
        <v>353</v>
      </c>
      <c r="N107" s="47"/>
      <c r="O107" s="48"/>
      <c r="P107" s="48"/>
      <c r="Q107" s="48"/>
    </row>
    <row r="108" spans="3:17" ht="31.5" x14ac:dyDescent="0.25">
      <c r="C108" s="33" t="s">
        <v>234</v>
      </c>
      <c r="D108" s="34" t="s">
        <v>29</v>
      </c>
      <c r="E108" s="35" t="s">
        <v>19</v>
      </c>
      <c r="F108" s="36">
        <v>580</v>
      </c>
      <c r="G108" s="36">
        <v>60</v>
      </c>
      <c r="H108" s="36">
        <f>J108/F108</f>
        <v>174.8</v>
      </c>
      <c r="I108" s="36">
        <f>G108*F108</f>
        <v>34800</v>
      </c>
      <c r="J108" s="36">
        <f>SUM(J109)</f>
        <v>101384</v>
      </c>
      <c r="K108" s="36">
        <f>J108+I108</f>
        <v>136184</v>
      </c>
      <c r="L108" s="149">
        <f>I108</f>
        <v>34800</v>
      </c>
      <c r="M108" s="38"/>
      <c r="N108" s="39"/>
      <c r="O108" s="40"/>
      <c r="P108" s="40"/>
      <c r="Q108" s="40"/>
    </row>
    <row r="109" spans="3:17" x14ac:dyDescent="0.25">
      <c r="C109" s="41"/>
      <c r="D109" s="42" t="s">
        <v>30</v>
      </c>
      <c r="E109" s="38" t="s">
        <v>27</v>
      </c>
      <c r="F109" s="49">
        <f>F108*1.15*1.6</f>
        <v>1067.2</v>
      </c>
      <c r="G109" s="44"/>
      <c r="H109" s="43">
        <v>95</v>
      </c>
      <c r="I109" s="43"/>
      <c r="J109" s="43">
        <f>H109*F109</f>
        <v>101384</v>
      </c>
      <c r="K109" s="45"/>
      <c r="L109" s="150"/>
      <c r="M109" s="1" t="s">
        <v>354</v>
      </c>
      <c r="N109" s="47"/>
      <c r="O109" s="48"/>
      <c r="P109" s="48"/>
      <c r="Q109" s="48"/>
    </row>
    <row r="110" spans="3:17" ht="18" x14ac:dyDescent="0.25">
      <c r="C110" s="33" t="s">
        <v>236</v>
      </c>
      <c r="D110" s="34" t="s">
        <v>32</v>
      </c>
      <c r="E110" s="35" t="s">
        <v>33</v>
      </c>
      <c r="F110" s="36">
        <v>130</v>
      </c>
      <c r="G110" s="36">
        <v>120</v>
      </c>
      <c r="H110" s="36">
        <f>J110/F110</f>
        <v>864.89726385542167</v>
      </c>
      <c r="I110" s="36">
        <f>F110*G110</f>
        <v>15600</v>
      </c>
      <c r="J110" s="36">
        <f>SUM(J111)</f>
        <v>112436.64430120481</v>
      </c>
      <c r="K110" s="36">
        <f>J110+I110</f>
        <v>128036.64430120481</v>
      </c>
      <c r="L110" s="149">
        <f>I110</f>
        <v>15600</v>
      </c>
      <c r="M110" s="38"/>
      <c r="N110" s="39"/>
      <c r="O110" s="40"/>
      <c r="P110" s="40"/>
      <c r="Q110" s="40"/>
    </row>
    <row r="111" spans="3:17" x14ac:dyDescent="0.25">
      <c r="C111" s="41"/>
      <c r="D111" s="42" t="s">
        <v>237</v>
      </c>
      <c r="E111" s="38" t="s">
        <v>35</v>
      </c>
      <c r="F111" s="43">
        <f>F110*1.02</f>
        <v>132.6</v>
      </c>
      <c r="G111" s="44"/>
      <c r="H111" s="43">
        <f>281515.58/332</f>
        <v>847.93849397590361</v>
      </c>
      <c r="I111" s="43"/>
      <c r="J111" s="43">
        <f>F111*H111</f>
        <v>112436.64430120481</v>
      </c>
      <c r="K111" s="45"/>
      <c r="L111" s="150"/>
      <c r="M111" s="38"/>
      <c r="N111" s="47"/>
      <c r="O111" s="48"/>
      <c r="P111" s="48"/>
      <c r="Q111" s="48"/>
    </row>
    <row r="112" spans="3:17" x14ac:dyDescent="0.25">
      <c r="C112" s="33" t="s">
        <v>238</v>
      </c>
      <c r="D112" s="34" t="s">
        <v>37</v>
      </c>
      <c r="E112" s="35" t="s">
        <v>38</v>
      </c>
      <c r="F112" s="36">
        <v>17.45</v>
      </c>
      <c r="G112" s="151">
        <v>200</v>
      </c>
      <c r="H112" s="36"/>
      <c r="I112" s="36">
        <f>G112*F112</f>
        <v>3490</v>
      </c>
      <c r="J112" s="36">
        <f>SUM(J113)</f>
        <v>8269.5</v>
      </c>
      <c r="K112" s="36">
        <f>J112+I112</f>
        <v>11759.5</v>
      </c>
      <c r="L112" s="149">
        <f>I112</f>
        <v>3490</v>
      </c>
      <c r="M112" s="1" t="s">
        <v>355</v>
      </c>
      <c r="N112" s="39"/>
      <c r="O112" s="40"/>
      <c r="P112" s="40"/>
      <c r="Q112" s="40"/>
    </row>
    <row r="113" spans="3:17" x14ac:dyDescent="0.25">
      <c r="C113" s="41"/>
      <c r="D113" s="42" t="s">
        <v>39</v>
      </c>
      <c r="E113" s="38" t="s">
        <v>40</v>
      </c>
      <c r="F113" s="43">
        <v>1</v>
      </c>
      <c r="G113" s="44"/>
      <c r="H113" s="43">
        <v>8269.5</v>
      </c>
      <c r="I113" s="43"/>
      <c r="J113" s="43">
        <f>H113*F113</f>
        <v>8269.5</v>
      </c>
      <c r="K113" s="45"/>
      <c r="L113" s="150"/>
      <c r="M113" s="38"/>
      <c r="N113" s="47"/>
      <c r="O113" s="48"/>
      <c r="P113" s="48"/>
      <c r="Q113" s="48"/>
    </row>
    <row r="114" spans="3:17" x14ac:dyDescent="0.25">
      <c r="C114" s="33" t="s">
        <v>240</v>
      </c>
      <c r="D114" s="34" t="s">
        <v>42</v>
      </c>
      <c r="E114" s="35" t="s">
        <v>38</v>
      </c>
      <c r="F114" s="36">
        <v>17.45</v>
      </c>
      <c r="G114" s="151">
        <v>25</v>
      </c>
      <c r="H114" s="36"/>
      <c r="I114" s="36">
        <f>G114*F114</f>
        <v>436.25</v>
      </c>
      <c r="J114" s="36">
        <f>SUM(J115:J117)</f>
        <v>3818.0305579999999</v>
      </c>
      <c r="K114" s="36">
        <f>J114+I114</f>
        <v>4254.2805580000004</v>
      </c>
      <c r="L114" s="149">
        <f>I114</f>
        <v>436.25</v>
      </c>
      <c r="M114" s="38"/>
      <c r="N114" s="39"/>
      <c r="O114" s="40"/>
      <c r="P114" s="40"/>
      <c r="Q114" s="40"/>
    </row>
    <row r="115" spans="3:17" x14ac:dyDescent="0.25">
      <c r="C115" s="41"/>
      <c r="D115" s="42" t="s">
        <v>43</v>
      </c>
      <c r="E115" s="38" t="s">
        <v>19</v>
      </c>
      <c r="F115" s="43">
        <v>0.2094</v>
      </c>
      <c r="G115" s="44"/>
      <c r="H115" s="43">
        <v>1448.57</v>
      </c>
      <c r="I115" s="43"/>
      <c r="J115" s="43">
        <f>H115*F115</f>
        <v>303.330558</v>
      </c>
      <c r="K115" s="45"/>
      <c r="L115" s="150"/>
      <c r="M115" s="38"/>
      <c r="N115" s="47"/>
      <c r="O115" s="48"/>
      <c r="P115" s="48"/>
      <c r="Q115" s="48"/>
    </row>
    <row r="116" spans="3:17" x14ac:dyDescent="0.25">
      <c r="C116" s="41"/>
      <c r="D116" s="42" t="s">
        <v>242</v>
      </c>
      <c r="E116" s="38" t="s">
        <v>38</v>
      </c>
      <c r="F116" s="43">
        <f>F114</f>
        <v>17.45</v>
      </c>
      <c r="G116" s="44"/>
      <c r="H116" s="43">
        <v>6</v>
      </c>
      <c r="I116" s="43"/>
      <c r="J116" s="43">
        <f>H116*F116</f>
        <v>104.69999999999999</v>
      </c>
      <c r="K116" s="45"/>
      <c r="L116" s="150"/>
      <c r="M116" s="38"/>
      <c r="N116" s="47"/>
      <c r="O116" s="48"/>
      <c r="P116" s="48"/>
      <c r="Q116" s="48"/>
    </row>
    <row r="117" spans="3:17" x14ac:dyDescent="0.25">
      <c r="C117" s="41"/>
      <c r="D117" s="42" t="s">
        <v>356</v>
      </c>
      <c r="E117" s="38" t="s">
        <v>46</v>
      </c>
      <c r="F117" s="43">
        <v>1</v>
      </c>
      <c r="G117" s="44"/>
      <c r="H117" s="43">
        <f>15.5*220</f>
        <v>3410</v>
      </c>
      <c r="I117" s="43"/>
      <c r="J117" s="43">
        <f>H117*F117</f>
        <v>3410</v>
      </c>
      <c r="K117" s="45"/>
      <c r="L117" s="150"/>
      <c r="M117" s="1" t="s">
        <v>357</v>
      </c>
      <c r="N117" s="47"/>
      <c r="O117" s="48"/>
      <c r="P117" s="48"/>
      <c r="Q117" s="48"/>
    </row>
    <row r="118" spans="3:17" ht="31.5" x14ac:dyDescent="0.25">
      <c r="C118" s="33" t="s">
        <v>245</v>
      </c>
      <c r="D118" s="34" t="s">
        <v>358</v>
      </c>
      <c r="E118" s="35" t="s">
        <v>19</v>
      </c>
      <c r="F118" s="36">
        <f>147+355</f>
        <v>502</v>
      </c>
      <c r="G118" s="151">
        <v>220</v>
      </c>
      <c r="H118" s="36"/>
      <c r="I118" s="36">
        <f>G118*F118</f>
        <v>110440</v>
      </c>
      <c r="J118" s="36">
        <f>SUM(J119:J125)</f>
        <v>688752.8091999999</v>
      </c>
      <c r="K118" s="36">
        <f>J118+I118</f>
        <v>799192.8091999999</v>
      </c>
      <c r="L118" s="149">
        <f>I118</f>
        <v>110440</v>
      </c>
      <c r="M118" s="1" t="s">
        <v>359</v>
      </c>
      <c r="N118" s="39"/>
      <c r="O118" s="40"/>
      <c r="P118" s="40"/>
      <c r="Q118" s="40"/>
    </row>
    <row r="119" spans="3:17" x14ac:dyDescent="0.25">
      <c r="C119" s="41"/>
      <c r="D119" s="42" t="s">
        <v>264</v>
      </c>
      <c r="E119" s="38" t="s">
        <v>35</v>
      </c>
      <c r="F119" s="43">
        <f>1.02*F118</f>
        <v>512.04</v>
      </c>
      <c r="G119" s="44"/>
      <c r="H119" s="43">
        <f>1247594.88/1246</f>
        <v>1001.2799999999999</v>
      </c>
      <c r="I119" s="43"/>
      <c r="J119" s="43">
        <f t="shared" ref="J119:J125" si="0">F119*H119</f>
        <v>512695.41119999991</v>
      </c>
      <c r="K119" s="45"/>
      <c r="L119" s="150"/>
      <c r="M119" s="38"/>
      <c r="N119" s="47"/>
      <c r="O119" s="48"/>
      <c r="P119" s="48"/>
      <c r="Q119" s="48"/>
    </row>
    <row r="120" spans="3:17" x14ac:dyDescent="0.25">
      <c r="C120" s="41"/>
      <c r="D120" s="42" t="s">
        <v>50</v>
      </c>
      <c r="E120" s="38" t="s">
        <v>27</v>
      </c>
      <c r="F120" s="43">
        <f>(296*1.05)/1000</f>
        <v>0.31080000000000002</v>
      </c>
      <c r="G120" s="44"/>
      <c r="H120" s="43">
        <v>12100</v>
      </c>
      <c r="I120" s="43"/>
      <c r="J120" s="43">
        <f t="shared" si="0"/>
        <v>3760.6800000000003</v>
      </c>
      <c r="K120" s="45"/>
      <c r="L120" s="150"/>
      <c r="M120" s="38"/>
      <c r="N120" s="47"/>
      <c r="O120" s="48"/>
      <c r="P120" s="48"/>
      <c r="Q120" s="48"/>
    </row>
    <row r="121" spans="3:17" x14ac:dyDescent="0.25">
      <c r="C121" s="41"/>
      <c r="D121" s="42" t="s">
        <v>51</v>
      </c>
      <c r="E121" s="38" t="s">
        <v>27</v>
      </c>
      <c r="F121" s="43">
        <f>(5712*1.05)/1000</f>
        <v>5.9976000000000003</v>
      </c>
      <c r="G121" s="44"/>
      <c r="H121" s="43">
        <v>12100</v>
      </c>
      <c r="I121" s="43"/>
      <c r="J121" s="43">
        <f t="shared" si="0"/>
        <v>72570.960000000006</v>
      </c>
      <c r="K121" s="45"/>
      <c r="L121" s="150"/>
      <c r="M121" s="38"/>
      <c r="N121" s="47"/>
      <c r="O121" s="48"/>
      <c r="P121" s="48"/>
      <c r="Q121" s="48"/>
    </row>
    <row r="122" spans="3:17" x14ac:dyDescent="0.25">
      <c r="C122" s="41"/>
      <c r="D122" s="42" t="s">
        <v>52</v>
      </c>
      <c r="E122" s="38" t="s">
        <v>27</v>
      </c>
      <c r="F122" s="43">
        <f>(6582*1.05)/1000</f>
        <v>6.9111000000000002</v>
      </c>
      <c r="G122" s="44"/>
      <c r="H122" s="43">
        <v>12100</v>
      </c>
      <c r="I122" s="43"/>
      <c r="J122" s="43">
        <f t="shared" si="0"/>
        <v>83624.31</v>
      </c>
      <c r="K122" s="45"/>
      <c r="L122" s="150"/>
      <c r="M122" s="38"/>
      <c r="N122" s="47"/>
      <c r="O122" s="48"/>
      <c r="P122" s="48"/>
      <c r="Q122" s="48"/>
    </row>
    <row r="123" spans="3:17" x14ac:dyDescent="0.25">
      <c r="C123" s="52"/>
      <c r="D123" s="53" t="s">
        <v>53</v>
      </c>
      <c r="E123" s="54" t="s">
        <v>54</v>
      </c>
      <c r="F123" s="58">
        <f>((8/1000)*(SUM(F120:F122)))/1.05</f>
        <v>0.10072</v>
      </c>
      <c r="G123" s="56"/>
      <c r="H123" s="58">
        <v>15900</v>
      </c>
      <c r="I123" s="58"/>
      <c r="J123" s="43">
        <f t="shared" si="0"/>
        <v>1601.4480000000001</v>
      </c>
      <c r="K123" s="59"/>
      <c r="L123" s="159"/>
      <c r="M123" s="38"/>
      <c r="N123" s="47"/>
      <c r="O123" s="61"/>
      <c r="P123" s="61"/>
      <c r="Q123" s="61"/>
    </row>
    <row r="124" spans="3:17" x14ac:dyDescent="0.25">
      <c r="C124" s="41"/>
      <c r="D124" s="42" t="s">
        <v>56</v>
      </c>
      <c r="E124" s="38" t="s">
        <v>57</v>
      </c>
      <c r="F124" s="49">
        <v>1</v>
      </c>
      <c r="G124" s="44"/>
      <c r="H124" s="43">
        <v>13000</v>
      </c>
      <c r="I124" s="43"/>
      <c r="J124" s="43">
        <f t="shared" si="0"/>
        <v>13000</v>
      </c>
      <c r="K124" s="45"/>
      <c r="L124" s="150"/>
      <c r="M124" s="38"/>
      <c r="N124" s="47"/>
      <c r="O124" s="48"/>
      <c r="P124" s="48"/>
      <c r="Q124" s="48"/>
    </row>
    <row r="125" spans="3:17" ht="66" customHeight="1" x14ac:dyDescent="0.25">
      <c r="C125" s="52"/>
      <c r="D125" s="53" t="s">
        <v>58</v>
      </c>
      <c r="E125" s="38" t="s">
        <v>59</v>
      </c>
      <c r="F125" s="58">
        <f>1*6</f>
        <v>6</v>
      </c>
      <c r="G125" s="56"/>
      <c r="H125" s="58">
        <f>170+40+40</f>
        <v>250</v>
      </c>
      <c r="I125" s="58"/>
      <c r="J125" s="43">
        <f t="shared" si="0"/>
        <v>1500</v>
      </c>
      <c r="K125" s="59"/>
      <c r="L125" s="159"/>
      <c r="M125" s="38" t="s">
        <v>249</v>
      </c>
      <c r="N125" s="47"/>
      <c r="O125" s="61"/>
      <c r="P125" s="61"/>
      <c r="Q125" s="61"/>
    </row>
    <row r="126" spans="3:17" x14ac:dyDescent="0.25">
      <c r="C126" s="33" t="s">
        <v>250</v>
      </c>
      <c r="D126" s="34" t="s">
        <v>61</v>
      </c>
      <c r="E126" s="35" t="s">
        <v>38</v>
      </c>
      <c r="F126" s="36">
        <f>18+13</f>
        <v>31</v>
      </c>
      <c r="G126" s="151">
        <v>25</v>
      </c>
      <c r="H126" s="36"/>
      <c r="I126" s="36">
        <f>G126*F126</f>
        <v>775</v>
      </c>
      <c r="J126" s="36">
        <f>SUM(J127:J129)</f>
        <v>5866.1323076923081</v>
      </c>
      <c r="K126" s="36">
        <f>J126+I126</f>
        <v>6641.1323076923081</v>
      </c>
      <c r="L126" s="149">
        <f>I126</f>
        <v>775</v>
      </c>
      <c r="M126" s="1" t="s">
        <v>360</v>
      </c>
      <c r="N126" s="39"/>
      <c r="O126" s="40"/>
      <c r="P126" s="40"/>
      <c r="Q126" s="40"/>
    </row>
    <row r="127" spans="3:17" x14ac:dyDescent="0.25">
      <c r="C127" s="41"/>
      <c r="D127" s="42" t="s">
        <v>62</v>
      </c>
      <c r="E127" s="38" t="s">
        <v>38</v>
      </c>
      <c r="F127" s="43">
        <f>18+13</f>
        <v>31</v>
      </c>
      <c r="G127" s="44"/>
      <c r="H127" s="43">
        <f>7711.2/60</f>
        <v>128.52000000000001</v>
      </c>
      <c r="I127" s="43"/>
      <c r="J127" s="43">
        <f>H127*F127</f>
        <v>3984.1200000000003</v>
      </c>
      <c r="K127" s="45"/>
      <c r="L127" s="150"/>
      <c r="M127" s="38"/>
      <c r="N127" s="47"/>
      <c r="O127" s="48"/>
      <c r="P127" s="48"/>
      <c r="Q127" s="48"/>
    </row>
    <row r="128" spans="3:17" x14ac:dyDescent="0.25">
      <c r="C128" s="41"/>
      <c r="D128" s="42" t="s">
        <v>63</v>
      </c>
      <c r="E128" s="38" t="s">
        <v>64</v>
      </c>
      <c r="F128" s="43">
        <f>4+3</f>
        <v>7</v>
      </c>
      <c r="G128" s="44"/>
      <c r="H128" s="43">
        <f>2536.36/13</f>
        <v>195.10461538461539</v>
      </c>
      <c r="I128" s="43"/>
      <c r="J128" s="43">
        <f>H128*F128</f>
        <v>1365.7323076923076</v>
      </c>
      <c r="K128" s="45"/>
      <c r="L128" s="150"/>
      <c r="M128" s="38"/>
      <c r="N128" s="47"/>
      <c r="O128" s="48"/>
      <c r="P128" s="48"/>
      <c r="Q128" s="48"/>
    </row>
    <row r="129" spans="3:17" x14ac:dyDescent="0.25">
      <c r="C129" s="41"/>
      <c r="D129" s="42" t="s">
        <v>65</v>
      </c>
      <c r="E129" s="38" t="s">
        <v>64</v>
      </c>
      <c r="F129" s="43">
        <f>1+1</f>
        <v>2</v>
      </c>
      <c r="G129" s="44"/>
      <c r="H129" s="43">
        <f>1032.56/4</f>
        <v>258.14</v>
      </c>
      <c r="I129" s="43"/>
      <c r="J129" s="43">
        <f>H129*F129</f>
        <v>516.28</v>
      </c>
      <c r="K129" s="45"/>
      <c r="L129" s="150"/>
      <c r="M129" s="38"/>
      <c r="N129" s="47"/>
      <c r="O129" s="48"/>
      <c r="P129" s="48"/>
      <c r="Q129" s="48"/>
    </row>
    <row r="130" spans="3:17" ht="38.25" customHeight="1" x14ac:dyDescent="0.25">
      <c r="C130" s="27" t="s">
        <v>71</v>
      </c>
      <c r="D130" s="28" t="s">
        <v>253</v>
      </c>
      <c r="E130" s="63"/>
      <c r="F130" s="31"/>
      <c r="G130" s="31"/>
      <c r="H130" s="31"/>
      <c r="I130" s="31">
        <f>SUM(I131:I147)</f>
        <v>128937.5</v>
      </c>
      <c r="J130" s="31">
        <f>J132+J134+J136+J144</f>
        <v>867167.76913470798</v>
      </c>
      <c r="K130" s="31">
        <f>SUM(K131:K147)</f>
        <v>996105.26913470798</v>
      </c>
      <c r="L130" s="148">
        <f>SUM(L131:L147)</f>
        <v>128937.5</v>
      </c>
      <c r="M130" s="158" t="s">
        <v>352</v>
      </c>
      <c r="N130" s="6"/>
      <c r="O130" s="24"/>
      <c r="P130" s="25"/>
      <c r="Q130" s="26"/>
    </row>
    <row r="131" spans="3:17" x14ac:dyDescent="0.25">
      <c r="C131" s="33" t="s">
        <v>254</v>
      </c>
      <c r="D131" s="34" t="s">
        <v>21</v>
      </c>
      <c r="E131" s="35" t="s">
        <v>22</v>
      </c>
      <c r="F131" s="36">
        <v>1344.1</v>
      </c>
      <c r="G131" s="36">
        <v>25</v>
      </c>
      <c r="H131" s="36"/>
      <c r="I131" s="36">
        <f>F131*G131</f>
        <v>33602.5</v>
      </c>
      <c r="J131" s="36"/>
      <c r="K131" s="36">
        <f>J131+I131</f>
        <v>33602.5</v>
      </c>
      <c r="L131" s="149">
        <f>F131*25</f>
        <v>33602.5</v>
      </c>
      <c r="M131" s="38"/>
      <c r="N131" s="39"/>
      <c r="O131" s="40"/>
      <c r="P131" s="40"/>
      <c r="Q131" s="40"/>
    </row>
    <row r="132" spans="3:17" ht="47.25" x14ac:dyDescent="0.25">
      <c r="C132" s="33" t="s">
        <v>255</v>
      </c>
      <c r="D132" s="34" t="s">
        <v>24</v>
      </c>
      <c r="E132" s="35" t="s">
        <v>25</v>
      </c>
      <c r="F132" s="36">
        <v>46.5</v>
      </c>
      <c r="G132" s="36">
        <v>100</v>
      </c>
      <c r="H132" s="36">
        <f>J132/F132</f>
        <v>291.46750000000003</v>
      </c>
      <c r="I132" s="36">
        <f>G132*F132</f>
        <v>4650</v>
      </c>
      <c r="J132" s="36">
        <f>SUM(J133)</f>
        <v>13553.23875</v>
      </c>
      <c r="K132" s="36">
        <f>J132+I132</f>
        <v>18203.23875</v>
      </c>
      <c r="L132" s="149">
        <f>I132</f>
        <v>4650</v>
      </c>
      <c r="M132" s="1" t="s">
        <v>353</v>
      </c>
      <c r="N132" s="39"/>
      <c r="O132" s="40"/>
      <c r="P132" s="40"/>
      <c r="Q132" s="40"/>
    </row>
    <row r="133" spans="3:17" x14ac:dyDescent="0.25">
      <c r="C133" s="41"/>
      <c r="D133" s="42" t="s">
        <v>26</v>
      </c>
      <c r="E133" s="38" t="s">
        <v>27</v>
      </c>
      <c r="F133" s="49">
        <f>F132*1.15*1.37</f>
        <v>73.260750000000002</v>
      </c>
      <c r="G133" s="44"/>
      <c r="H133" s="43">
        <v>185</v>
      </c>
      <c r="I133" s="43"/>
      <c r="J133" s="43">
        <f>H133*F133</f>
        <v>13553.23875</v>
      </c>
      <c r="K133" s="45"/>
      <c r="L133" s="150"/>
      <c r="M133" s="38"/>
      <c r="N133" s="47"/>
      <c r="O133" s="48"/>
      <c r="P133" s="48"/>
      <c r="Q133" s="48"/>
    </row>
    <row r="134" spans="3:17" ht="18" x14ac:dyDescent="0.25">
      <c r="C134" s="33" t="s">
        <v>256</v>
      </c>
      <c r="D134" s="34" t="s">
        <v>32</v>
      </c>
      <c r="E134" s="35" t="s">
        <v>33</v>
      </c>
      <c r="F134" s="36">
        <v>93</v>
      </c>
      <c r="G134" s="36">
        <v>120</v>
      </c>
      <c r="H134" s="36">
        <f>J134/F134</f>
        <v>864.89726385542156</v>
      </c>
      <c r="I134" s="36">
        <f>F134*G134</f>
        <v>11160</v>
      </c>
      <c r="J134" s="36">
        <f>J135</f>
        <v>80435.44553855421</v>
      </c>
      <c r="K134" s="36">
        <f>J134+I134</f>
        <v>91595.44553855421</v>
      </c>
      <c r="L134" s="149">
        <f>I134</f>
        <v>11160</v>
      </c>
      <c r="M134" s="38"/>
      <c r="N134" s="39"/>
      <c r="O134" s="40"/>
      <c r="P134" s="40"/>
      <c r="Q134" s="40"/>
    </row>
    <row r="135" spans="3:17" x14ac:dyDescent="0.25">
      <c r="C135" s="41"/>
      <c r="D135" s="42" t="s">
        <v>237</v>
      </c>
      <c r="E135" s="38" t="s">
        <v>89</v>
      </c>
      <c r="F135" s="43">
        <f>F134*1.02</f>
        <v>94.86</v>
      </c>
      <c r="G135" s="44"/>
      <c r="H135" s="43">
        <f>281515.58/332</f>
        <v>847.93849397590361</v>
      </c>
      <c r="I135" s="43"/>
      <c r="J135" s="43">
        <f>F135*H135</f>
        <v>80435.44553855421</v>
      </c>
      <c r="K135" s="45"/>
      <c r="L135" s="150"/>
      <c r="M135" s="38"/>
      <c r="N135" s="47"/>
      <c r="O135" s="48"/>
      <c r="P135" s="48"/>
      <c r="Q135" s="48"/>
    </row>
    <row r="136" spans="3:17" ht="31.5" x14ac:dyDescent="0.25">
      <c r="C136" s="33" t="s">
        <v>257</v>
      </c>
      <c r="D136" s="34" t="s">
        <v>358</v>
      </c>
      <c r="E136" s="35" t="s">
        <v>19</v>
      </c>
      <c r="F136" s="36">
        <v>360</v>
      </c>
      <c r="G136" s="151">
        <v>220</v>
      </c>
      <c r="H136" s="36"/>
      <c r="I136" s="36">
        <f>G136*F136</f>
        <v>79200</v>
      </c>
      <c r="J136" s="36">
        <f>SUM(J137:J143)</f>
        <v>770664.87099999993</v>
      </c>
      <c r="K136" s="36">
        <f>J136+I136</f>
        <v>849864.87099999993</v>
      </c>
      <c r="L136" s="149">
        <f>I136</f>
        <v>79200</v>
      </c>
      <c r="M136" s="1" t="s">
        <v>359</v>
      </c>
      <c r="N136" s="39"/>
      <c r="O136" s="40"/>
      <c r="P136" s="40"/>
      <c r="Q136" s="40"/>
    </row>
    <row r="137" spans="3:17" x14ac:dyDescent="0.25">
      <c r="C137" s="41"/>
      <c r="D137" s="42" t="s">
        <v>264</v>
      </c>
      <c r="E137" s="38" t="s">
        <v>89</v>
      </c>
      <c r="F137" s="43">
        <f>1.02*F136</f>
        <v>367.2</v>
      </c>
      <c r="G137" s="44"/>
      <c r="H137" s="43">
        <f>1247594.88/1246</f>
        <v>1001.2799999999999</v>
      </c>
      <c r="I137" s="43"/>
      <c r="J137" s="43">
        <f t="shared" ref="J137:J143" si="1">F137*H137</f>
        <v>367670.01599999995</v>
      </c>
      <c r="K137" s="45"/>
      <c r="L137" s="150"/>
      <c r="M137" s="38"/>
      <c r="N137" s="47"/>
      <c r="O137" s="48"/>
      <c r="P137" s="48"/>
      <c r="Q137" s="48"/>
    </row>
    <row r="138" spans="3:17" x14ac:dyDescent="0.25">
      <c r="C138" s="41"/>
      <c r="D138" s="42" t="s">
        <v>50</v>
      </c>
      <c r="E138" s="38" t="s">
        <v>27</v>
      </c>
      <c r="F138" s="43">
        <f>(742*1.05)/1000</f>
        <v>0.77910000000000001</v>
      </c>
      <c r="G138" s="44"/>
      <c r="H138" s="43">
        <v>12100</v>
      </c>
      <c r="I138" s="43"/>
      <c r="J138" s="43">
        <f t="shared" si="1"/>
        <v>9427.11</v>
      </c>
      <c r="K138" s="45"/>
      <c r="L138" s="150"/>
      <c r="M138" s="38"/>
      <c r="N138" s="47"/>
      <c r="O138" s="48"/>
      <c r="P138" s="48"/>
      <c r="Q138" s="48"/>
    </row>
    <row r="139" spans="3:17" x14ac:dyDescent="0.25">
      <c r="C139" s="41"/>
      <c r="D139" s="42" t="s">
        <v>51</v>
      </c>
      <c r="E139" s="38" t="s">
        <v>27</v>
      </c>
      <c r="F139" s="43">
        <f>(13581*1.05)/1000</f>
        <v>14.260050000000001</v>
      </c>
      <c r="G139" s="44"/>
      <c r="H139" s="43">
        <v>12100</v>
      </c>
      <c r="I139" s="43"/>
      <c r="J139" s="43">
        <f t="shared" si="1"/>
        <v>172546.60500000001</v>
      </c>
      <c r="K139" s="45"/>
      <c r="L139" s="150"/>
      <c r="M139" s="38"/>
      <c r="N139" s="47"/>
      <c r="O139" s="48"/>
      <c r="P139" s="48"/>
      <c r="Q139" s="48"/>
    </row>
    <row r="140" spans="3:17" x14ac:dyDescent="0.25">
      <c r="C140" s="41"/>
      <c r="D140" s="42" t="s">
        <v>52</v>
      </c>
      <c r="E140" s="38" t="s">
        <v>27</v>
      </c>
      <c r="F140" s="43">
        <f>(15952*1.05)/1000</f>
        <v>16.749600000000001</v>
      </c>
      <c r="G140" s="44"/>
      <c r="H140" s="43">
        <v>12100</v>
      </c>
      <c r="I140" s="43"/>
      <c r="J140" s="43">
        <f t="shared" si="1"/>
        <v>202670.16</v>
      </c>
      <c r="K140" s="45"/>
      <c r="L140" s="150"/>
      <c r="M140" s="38"/>
      <c r="N140" s="47"/>
      <c r="O140" s="48"/>
      <c r="P140" s="48"/>
      <c r="Q140" s="48"/>
    </row>
    <row r="141" spans="3:17" x14ac:dyDescent="0.25">
      <c r="C141" s="52"/>
      <c r="D141" s="53" t="s">
        <v>53</v>
      </c>
      <c r="E141" s="54" t="s">
        <v>54</v>
      </c>
      <c r="F141" s="58">
        <f>((8/1000)*(SUM(F138:F140)))/1.05</f>
        <v>0.24219999999999997</v>
      </c>
      <c r="G141" s="56"/>
      <c r="H141" s="58">
        <v>15900</v>
      </c>
      <c r="I141" s="58"/>
      <c r="J141" s="58">
        <f t="shared" si="1"/>
        <v>3850.9799999999996</v>
      </c>
      <c r="K141" s="59"/>
      <c r="L141" s="159"/>
      <c r="M141" s="38"/>
      <c r="N141" s="47"/>
      <c r="O141" s="61"/>
      <c r="P141" s="61"/>
      <c r="Q141" s="61"/>
    </row>
    <row r="142" spans="3:17" x14ac:dyDescent="0.25">
      <c r="C142" s="41"/>
      <c r="D142" s="42" t="s">
        <v>56</v>
      </c>
      <c r="E142" s="38" t="s">
        <v>57</v>
      </c>
      <c r="F142" s="49">
        <v>1</v>
      </c>
      <c r="G142" s="44"/>
      <c r="H142" s="43">
        <v>13000</v>
      </c>
      <c r="I142" s="43"/>
      <c r="J142" s="43">
        <f t="shared" si="1"/>
        <v>13000</v>
      </c>
      <c r="K142" s="45"/>
      <c r="L142" s="150"/>
      <c r="M142" s="38"/>
      <c r="N142" s="47"/>
      <c r="O142" s="48"/>
      <c r="P142" s="48"/>
      <c r="Q142" s="48"/>
    </row>
    <row r="143" spans="3:17" ht="71.25" customHeight="1" x14ac:dyDescent="0.25">
      <c r="C143" s="52"/>
      <c r="D143" s="53" t="s">
        <v>58</v>
      </c>
      <c r="E143" s="38" t="s">
        <v>59</v>
      </c>
      <c r="F143" s="58">
        <f>1*6</f>
        <v>6</v>
      </c>
      <c r="G143" s="56"/>
      <c r="H143" s="58">
        <f>170+40+40</f>
        <v>250</v>
      </c>
      <c r="I143" s="58"/>
      <c r="J143" s="43">
        <f t="shared" si="1"/>
        <v>1500</v>
      </c>
      <c r="K143" s="59"/>
      <c r="L143" s="159"/>
      <c r="M143" s="38" t="s">
        <v>249</v>
      </c>
      <c r="N143" s="47"/>
      <c r="O143" s="61"/>
      <c r="P143" s="61"/>
      <c r="Q143" s="61"/>
    </row>
    <row r="144" spans="3:17" x14ac:dyDescent="0.25">
      <c r="C144" s="33" t="s">
        <v>258</v>
      </c>
      <c r="D144" s="34" t="s">
        <v>92</v>
      </c>
      <c r="E144" s="35" t="s">
        <v>38</v>
      </c>
      <c r="F144" s="36">
        <v>13</v>
      </c>
      <c r="G144" s="151">
        <v>25</v>
      </c>
      <c r="H144" s="36"/>
      <c r="I144" s="36">
        <f>G144*F144</f>
        <v>325</v>
      </c>
      <c r="J144" s="36">
        <f>SUM(J145:J147)</f>
        <v>2514.2138461538461</v>
      </c>
      <c r="K144" s="36">
        <f>J144+I144</f>
        <v>2839.2138461538461</v>
      </c>
      <c r="L144" s="149">
        <f>I144</f>
        <v>325</v>
      </c>
      <c r="M144" s="1" t="s">
        <v>360</v>
      </c>
      <c r="N144" s="39"/>
      <c r="O144" s="40"/>
      <c r="P144" s="40"/>
      <c r="Q144" s="40"/>
    </row>
    <row r="145" spans="3:17" x14ac:dyDescent="0.25">
      <c r="C145" s="41"/>
      <c r="D145" s="42" t="s">
        <v>62</v>
      </c>
      <c r="E145" s="38" t="s">
        <v>38</v>
      </c>
      <c r="F145" s="43">
        <v>13</v>
      </c>
      <c r="G145" s="44"/>
      <c r="H145" s="43">
        <f>7711.2/60</f>
        <v>128.52000000000001</v>
      </c>
      <c r="I145" s="43"/>
      <c r="J145" s="43">
        <f>H145*F145</f>
        <v>1670.7600000000002</v>
      </c>
      <c r="K145" s="45"/>
      <c r="L145" s="150"/>
      <c r="M145" s="38"/>
      <c r="N145" s="47"/>
      <c r="O145" s="48"/>
      <c r="P145" s="48"/>
      <c r="Q145" s="48"/>
    </row>
    <row r="146" spans="3:17" x14ac:dyDescent="0.25">
      <c r="C146" s="41"/>
      <c r="D146" s="42" t="s">
        <v>63</v>
      </c>
      <c r="E146" s="38" t="s">
        <v>64</v>
      </c>
      <c r="F146" s="43">
        <v>3</v>
      </c>
      <c r="G146" s="44"/>
      <c r="H146" s="43">
        <f>2536.36/13</f>
        <v>195.10461538461539</v>
      </c>
      <c r="I146" s="43"/>
      <c r="J146" s="43">
        <f>H146*F146</f>
        <v>585.31384615384616</v>
      </c>
      <c r="K146" s="45"/>
      <c r="L146" s="150"/>
      <c r="M146" s="38"/>
      <c r="N146" s="47"/>
      <c r="O146" s="48"/>
      <c r="P146" s="48"/>
      <c r="Q146" s="48"/>
    </row>
    <row r="147" spans="3:17" x14ac:dyDescent="0.25">
      <c r="C147" s="41"/>
      <c r="D147" s="42" t="s">
        <v>65</v>
      </c>
      <c r="E147" s="38" t="s">
        <v>64</v>
      </c>
      <c r="F147" s="43">
        <v>1</v>
      </c>
      <c r="G147" s="44"/>
      <c r="H147" s="43">
        <f>1032.56/4</f>
        <v>258.14</v>
      </c>
      <c r="I147" s="43"/>
      <c r="J147" s="43">
        <f>H147*F147</f>
        <v>258.14</v>
      </c>
      <c r="K147" s="45"/>
      <c r="L147" s="150"/>
      <c r="M147" s="38"/>
      <c r="N147" s="47"/>
      <c r="O147" s="48"/>
      <c r="P147" s="48"/>
      <c r="Q147" s="48"/>
    </row>
    <row r="148" spans="3:17" ht="31.5" x14ac:dyDescent="0.25">
      <c r="C148" s="27" t="s">
        <v>73</v>
      </c>
      <c r="D148" s="28" t="s">
        <v>101</v>
      </c>
      <c r="E148" s="63"/>
      <c r="F148" s="31"/>
      <c r="G148" s="31"/>
      <c r="H148" s="31"/>
      <c r="I148" s="31">
        <f>SUM(I149:I167)</f>
        <v>147170</v>
      </c>
      <c r="J148" s="31">
        <f>J150+J152+J154+J156+J164</f>
        <v>937917.25484899362</v>
      </c>
      <c r="K148" s="31">
        <f>SUM(K149:K167)</f>
        <v>1085087.2548489936</v>
      </c>
      <c r="L148" s="148">
        <f>SUM(L149:L167)</f>
        <v>147170</v>
      </c>
      <c r="M148" s="158" t="s">
        <v>352</v>
      </c>
      <c r="N148" s="6"/>
      <c r="O148" s="24"/>
      <c r="P148" s="25"/>
      <c r="Q148" s="26"/>
    </row>
    <row r="149" spans="3:17" x14ac:dyDescent="0.25">
      <c r="C149" s="33" t="s">
        <v>259</v>
      </c>
      <c r="D149" s="34" t="s">
        <v>21</v>
      </c>
      <c r="E149" s="35" t="s">
        <v>22</v>
      </c>
      <c r="F149" s="36">
        <f>1481/1.4</f>
        <v>1057.8571428571429</v>
      </c>
      <c r="G149" s="36">
        <v>25</v>
      </c>
      <c r="H149" s="36"/>
      <c r="I149" s="36">
        <f>F149*G149</f>
        <v>26446.428571428572</v>
      </c>
      <c r="J149" s="36"/>
      <c r="K149" s="36">
        <f>J149+I149</f>
        <v>26446.428571428572</v>
      </c>
      <c r="L149" s="149">
        <f>F149*25</f>
        <v>26446.428571428572</v>
      </c>
      <c r="M149" s="38"/>
      <c r="N149" s="39"/>
      <c r="O149" s="40"/>
      <c r="P149" s="40"/>
      <c r="Q149" s="40"/>
    </row>
    <row r="150" spans="3:17" ht="47.25" x14ac:dyDescent="0.25">
      <c r="C150" s="33" t="s">
        <v>260</v>
      </c>
      <c r="D150" s="34" t="s">
        <v>24</v>
      </c>
      <c r="E150" s="35" t="s">
        <v>25</v>
      </c>
      <c r="F150" s="36">
        <v>46.5</v>
      </c>
      <c r="G150" s="36">
        <v>100</v>
      </c>
      <c r="H150" s="36">
        <f>J150/F150</f>
        <v>291.46750000000003</v>
      </c>
      <c r="I150" s="36">
        <f>G150*F150</f>
        <v>4650</v>
      </c>
      <c r="J150" s="36">
        <f>SUM(J151)</f>
        <v>13553.23875</v>
      </c>
      <c r="K150" s="36">
        <f>J150+I150</f>
        <v>18203.23875</v>
      </c>
      <c r="L150" s="149">
        <f>I150</f>
        <v>4650</v>
      </c>
      <c r="M150" s="1" t="s">
        <v>353</v>
      </c>
      <c r="N150" s="39"/>
      <c r="O150" s="40"/>
      <c r="P150" s="40"/>
      <c r="Q150" s="40"/>
    </row>
    <row r="151" spans="3:17" x14ac:dyDescent="0.25">
      <c r="C151" s="41"/>
      <c r="D151" s="42" t="s">
        <v>26</v>
      </c>
      <c r="E151" s="38" t="s">
        <v>27</v>
      </c>
      <c r="F151" s="49">
        <f>F150*1.15*1.37</f>
        <v>73.260750000000002</v>
      </c>
      <c r="G151" s="44"/>
      <c r="H151" s="43">
        <v>185</v>
      </c>
      <c r="I151" s="43"/>
      <c r="J151" s="43">
        <f>H151*F151</f>
        <v>13553.23875</v>
      </c>
      <c r="K151" s="45"/>
      <c r="L151" s="150"/>
      <c r="M151" s="38"/>
      <c r="N151" s="47"/>
      <c r="O151" s="48"/>
      <c r="P151" s="48"/>
      <c r="Q151" s="48"/>
    </row>
    <row r="152" spans="3:17" ht="31.5" x14ac:dyDescent="0.25">
      <c r="C152" s="33" t="s">
        <v>261</v>
      </c>
      <c r="D152" s="34" t="s">
        <v>29</v>
      </c>
      <c r="E152" s="35" t="s">
        <v>19</v>
      </c>
      <c r="F152" s="151">
        <f>F149*0.4</f>
        <v>423.14285714285717</v>
      </c>
      <c r="G152" s="36">
        <v>60</v>
      </c>
      <c r="H152" s="36">
        <f>J152/F152</f>
        <v>167.20000000000005</v>
      </c>
      <c r="I152" s="36">
        <f>G152*F152</f>
        <v>25388.571428571431</v>
      </c>
      <c r="J152" s="36">
        <f>SUM(J153)</f>
        <v>70749.485714285736</v>
      </c>
      <c r="K152" s="36">
        <f>J152+I152</f>
        <v>96138.057142857171</v>
      </c>
      <c r="L152" s="149">
        <f>I152</f>
        <v>25388.571428571431</v>
      </c>
      <c r="M152" s="1" t="s">
        <v>361</v>
      </c>
      <c r="N152" s="39"/>
      <c r="O152" s="40"/>
      <c r="P152" s="40"/>
      <c r="Q152" s="40"/>
    </row>
    <row r="153" spans="3:17" x14ac:dyDescent="0.25">
      <c r="C153" s="41"/>
      <c r="D153" s="42" t="s">
        <v>30</v>
      </c>
      <c r="E153" s="38" t="s">
        <v>27</v>
      </c>
      <c r="F153" s="49">
        <f>F152*1.1*1.6</f>
        <v>744.73142857142875</v>
      </c>
      <c r="G153" s="44"/>
      <c r="H153" s="43">
        <v>95</v>
      </c>
      <c r="I153" s="43"/>
      <c r="J153" s="43">
        <f>H153*F153</f>
        <v>70749.485714285736</v>
      </c>
      <c r="K153" s="45"/>
      <c r="L153" s="150"/>
      <c r="M153" s="1" t="s">
        <v>354</v>
      </c>
      <c r="N153" s="47"/>
      <c r="O153" s="48"/>
      <c r="P153" s="48"/>
      <c r="Q153" s="48"/>
    </row>
    <row r="154" spans="3:17" ht="18" x14ac:dyDescent="0.25">
      <c r="C154" s="33" t="s">
        <v>262</v>
      </c>
      <c r="D154" s="34" t="s">
        <v>32</v>
      </c>
      <c r="E154" s="35" t="s">
        <v>33</v>
      </c>
      <c r="F154" s="36">
        <v>93</v>
      </c>
      <c r="G154" s="36">
        <v>120</v>
      </c>
      <c r="H154" s="36">
        <f>J154/F154</f>
        <v>864.89726385542156</v>
      </c>
      <c r="I154" s="36">
        <f>F154*G154</f>
        <v>11160</v>
      </c>
      <c r="J154" s="36">
        <f>SUM(J155)</f>
        <v>80435.44553855421</v>
      </c>
      <c r="K154" s="36">
        <f>J154+I154</f>
        <v>91595.44553855421</v>
      </c>
      <c r="L154" s="149">
        <f>I154</f>
        <v>11160</v>
      </c>
      <c r="M154" s="38"/>
      <c r="N154" s="39"/>
      <c r="O154" s="40"/>
      <c r="P154" s="40"/>
      <c r="Q154" s="40"/>
    </row>
    <row r="155" spans="3:17" x14ac:dyDescent="0.25">
      <c r="C155" s="41"/>
      <c r="D155" s="42" t="s">
        <v>237</v>
      </c>
      <c r="E155" s="38" t="s">
        <v>89</v>
      </c>
      <c r="F155" s="43">
        <f>F154*1.02</f>
        <v>94.86</v>
      </c>
      <c r="G155" s="44"/>
      <c r="H155" s="43">
        <f>281515.58/332</f>
        <v>847.93849397590361</v>
      </c>
      <c r="I155" s="43"/>
      <c r="J155" s="43">
        <f>F155*H155</f>
        <v>80435.44553855421</v>
      </c>
      <c r="K155" s="45"/>
      <c r="L155" s="150"/>
      <c r="M155" s="38"/>
      <c r="N155" s="47"/>
      <c r="O155" s="48"/>
      <c r="P155" s="48"/>
      <c r="Q155" s="48"/>
    </row>
    <row r="156" spans="3:17" ht="31.5" x14ac:dyDescent="0.25">
      <c r="C156" s="33" t="s">
        <v>263</v>
      </c>
      <c r="D156" s="34" t="s">
        <v>358</v>
      </c>
      <c r="E156" s="35" t="s">
        <v>19</v>
      </c>
      <c r="F156" s="36">
        <v>360</v>
      </c>
      <c r="G156" s="151">
        <v>220</v>
      </c>
      <c r="H156" s="36"/>
      <c r="I156" s="36">
        <f>G156*F156</f>
        <v>79200</v>
      </c>
      <c r="J156" s="36">
        <f>SUM(J157:J163)</f>
        <v>770664.87099999993</v>
      </c>
      <c r="K156" s="36">
        <f>J156+I156</f>
        <v>849864.87099999993</v>
      </c>
      <c r="L156" s="149">
        <f>I156</f>
        <v>79200</v>
      </c>
      <c r="M156" s="1" t="s">
        <v>359</v>
      </c>
      <c r="N156" s="39"/>
      <c r="O156" s="40"/>
      <c r="P156" s="40"/>
      <c r="Q156" s="40"/>
    </row>
    <row r="157" spans="3:17" x14ac:dyDescent="0.25">
      <c r="C157" s="41"/>
      <c r="D157" s="42" t="s">
        <v>264</v>
      </c>
      <c r="E157" s="38" t="s">
        <v>89</v>
      </c>
      <c r="F157" s="43">
        <f>1.02*F156</f>
        <v>367.2</v>
      </c>
      <c r="G157" s="44"/>
      <c r="H157" s="43">
        <f>1247594.88/1246</f>
        <v>1001.2799999999999</v>
      </c>
      <c r="I157" s="43"/>
      <c r="J157" s="43">
        <f t="shared" ref="J157:J163" si="2">F157*H157</f>
        <v>367670.01599999995</v>
      </c>
      <c r="K157" s="45"/>
      <c r="L157" s="150"/>
      <c r="M157" s="38"/>
      <c r="N157" s="47"/>
      <c r="O157" s="48"/>
      <c r="P157" s="48"/>
      <c r="Q157" s="48"/>
    </row>
    <row r="158" spans="3:17" x14ac:dyDescent="0.25">
      <c r="C158" s="41"/>
      <c r="D158" s="42" t="s">
        <v>50</v>
      </c>
      <c r="E158" s="38" t="s">
        <v>27</v>
      </c>
      <c r="F158" s="43">
        <f>(742*1.05)/1000</f>
        <v>0.77910000000000001</v>
      </c>
      <c r="G158" s="44"/>
      <c r="H158" s="43">
        <v>12100</v>
      </c>
      <c r="I158" s="43"/>
      <c r="J158" s="43">
        <f t="shared" si="2"/>
        <v>9427.11</v>
      </c>
      <c r="K158" s="45"/>
      <c r="L158" s="150"/>
      <c r="M158" s="38"/>
      <c r="N158" s="47"/>
      <c r="O158" s="48"/>
      <c r="P158" s="48"/>
      <c r="Q158" s="48"/>
    </row>
    <row r="159" spans="3:17" x14ac:dyDescent="0.25">
      <c r="C159" s="41"/>
      <c r="D159" s="42" t="s">
        <v>51</v>
      </c>
      <c r="E159" s="38" t="s">
        <v>27</v>
      </c>
      <c r="F159" s="43">
        <f>(13581*1.05)/1000</f>
        <v>14.260050000000001</v>
      </c>
      <c r="G159" s="44"/>
      <c r="H159" s="43">
        <v>12100</v>
      </c>
      <c r="I159" s="43"/>
      <c r="J159" s="43">
        <f t="shared" si="2"/>
        <v>172546.60500000001</v>
      </c>
      <c r="K159" s="45"/>
      <c r="L159" s="150"/>
      <c r="M159" s="38"/>
      <c r="N159" s="47"/>
      <c r="O159" s="48"/>
      <c r="P159" s="48"/>
      <c r="Q159" s="48"/>
    </row>
    <row r="160" spans="3:17" x14ac:dyDescent="0.25">
      <c r="C160" s="41"/>
      <c r="D160" s="42" t="s">
        <v>52</v>
      </c>
      <c r="E160" s="38" t="s">
        <v>27</v>
      </c>
      <c r="F160" s="43">
        <f>(15952*1.05)/1000</f>
        <v>16.749600000000001</v>
      </c>
      <c r="G160" s="44"/>
      <c r="H160" s="43">
        <v>12100</v>
      </c>
      <c r="I160" s="43"/>
      <c r="J160" s="43">
        <f t="shared" si="2"/>
        <v>202670.16</v>
      </c>
      <c r="K160" s="45"/>
      <c r="L160" s="150"/>
      <c r="M160" s="38"/>
      <c r="N160" s="47"/>
      <c r="O160" s="48"/>
      <c r="P160" s="48"/>
      <c r="Q160" s="48"/>
    </row>
    <row r="161" spans="3:17" x14ac:dyDescent="0.25">
      <c r="C161" s="52"/>
      <c r="D161" s="53" t="s">
        <v>53</v>
      </c>
      <c r="E161" s="54" t="s">
        <v>54</v>
      </c>
      <c r="F161" s="58">
        <f>((8/1000)*(SUM(F158:F160)))/1.05</f>
        <v>0.24219999999999997</v>
      </c>
      <c r="G161" s="56"/>
      <c r="H161" s="58">
        <v>15900</v>
      </c>
      <c r="I161" s="58"/>
      <c r="J161" s="43">
        <f t="shared" si="2"/>
        <v>3850.9799999999996</v>
      </c>
      <c r="K161" s="59"/>
      <c r="L161" s="159"/>
      <c r="M161" s="38"/>
      <c r="N161" s="47"/>
      <c r="O161" s="61"/>
      <c r="P161" s="61"/>
      <c r="Q161" s="61"/>
    </row>
    <row r="162" spans="3:17" x14ac:dyDescent="0.25">
      <c r="C162" s="41"/>
      <c r="D162" s="42" t="s">
        <v>56</v>
      </c>
      <c r="E162" s="38" t="s">
        <v>57</v>
      </c>
      <c r="F162" s="49">
        <v>1</v>
      </c>
      <c r="G162" s="44"/>
      <c r="H162" s="43">
        <v>13000</v>
      </c>
      <c r="I162" s="43"/>
      <c r="J162" s="43">
        <f t="shared" si="2"/>
        <v>13000</v>
      </c>
      <c r="K162" s="45"/>
      <c r="L162" s="150"/>
      <c r="M162" s="38"/>
      <c r="N162" s="47"/>
      <c r="O162" s="48"/>
      <c r="P162" s="48"/>
      <c r="Q162" s="48"/>
    </row>
    <row r="163" spans="3:17" ht="64.5" customHeight="1" x14ac:dyDescent="0.25">
      <c r="C163" s="52"/>
      <c r="D163" s="53" t="s">
        <v>58</v>
      </c>
      <c r="E163" s="38" t="s">
        <v>59</v>
      </c>
      <c r="F163" s="58">
        <f>1*6</f>
        <v>6</v>
      </c>
      <c r="G163" s="56"/>
      <c r="H163" s="58">
        <f>170+40+40</f>
        <v>250</v>
      </c>
      <c r="I163" s="58"/>
      <c r="J163" s="43">
        <f t="shared" si="2"/>
        <v>1500</v>
      </c>
      <c r="K163" s="59"/>
      <c r="L163" s="159"/>
      <c r="M163" s="38" t="s">
        <v>249</v>
      </c>
      <c r="N163" s="47"/>
      <c r="O163" s="61"/>
      <c r="P163" s="61"/>
      <c r="Q163" s="61"/>
    </row>
    <row r="164" spans="3:17" x14ac:dyDescent="0.25">
      <c r="C164" s="33" t="s">
        <v>265</v>
      </c>
      <c r="D164" s="34" t="s">
        <v>61</v>
      </c>
      <c r="E164" s="35" t="s">
        <v>38</v>
      </c>
      <c r="F164" s="36">
        <v>13</v>
      </c>
      <c r="G164" s="151">
        <v>25</v>
      </c>
      <c r="H164" s="36"/>
      <c r="I164" s="36">
        <f>G164*F164</f>
        <v>325</v>
      </c>
      <c r="J164" s="36">
        <f>SUM(J165:J167)</f>
        <v>2514.2138461538461</v>
      </c>
      <c r="K164" s="36">
        <f>J164+I164</f>
        <v>2839.2138461538461</v>
      </c>
      <c r="L164" s="149">
        <f>I164</f>
        <v>325</v>
      </c>
      <c r="M164" s="1" t="s">
        <v>360</v>
      </c>
      <c r="N164" s="39"/>
      <c r="O164" s="40"/>
      <c r="P164" s="40"/>
      <c r="Q164" s="40"/>
    </row>
    <row r="165" spans="3:17" x14ac:dyDescent="0.25">
      <c r="C165" s="41"/>
      <c r="D165" s="42" t="s">
        <v>104</v>
      </c>
      <c r="E165" s="38" t="s">
        <v>38</v>
      </c>
      <c r="F165" s="43">
        <f>F164</f>
        <v>13</v>
      </c>
      <c r="G165" s="44"/>
      <c r="H165" s="43">
        <f>7711.2/60</f>
        <v>128.52000000000001</v>
      </c>
      <c r="I165" s="43"/>
      <c r="J165" s="43">
        <f>H165*F165</f>
        <v>1670.7600000000002</v>
      </c>
      <c r="K165" s="45"/>
      <c r="L165" s="150"/>
      <c r="M165" s="38"/>
      <c r="N165" s="47"/>
      <c r="O165" s="48"/>
      <c r="P165" s="48"/>
      <c r="Q165" s="48"/>
    </row>
    <row r="166" spans="3:17" x14ac:dyDescent="0.25">
      <c r="C166" s="41"/>
      <c r="D166" s="42" t="s">
        <v>105</v>
      </c>
      <c r="E166" s="38" t="s">
        <v>64</v>
      </c>
      <c r="F166" s="43">
        <v>3</v>
      </c>
      <c r="G166" s="44"/>
      <c r="H166" s="43">
        <f>2536.36/13</f>
        <v>195.10461538461539</v>
      </c>
      <c r="I166" s="43"/>
      <c r="J166" s="43">
        <f>H166*F166</f>
        <v>585.31384615384616</v>
      </c>
      <c r="K166" s="45"/>
      <c r="L166" s="150"/>
      <c r="M166" s="38"/>
      <c r="N166" s="47"/>
      <c r="O166" s="48"/>
      <c r="P166" s="48"/>
      <c r="Q166" s="48"/>
    </row>
    <row r="167" spans="3:17" x14ac:dyDescent="0.25">
      <c r="C167" s="41"/>
      <c r="D167" s="42" t="s">
        <v>106</v>
      </c>
      <c r="E167" s="38" t="s">
        <v>64</v>
      </c>
      <c r="F167" s="43">
        <v>1</v>
      </c>
      <c r="G167" s="44"/>
      <c r="H167" s="43">
        <f>1032.56/4</f>
        <v>258.14</v>
      </c>
      <c r="I167" s="43"/>
      <c r="J167" s="43">
        <f>H167*F167</f>
        <v>258.14</v>
      </c>
      <c r="K167" s="45"/>
      <c r="L167" s="150"/>
      <c r="M167" s="38"/>
      <c r="N167" s="47"/>
      <c r="O167" s="48"/>
      <c r="P167" s="48"/>
      <c r="Q167" s="48"/>
    </row>
    <row r="168" spans="3:17" ht="47.25" x14ac:dyDescent="0.25">
      <c r="C168" s="65"/>
      <c r="D168" s="66" t="s">
        <v>266</v>
      </c>
      <c r="E168" s="67"/>
      <c r="F168" s="68"/>
      <c r="G168" s="68"/>
      <c r="H168" s="68"/>
      <c r="I168" s="68">
        <f>I148+I130+I104</f>
        <v>484398.75</v>
      </c>
      <c r="J168" s="68">
        <f>J148+J130+J104</f>
        <v>2744557.5278505986</v>
      </c>
      <c r="K168" s="68">
        <f>K148+K130+K104</f>
        <v>3228956.2778505986</v>
      </c>
      <c r="L168" s="157">
        <f>L148+L130+L104</f>
        <v>484398.75</v>
      </c>
      <c r="M168" s="70"/>
    </row>
    <row r="169" spans="3:17" ht="5.25" customHeight="1" x14ac:dyDescent="0.25"/>
    <row r="170" spans="3:17" ht="31.5" x14ac:dyDescent="0.25">
      <c r="C170" s="18" t="s">
        <v>267</v>
      </c>
      <c r="D170" s="19" t="s">
        <v>268</v>
      </c>
      <c r="E170" s="20"/>
      <c r="F170" s="21" t="s">
        <v>109</v>
      </c>
      <c r="G170" s="21" t="s">
        <v>110</v>
      </c>
      <c r="H170" s="21"/>
      <c r="I170" s="21"/>
      <c r="J170" s="21"/>
      <c r="K170" s="21"/>
      <c r="L170" s="147"/>
      <c r="M170" s="23"/>
      <c r="N170" s="6"/>
      <c r="O170" s="24"/>
      <c r="P170" s="25"/>
      <c r="Q170" s="26"/>
    </row>
    <row r="171" spans="3:17" x14ac:dyDescent="0.25">
      <c r="C171" s="27" t="s">
        <v>269</v>
      </c>
      <c r="D171" s="28" t="s">
        <v>270</v>
      </c>
      <c r="E171" s="63"/>
      <c r="F171" s="31" t="s">
        <v>109</v>
      </c>
      <c r="G171" s="31" t="s">
        <v>110</v>
      </c>
      <c r="H171" s="31"/>
      <c r="I171" s="31">
        <f>SUM(I172:I174)</f>
        <v>185011.20000000001</v>
      </c>
      <c r="J171" s="31">
        <f>J173</f>
        <v>77088</v>
      </c>
      <c r="K171" s="31">
        <f>SUM(K172:K174)</f>
        <v>262099.20000000001</v>
      </c>
      <c r="L171" s="148"/>
      <c r="M171" s="64"/>
      <c r="N171" s="6"/>
      <c r="O171" s="24"/>
      <c r="P171" s="25"/>
      <c r="Q171" s="26"/>
    </row>
    <row r="172" spans="3:17" x14ac:dyDescent="0.25">
      <c r="C172" s="33" t="s">
        <v>271</v>
      </c>
      <c r="D172" s="34" t="s">
        <v>362</v>
      </c>
      <c r="E172" s="35" t="s">
        <v>114</v>
      </c>
      <c r="F172" s="36">
        <v>2409</v>
      </c>
      <c r="G172" s="36">
        <f>1.2*19</f>
        <v>22.8</v>
      </c>
      <c r="H172" s="36"/>
      <c r="I172" s="36">
        <f>G172*F172</f>
        <v>54925.200000000004</v>
      </c>
      <c r="J172" s="36"/>
      <c r="K172" s="36">
        <f>J172+I172</f>
        <v>54925.200000000004</v>
      </c>
      <c r="L172" s="149"/>
      <c r="M172" s="38"/>
      <c r="N172" s="39"/>
      <c r="O172" s="40"/>
      <c r="P172" s="40"/>
      <c r="Q172" s="40"/>
    </row>
    <row r="173" spans="3:17" x14ac:dyDescent="0.25">
      <c r="C173" s="33" t="s">
        <v>272</v>
      </c>
      <c r="D173" s="34" t="s">
        <v>273</v>
      </c>
      <c r="E173" s="35" t="s">
        <v>114</v>
      </c>
      <c r="F173" s="36">
        <v>2409</v>
      </c>
      <c r="G173" s="36">
        <f>1.2*45</f>
        <v>54</v>
      </c>
      <c r="H173" s="36"/>
      <c r="I173" s="36">
        <f>G173*F173</f>
        <v>130086</v>
      </c>
      <c r="J173" s="36">
        <f>SUM(J174)</f>
        <v>77088</v>
      </c>
      <c r="K173" s="36">
        <f>J173+I173</f>
        <v>207174</v>
      </c>
      <c r="L173" s="149"/>
      <c r="M173" s="38"/>
      <c r="N173" s="39"/>
      <c r="O173" s="40"/>
      <c r="P173" s="40"/>
      <c r="Q173" s="40"/>
    </row>
    <row r="174" spans="3:17" x14ac:dyDescent="0.25">
      <c r="C174" s="41"/>
      <c r="D174" s="42" t="s">
        <v>168</v>
      </c>
      <c r="E174" s="38" t="s">
        <v>19</v>
      </c>
      <c r="F174" s="43">
        <v>481.8</v>
      </c>
      <c r="G174" s="44"/>
      <c r="H174" s="43">
        <v>160</v>
      </c>
      <c r="I174" s="43"/>
      <c r="J174" s="43">
        <f>H174*F174</f>
        <v>77088</v>
      </c>
      <c r="K174" s="45"/>
      <c r="L174" s="150"/>
      <c r="M174" s="38"/>
      <c r="N174" s="47"/>
      <c r="O174" s="48"/>
      <c r="P174" s="48"/>
      <c r="Q174" s="48"/>
    </row>
    <row r="175" spans="3:17" x14ac:dyDescent="0.25">
      <c r="C175" s="27" t="s">
        <v>275</v>
      </c>
      <c r="D175" s="28" t="s">
        <v>108</v>
      </c>
      <c r="E175" s="63"/>
      <c r="F175" s="31" t="s">
        <v>109</v>
      </c>
      <c r="G175" s="31" t="s">
        <v>110</v>
      </c>
      <c r="H175" s="31"/>
      <c r="I175" s="31">
        <f>SUM(I176:I178)</f>
        <v>279661.19999999995</v>
      </c>
      <c r="J175" s="31">
        <f>J178</f>
        <v>0</v>
      </c>
      <c r="K175" s="31">
        <f>SUM(K176:K178)</f>
        <v>279661.19999999995</v>
      </c>
      <c r="L175" s="148"/>
      <c r="M175" s="64"/>
      <c r="N175" s="6"/>
      <c r="O175" s="24"/>
      <c r="P175" s="25"/>
      <c r="Q175" s="26"/>
    </row>
    <row r="176" spans="3:17" ht="31.5" x14ac:dyDescent="0.25">
      <c r="C176" s="33" t="s">
        <v>276</v>
      </c>
      <c r="D176" s="34" t="s">
        <v>363</v>
      </c>
      <c r="E176" s="35" t="s">
        <v>19</v>
      </c>
      <c r="F176" s="36">
        <v>4863</v>
      </c>
      <c r="G176" s="36">
        <f>1.2*31</f>
        <v>37.199999999999996</v>
      </c>
      <c r="H176" s="36"/>
      <c r="I176" s="36">
        <f>F176*G176</f>
        <v>180903.59999999998</v>
      </c>
      <c r="J176" s="36"/>
      <c r="K176" s="36">
        <f>J176+I176</f>
        <v>180903.59999999998</v>
      </c>
      <c r="L176" s="149"/>
      <c r="M176" s="38"/>
      <c r="N176" s="39"/>
      <c r="O176" s="40"/>
      <c r="P176" s="40"/>
      <c r="Q176" s="40"/>
    </row>
    <row r="177" spans="3:17" x14ac:dyDescent="0.25">
      <c r="C177" s="33" t="s">
        <v>277</v>
      </c>
      <c r="D177" s="34" t="s">
        <v>364</v>
      </c>
      <c r="E177" s="35" t="s">
        <v>19</v>
      </c>
      <c r="F177" s="36">
        <v>4863</v>
      </c>
      <c r="G177" s="36">
        <f>1.2*10</f>
        <v>12</v>
      </c>
      <c r="H177" s="36"/>
      <c r="I177" s="36">
        <f>F177*G177</f>
        <v>58356</v>
      </c>
      <c r="J177" s="36"/>
      <c r="K177" s="36">
        <f>J177+I177</f>
        <v>58356</v>
      </c>
      <c r="L177" s="149"/>
      <c r="M177" s="38"/>
      <c r="N177" s="39"/>
      <c r="O177" s="40"/>
      <c r="P177" s="40"/>
      <c r="Q177" s="40"/>
    </row>
    <row r="178" spans="3:17" x14ac:dyDescent="0.25">
      <c r="C178" s="33" t="s">
        <v>279</v>
      </c>
      <c r="D178" s="34" t="s">
        <v>365</v>
      </c>
      <c r="E178" s="35" t="s">
        <v>114</v>
      </c>
      <c r="F178" s="36">
        <v>1772</v>
      </c>
      <c r="G178" s="36">
        <f>1.2*19</f>
        <v>22.8</v>
      </c>
      <c r="H178" s="36"/>
      <c r="I178" s="36">
        <f>F178*G178</f>
        <v>40401.599999999999</v>
      </c>
      <c r="J178" s="36"/>
      <c r="K178" s="36">
        <f>J178+I178</f>
        <v>40401.599999999999</v>
      </c>
      <c r="L178" s="149"/>
      <c r="M178" s="38"/>
      <c r="N178" s="39"/>
      <c r="O178" s="40"/>
      <c r="P178" s="40"/>
      <c r="Q178" s="40"/>
    </row>
    <row r="179" spans="3:17" x14ac:dyDescent="0.25">
      <c r="C179" s="27" t="s">
        <v>281</v>
      </c>
      <c r="D179" s="28" t="s">
        <v>116</v>
      </c>
      <c r="E179" s="63"/>
      <c r="F179" s="31" t="s">
        <v>109</v>
      </c>
      <c r="G179" s="31" t="s">
        <v>110</v>
      </c>
      <c r="H179" s="31"/>
      <c r="I179" s="31">
        <f>SUM(I180:I183)</f>
        <v>214062</v>
      </c>
      <c r="J179" s="31">
        <f>J182</f>
        <v>0</v>
      </c>
      <c r="K179" s="31">
        <f>SUM(K180:K183)</f>
        <v>214062</v>
      </c>
      <c r="L179" s="148"/>
      <c r="M179" s="64"/>
      <c r="N179" s="6"/>
      <c r="O179" s="24"/>
      <c r="P179" s="25"/>
      <c r="Q179" s="26"/>
    </row>
    <row r="180" spans="3:17" ht="31.5" x14ac:dyDescent="0.25">
      <c r="C180" s="33" t="s">
        <v>282</v>
      </c>
      <c r="D180" s="34" t="s">
        <v>366</v>
      </c>
      <c r="E180" s="35" t="s">
        <v>19</v>
      </c>
      <c r="F180" s="36">
        <v>2970</v>
      </c>
      <c r="G180" s="36">
        <f>1.2*24</f>
        <v>28.799999999999997</v>
      </c>
      <c r="H180" s="36"/>
      <c r="I180" s="36">
        <f>F180*G180</f>
        <v>85535.999999999985</v>
      </c>
      <c r="J180" s="36"/>
      <c r="K180" s="36">
        <f>I180+J180</f>
        <v>85535.999999999985</v>
      </c>
      <c r="L180" s="149"/>
      <c r="M180" s="38"/>
      <c r="N180" s="39"/>
      <c r="O180" s="40"/>
      <c r="P180" s="40"/>
      <c r="Q180" s="40"/>
    </row>
    <row r="181" spans="3:17" x14ac:dyDescent="0.25">
      <c r="C181" s="33" t="s">
        <v>283</v>
      </c>
      <c r="D181" s="34" t="s">
        <v>367</v>
      </c>
      <c r="E181" s="35" t="s">
        <v>19</v>
      </c>
      <c r="F181" s="36">
        <v>468</v>
      </c>
      <c r="G181" s="36">
        <f>1.2*125</f>
        <v>150</v>
      </c>
      <c r="H181" s="36"/>
      <c r="I181" s="36">
        <f>F181*G181</f>
        <v>70200</v>
      </c>
      <c r="J181" s="36"/>
      <c r="K181" s="36">
        <f>I181+J181</f>
        <v>70200</v>
      </c>
      <c r="L181" s="149"/>
      <c r="M181" s="38"/>
      <c r="N181" s="39"/>
      <c r="O181" s="40"/>
      <c r="P181" s="40"/>
      <c r="Q181" s="40"/>
    </row>
    <row r="182" spans="3:17" x14ac:dyDescent="0.25">
      <c r="C182" s="33" t="s">
        <v>284</v>
      </c>
      <c r="D182" s="34" t="s">
        <v>364</v>
      </c>
      <c r="E182" s="35"/>
      <c r="F182" s="36">
        <v>2970</v>
      </c>
      <c r="G182" s="36">
        <f>1.2*10</f>
        <v>12</v>
      </c>
      <c r="H182" s="36"/>
      <c r="I182" s="36">
        <f>F182*G182</f>
        <v>35640</v>
      </c>
      <c r="J182" s="36"/>
      <c r="K182" s="36">
        <f>I182+J182</f>
        <v>35640</v>
      </c>
      <c r="L182" s="149"/>
      <c r="M182" s="38"/>
      <c r="N182" s="39"/>
      <c r="O182" s="40"/>
      <c r="P182" s="40"/>
      <c r="Q182" s="40"/>
    </row>
    <row r="183" spans="3:17" x14ac:dyDescent="0.25">
      <c r="C183" s="33" t="s">
        <v>285</v>
      </c>
      <c r="D183" s="34" t="s">
        <v>368</v>
      </c>
      <c r="E183" s="35" t="s">
        <v>114</v>
      </c>
      <c r="F183" s="36">
        <v>995</v>
      </c>
      <c r="G183" s="36">
        <f>1.2*19</f>
        <v>22.8</v>
      </c>
      <c r="H183" s="36"/>
      <c r="I183" s="36">
        <f>F183*G183</f>
        <v>22686</v>
      </c>
      <c r="J183" s="36"/>
      <c r="K183" s="36">
        <f>I183+J183</f>
        <v>22686</v>
      </c>
      <c r="L183" s="149"/>
      <c r="M183" s="38"/>
      <c r="N183" s="39"/>
      <c r="O183" s="40"/>
      <c r="P183" s="40"/>
      <c r="Q183" s="40"/>
    </row>
    <row r="184" spans="3:17" x14ac:dyDescent="0.25">
      <c r="C184" s="27" t="s">
        <v>286</v>
      </c>
      <c r="D184" s="28" t="s">
        <v>120</v>
      </c>
      <c r="E184" s="63"/>
      <c r="F184" s="31" t="s">
        <v>109</v>
      </c>
      <c r="G184" s="31" t="s">
        <v>110</v>
      </c>
      <c r="H184" s="31"/>
      <c r="I184" s="31">
        <f>SUM(I185:I188)</f>
        <v>259902</v>
      </c>
      <c r="J184" s="31">
        <f>SUM(J185:J188)</f>
        <v>0</v>
      </c>
      <c r="K184" s="31">
        <f>SUM(K185:K188)</f>
        <v>259902</v>
      </c>
      <c r="L184" s="148"/>
      <c r="M184" s="64"/>
      <c r="N184" s="6"/>
      <c r="O184" s="24"/>
      <c r="P184" s="25"/>
      <c r="Q184" s="26"/>
    </row>
    <row r="185" spans="3:17" ht="31.5" x14ac:dyDescent="0.25">
      <c r="C185" s="33" t="s">
        <v>287</v>
      </c>
      <c r="D185" s="34" t="s">
        <v>369</v>
      </c>
      <c r="E185" s="35" t="s">
        <v>19</v>
      </c>
      <c r="F185" s="36">
        <v>1444</v>
      </c>
      <c r="G185" s="36">
        <f>1.2*35</f>
        <v>42</v>
      </c>
      <c r="H185" s="36"/>
      <c r="I185" s="36">
        <f>F185*G185</f>
        <v>60648</v>
      </c>
      <c r="J185" s="36"/>
      <c r="K185" s="36">
        <f>J185+I185</f>
        <v>60648</v>
      </c>
      <c r="L185" s="149"/>
      <c r="M185" s="38"/>
      <c r="N185" s="39"/>
      <c r="O185" s="40"/>
      <c r="P185" s="40"/>
      <c r="Q185" s="40"/>
    </row>
    <row r="186" spans="3:17" x14ac:dyDescent="0.25">
      <c r="C186" s="33" t="s">
        <v>288</v>
      </c>
      <c r="D186" s="34" t="s">
        <v>370</v>
      </c>
      <c r="E186" s="35" t="s">
        <v>19</v>
      </c>
      <c r="F186" s="36">
        <v>966</v>
      </c>
      <c r="G186" s="36">
        <f>1.2*138</f>
        <v>165.6</v>
      </c>
      <c r="H186" s="36"/>
      <c r="I186" s="36">
        <f>F186*G186</f>
        <v>159969.60000000001</v>
      </c>
      <c r="J186" s="36"/>
      <c r="K186" s="36">
        <f>J186+I186</f>
        <v>159969.60000000001</v>
      </c>
      <c r="L186" s="149"/>
      <c r="M186" s="38"/>
      <c r="N186" s="39"/>
      <c r="O186" s="40"/>
      <c r="P186" s="40"/>
      <c r="Q186" s="40"/>
    </row>
    <row r="187" spans="3:17" x14ac:dyDescent="0.25">
      <c r="C187" s="33" t="s">
        <v>371</v>
      </c>
      <c r="D187" s="34" t="s">
        <v>364</v>
      </c>
      <c r="E187" s="35"/>
      <c r="F187" s="36">
        <v>1444</v>
      </c>
      <c r="G187" s="36">
        <f>1.2*10</f>
        <v>12</v>
      </c>
      <c r="H187" s="36"/>
      <c r="I187" s="36">
        <f>F187*G187</f>
        <v>17328</v>
      </c>
      <c r="J187" s="36"/>
      <c r="K187" s="36">
        <f>J187+I187</f>
        <v>17328</v>
      </c>
      <c r="L187" s="149"/>
      <c r="M187" s="38"/>
      <c r="N187" s="39"/>
      <c r="O187" s="40"/>
      <c r="P187" s="40"/>
      <c r="Q187" s="40"/>
    </row>
    <row r="188" spans="3:17" x14ac:dyDescent="0.25">
      <c r="C188" s="33" t="s">
        <v>290</v>
      </c>
      <c r="D188" s="34" t="s">
        <v>365</v>
      </c>
      <c r="E188" s="35" t="s">
        <v>114</v>
      </c>
      <c r="F188" s="36">
        <v>963</v>
      </c>
      <c r="G188" s="36">
        <f>1.2*19</f>
        <v>22.8</v>
      </c>
      <c r="H188" s="36"/>
      <c r="I188" s="36">
        <f>F188*G188</f>
        <v>21956.400000000001</v>
      </c>
      <c r="J188" s="36"/>
      <c r="K188" s="36">
        <f>J188+I188</f>
        <v>21956.400000000001</v>
      </c>
      <c r="L188" s="149"/>
      <c r="M188" s="38"/>
      <c r="N188" s="39"/>
      <c r="O188" s="40"/>
      <c r="P188" s="40"/>
      <c r="Q188" s="40"/>
    </row>
    <row r="189" spans="3:17" ht="47.25" x14ac:dyDescent="0.25">
      <c r="C189" s="65"/>
      <c r="D189" s="66" t="s">
        <v>115</v>
      </c>
      <c r="E189" s="67"/>
      <c r="F189" s="68" t="s">
        <v>109</v>
      </c>
      <c r="G189" s="68" t="s">
        <v>110</v>
      </c>
      <c r="H189" s="68"/>
      <c r="I189" s="68">
        <f>I184+I179+I175+I171</f>
        <v>938636.39999999991</v>
      </c>
      <c r="J189" s="68">
        <f>J184+J179+J175+J171</f>
        <v>77088</v>
      </c>
      <c r="K189" s="68">
        <f>K184+K179+K175+K171</f>
        <v>1015724.3999999999</v>
      </c>
      <c r="L189" s="157">
        <f>L184+L179+L175+L171</f>
        <v>0</v>
      </c>
      <c r="M189" s="70"/>
    </row>
    <row r="190" spans="3:17" ht="8.25" customHeight="1" x14ac:dyDescent="0.25"/>
    <row r="191" spans="3:17" x14ac:dyDescent="0.25">
      <c r="C191" s="18" t="s">
        <v>292</v>
      </c>
      <c r="D191" s="19" t="s">
        <v>67</v>
      </c>
      <c r="E191" s="20"/>
      <c r="F191" s="21"/>
      <c r="G191" s="21"/>
      <c r="H191" s="21"/>
      <c r="I191" s="21">
        <f>SUM(I192:I198)</f>
        <v>717810</v>
      </c>
      <c r="J191" s="21">
        <f>SUM(J192:J198)</f>
        <v>0</v>
      </c>
      <c r="K191" s="21">
        <f>SUM(K192:K198)</f>
        <v>717810</v>
      </c>
      <c r="L191" s="147">
        <f>SUM(L192:L198)</f>
        <v>339000</v>
      </c>
      <c r="M191" s="23"/>
      <c r="N191" s="6"/>
      <c r="O191" s="24"/>
      <c r="P191" s="25"/>
      <c r="Q191" s="26"/>
    </row>
    <row r="192" spans="3:17" s="39" customFormat="1" ht="32.25" customHeight="1" x14ac:dyDescent="0.25">
      <c r="C192" s="33" t="s">
        <v>293</v>
      </c>
      <c r="D192" s="34" t="s">
        <v>69</v>
      </c>
      <c r="E192" s="35" t="s">
        <v>70</v>
      </c>
      <c r="F192" s="36">
        <v>3</v>
      </c>
      <c r="G192" s="36">
        <v>103000</v>
      </c>
      <c r="H192" s="36"/>
      <c r="I192" s="36">
        <f t="shared" ref="I192:I197" si="3">G192*F192</f>
        <v>309000</v>
      </c>
      <c r="J192" s="36"/>
      <c r="K192" s="36">
        <f t="shared" ref="K192:K197" si="4">J192+I192</f>
        <v>309000</v>
      </c>
      <c r="L192" s="149">
        <f>I192</f>
        <v>309000</v>
      </c>
      <c r="M192" s="1" t="s">
        <v>372</v>
      </c>
      <c r="O192" s="40"/>
      <c r="P192" s="40"/>
      <c r="Q192" s="40"/>
    </row>
    <row r="193" spans="3:17" s="39" customFormat="1" ht="15.75" x14ac:dyDescent="0.25">
      <c r="C193" s="33" t="s">
        <v>295</v>
      </c>
      <c r="D193" s="34" t="s">
        <v>72</v>
      </c>
      <c r="E193" s="35" t="s">
        <v>70</v>
      </c>
      <c r="F193" s="36">
        <v>3</v>
      </c>
      <c r="G193" s="36">
        <v>36000</v>
      </c>
      <c r="H193" s="36"/>
      <c r="I193" s="36">
        <f t="shared" si="3"/>
        <v>108000</v>
      </c>
      <c r="J193" s="36"/>
      <c r="K193" s="36">
        <f t="shared" si="4"/>
        <v>108000</v>
      </c>
      <c r="L193" s="149"/>
      <c r="M193" s="38"/>
      <c r="O193" s="40"/>
      <c r="P193" s="40"/>
      <c r="Q193" s="40"/>
    </row>
    <row r="194" spans="3:17" s="39" customFormat="1" ht="15.75" x14ac:dyDescent="0.25">
      <c r="C194" s="33" t="s">
        <v>296</v>
      </c>
      <c r="D194" s="34" t="s">
        <v>74</v>
      </c>
      <c r="E194" s="35" t="s">
        <v>75</v>
      </c>
      <c r="F194" s="36">
        <v>3</v>
      </c>
      <c r="G194" s="36">
        <v>20000</v>
      </c>
      <c r="H194" s="36"/>
      <c r="I194" s="36">
        <f t="shared" si="3"/>
        <v>60000</v>
      </c>
      <c r="J194" s="36"/>
      <c r="K194" s="36">
        <f t="shared" si="4"/>
        <v>60000</v>
      </c>
      <c r="L194" s="149"/>
      <c r="M194" s="38"/>
      <c r="O194" s="40"/>
      <c r="P194" s="40"/>
      <c r="Q194" s="40"/>
    </row>
    <row r="195" spans="3:17" s="39" customFormat="1" ht="15.75" x14ac:dyDescent="0.25">
      <c r="C195" s="33" t="s">
        <v>297</v>
      </c>
      <c r="D195" s="34" t="s">
        <v>77</v>
      </c>
      <c r="E195" s="35" t="s">
        <v>75</v>
      </c>
      <c r="F195" s="36">
        <v>3</v>
      </c>
      <c r="G195" s="36">
        <v>20000</v>
      </c>
      <c r="H195" s="36"/>
      <c r="I195" s="36">
        <f t="shared" si="3"/>
        <v>60000</v>
      </c>
      <c r="J195" s="36"/>
      <c r="K195" s="36">
        <f t="shared" si="4"/>
        <v>60000</v>
      </c>
      <c r="L195" s="149"/>
      <c r="M195" s="38"/>
      <c r="O195" s="40"/>
      <c r="P195" s="40"/>
      <c r="Q195" s="40"/>
    </row>
    <row r="196" spans="3:17" s="39" customFormat="1" ht="66" customHeight="1" x14ac:dyDescent="0.25">
      <c r="C196" s="33" t="s">
        <v>298</v>
      </c>
      <c r="D196" s="34" t="s">
        <v>79</v>
      </c>
      <c r="E196" s="35" t="s">
        <v>75</v>
      </c>
      <c r="F196" s="36">
        <f>F156+F136+F118</f>
        <v>1222</v>
      </c>
      <c r="G196" s="151">
        <v>105</v>
      </c>
      <c r="H196" s="36"/>
      <c r="I196" s="36">
        <f t="shared" si="3"/>
        <v>128310</v>
      </c>
      <c r="J196" s="36"/>
      <c r="K196" s="36">
        <f t="shared" si="4"/>
        <v>128310</v>
      </c>
      <c r="L196" s="149">
        <f>30000</f>
        <v>30000</v>
      </c>
      <c r="M196" s="1" t="s">
        <v>373</v>
      </c>
      <c r="O196" s="40"/>
      <c r="P196" s="40"/>
      <c r="Q196" s="40"/>
    </row>
    <row r="197" spans="3:17" s="39" customFormat="1" ht="24" customHeight="1" x14ac:dyDescent="0.25">
      <c r="C197" s="33" t="s">
        <v>303</v>
      </c>
      <c r="D197" s="34" t="s">
        <v>374</v>
      </c>
      <c r="E197" s="35" t="s">
        <v>57</v>
      </c>
      <c r="F197" s="151">
        <v>15</v>
      </c>
      <c r="G197" s="36">
        <v>3500</v>
      </c>
      <c r="H197" s="36"/>
      <c r="I197" s="36">
        <f t="shared" si="3"/>
        <v>52500</v>
      </c>
      <c r="J197" s="36"/>
      <c r="K197" s="36">
        <f t="shared" si="4"/>
        <v>52500</v>
      </c>
      <c r="L197" s="149"/>
      <c r="M197" s="1" t="s">
        <v>355</v>
      </c>
      <c r="O197" s="40"/>
      <c r="P197" s="40"/>
      <c r="Q197" s="40"/>
    </row>
    <row r="198" spans="3:17" s="39" customFormat="1" ht="32.25" customHeight="1" x14ac:dyDescent="0.25">
      <c r="C198" s="33" t="s">
        <v>307</v>
      </c>
      <c r="D198" s="34" t="s">
        <v>85</v>
      </c>
      <c r="E198" s="35" t="s">
        <v>57</v>
      </c>
      <c r="F198" s="36">
        <v>31</v>
      </c>
      <c r="G198" s="36">
        <v>900</v>
      </c>
      <c r="H198" s="36"/>
      <c r="I198" s="151"/>
      <c r="J198" s="151"/>
      <c r="K198" s="151"/>
      <c r="L198" s="149"/>
      <c r="M198" s="1" t="s">
        <v>375</v>
      </c>
      <c r="O198" s="40"/>
      <c r="P198" s="40"/>
      <c r="Q198" s="40"/>
    </row>
    <row r="200" spans="3:17" ht="47.25" x14ac:dyDescent="0.25">
      <c r="C200" s="102"/>
      <c r="D200" s="103" t="s">
        <v>311</v>
      </c>
      <c r="E200" s="104"/>
      <c r="F200" s="105"/>
      <c r="G200" s="105"/>
      <c r="H200" s="105"/>
      <c r="I200" s="105">
        <f>I189+I168+I101+I191</f>
        <v>2250088.4651444629</v>
      </c>
      <c r="J200" s="105">
        <f>J189+J168+J101+J191</f>
        <v>3258224.3740461739</v>
      </c>
      <c r="K200" s="105">
        <f>K189+K168+K101+K191</f>
        <v>5508312.8391906368</v>
      </c>
      <c r="L200" s="160">
        <f>L189+L168+L101+L191</f>
        <v>929942.06514446321</v>
      </c>
      <c r="M200" s="107"/>
    </row>
    <row r="201" spans="3:17" ht="6.75" customHeight="1" x14ac:dyDescent="0.25"/>
  </sheetData>
  <autoFilter ref="D6:D204" xr:uid="{00000000-0009-0000-0000-00000A000000}"/>
  <mergeCells count="20">
    <mergeCell ref="G7:H7"/>
    <mergeCell ref="I7:J7"/>
    <mergeCell ref="K7:K8"/>
    <mergeCell ref="M51:M53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  <mergeCell ref="M54:M56"/>
    <mergeCell ref="M57:M58"/>
    <mergeCell ref="M92:M94"/>
    <mergeCell ref="M95:M97"/>
    <mergeCell ref="O6:Q8"/>
  </mergeCells>
  <conditionalFormatting sqref="F6:F8">
    <cfRule type="cellIs" dxfId="1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  <rowBreaks count="2" manualBreakCount="2">
    <brk id="73" max="16383" man="1"/>
    <brk id="142" max="16383" man="1"/>
  </rowBreaks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I16"/>
  <sheetViews>
    <sheetView tabSelected="1" zoomScale="90" zoomScaleNormal="90" workbookViewId="0">
      <selection activeCell="B15" sqref="B15"/>
    </sheetView>
  </sheetViews>
  <sheetFormatPr defaultColWidth="9.140625" defaultRowHeight="15.75" x14ac:dyDescent="0.25"/>
  <cols>
    <col min="1" max="1" width="7.7109375" style="161" customWidth="1"/>
    <col min="2" max="2" width="34.5703125" style="162" customWidth="1"/>
    <col min="3" max="3" width="9.140625" style="162" customWidth="1"/>
    <col min="4" max="4" width="11" style="161" bestFit="1" customWidth="1"/>
    <col min="5" max="5" width="9" style="163" customWidth="1"/>
    <col min="6" max="7" width="14.140625" style="163" customWidth="1"/>
    <col min="8" max="8" width="11.7109375" style="163" customWidth="1"/>
    <col min="9" max="9" width="16" style="164" customWidth="1"/>
    <col min="10" max="10" width="23.85546875" style="162" customWidth="1"/>
    <col min="11" max="1022" width="9.140625" style="162"/>
    <col min="1023" max="1023" width="9.140625" style="165"/>
  </cols>
  <sheetData>
    <row r="1" spans="1:10" x14ac:dyDescent="0.25">
      <c r="A1" s="166" t="s">
        <v>376</v>
      </c>
      <c r="B1" s="166" t="s">
        <v>382</v>
      </c>
    </row>
    <row r="2" spans="1:10" s="162" customFormat="1" x14ac:dyDescent="0.25">
      <c r="A2" s="202" t="s">
        <v>384</v>
      </c>
      <c r="B2" s="202"/>
      <c r="C2" s="202"/>
      <c r="D2" s="202"/>
      <c r="E2" s="202"/>
      <c r="F2" s="202"/>
      <c r="G2" s="202"/>
      <c r="H2" s="202"/>
      <c r="I2" s="202"/>
    </row>
    <row r="3" spans="1:10" s="162" customFormat="1" ht="27" customHeight="1" x14ac:dyDescent="0.25">
      <c r="A3" s="203" t="s">
        <v>383</v>
      </c>
      <c r="B3" s="203"/>
      <c r="C3" s="203"/>
      <c r="D3" s="203"/>
      <c r="E3" s="203"/>
      <c r="F3" s="203"/>
      <c r="G3" s="203"/>
      <c r="H3" s="203"/>
      <c r="I3" s="203"/>
    </row>
    <row r="4" spans="1:10" s="162" customFormat="1" ht="27" customHeight="1" x14ac:dyDescent="0.25">
      <c r="A4" s="167"/>
      <c r="B4" s="196" t="s">
        <v>381</v>
      </c>
      <c r="C4" s="197"/>
      <c r="D4" s="197"/>
      <c r="E4" s="197"/>
      <c r="F4" s="197"/>
      <c r="G4" s="197"/>
      <c r="H4" s="197"/>
      <c r="I4" s="197"/>
    </row>
    <row r="5" spans="1:10" s="170" customFormat="1" ht="18" customHeight="1" x14ac:dyDescent="0.25">
      <c r="A5" s="204" t="s">
        <v>3</v>
      </c>
      <c r="B5" s="204" t="s">
        <v>4</v>
      </c>
      <c r="C5" s="204" t="s">
        <v>5</v>
      </c>
      <c r="D5" s="204" t="s">
        <v>377</v>
      </c>
      <c r="E5" s="204" t="s">
        <v>7</v>
      </c>
      <c r="F5" s="204"/>
      <c r="G5" s="204"/>
      <c r="H5" s="204"/>
      <c r="I5" s="204"/>
      <c r="J5" s="169"/>
    </row>
    <row r="6" spans="1:10" s="172" customFormat="1" ht="16.5" customHeight="1" x14ac:dyDescent="0.25">
      <c r="A6" s="204"/>
      <c r="B6" s="204"/>
      <c r="C6" s="204"/>
      <c r="D6" s="204"/>
      <c r="E6" s="204" t="s">
        <v>11</v>
      </c>
      <c r="F6" s="204"/>
      <c r="G6" s="204" t="s">
        <v>12</v>
      </c>
      <c r="H6" s="204"/>
      <c r="I6" s="204" t="s">
        <v>13</v>
      </c>
      <c r="J6" s="171" t="s">
        <v>378</v>
      </c>
    </row>
    <row r="7" spans="1:10" s="172" customFormat="1" ht="15" x14ac:dyDescent="0.25">
      <c r="A7" s="204"/>
      <c r="B7" s="204"/>
      <c r="C7" s="204"/>
      <c r="D7" s="204"/>
      <c r="E7" s="168" t="s">
        <v>14</v>
      </c>
      <c r="F7" s="168" t="s">
        <v>15</v>
      </c>
      <c r="G7" s="168" t="s">
        <v>14</v>
      </c>
      <c r="H7" s="168" t="s">
        <v>15</v>
      </c>
      <c r="I7" s="204"/>
      <c r="J7" s="173"/>
    </row>
    <row r="8" spans="1:10" s="176" customFormat="1" x14ac:dyDescent="0.25">
      <c r="A8" s="174">
        <v>1</v>
      </c>
      <c r="B8" s="198">
        <v>2</v>
      </c>
      <c r="C8" s="174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5"/>
    </row>
    <row r="9" spans="1:10" s="172" customFormat="1" ht="37.5" customHeight="1" x14ac:dyDescent="0.25">
      <c r="A9" s="177">
        <v>1</v>
      </c>
      <c r="B9" s="199" t="s">
        <v>386</v>
      </c>
      <c r="C9" s="181" t="s">
        <v>114</v>
      </c>
      <c r="D9" s="181">
        <v>1250</v>
      </c>
      <c r="E9" s="178"/>
      <c r="F9" s="178"/>
      <c r="G9" s="178"/>
      <c r="H9" s="178"/>
      <c r="I9" s="178"/>
      <c r="J9" s="179"/>
    </row>
    <row r="10" spans="1:10" s="172" customFormat="1" ht="31.5" x14ac:dyDescent="0.25">
      <c r="A10" s="177">
        <v>2</v>
      </c>
      <c r="B10" s="199" t="s">
        <v>387</v>
      </c>
      <c r="C10" s="181" t="s">
        <v>64</v>
      </c>
      <c r="D10" s="181">
        <v>18</v>
      </c>
      <c r="E10" s="181"/>
      <c r="F10" s="184"/>
      <c r="G10" s="182"/>
      <c r="H10" s="183"/>
      <c r="I10" s="182"/>
      <c r="J10" s="185"/>
    </row>
    <row r="11" spans="1:10" s="172" customFormat="1" x14ac:dyDescent="0.25">
      <c r="A11" s="177">
        <v>3</v>
      </c>
      <c r="B11" s="199" t="s">
        <v>379</v>
      </c>
      <c r="C11" s="181" t="s">
        <v>114</v>
      </c>
      <c r="D11" s="181">
        <v>1250</v>
      </c>
      <c r="E11" s="181"/>
      <c r="F11" s="184"/>
      <c r="G11" s="182"/>
      <c r="H11" s="183"/>
      <c r="I11" s="182"/>
      <c r="J11" s="185"/>
    </row>
    <row r="12" spans="1:10" s="172" customFormat="1" x14ac:dyDescent="0.25">
      <c r="A12" s="177">
        <v>4</v>
      </c>
      <c r="B12" s="199" t="s">
        <v>385</v>
      </c>
      <c r="C12" s="181" t="s">
        <v>114</v>
      </c>
      <c r="D12" s="181">
        <v>1250</v>
      </c>
      <c r="E12" s="181"/>
      <c r="F12" s="184"/>
      <c r="G12" s="182"/>
      <c r="H12" s="183"/>
      <c r="I12" s="182"/>
      <c r="J12" s="185"/>
    </row>
    <row r="13" spans="1:10" s="172" customFormat="1" ht="63" x14ac:dyDescent="0.25">
      <c r="A13" s="177">
        <v>5</v>
      </c>
      <c r="B13" s="199" t="s">
        <v>390</v>
      </c>
      <c r="C13" s="181" t="s">
        <v>114</v>
      </c>
      <c r="D13" s="181">
        <v>1250</v>
      </c>
      <c r="E13" s="181"/>
      <c r="F13" s="195"/>
      <c r="G13" s="182"/>
      <c r="H13" s="183"/>
      <c r="I13" s="182"/>
      <c r="J13" s="194"/>
    </row>
    <row r="14" spans="1:10" s="172" customFormat="1" ht="45" x14ac:dyDescent="0.25">
      <c r="A14" s="177"/>
      <c r="B14" s="200" t="s">
        <v>391</v>
      </c>
      <c r="C14" s="181" t="s">
        <v>114</v>
      </c>
      <c r="D14" s="181">
        <f>1.1*D13</f>
        <v>1375</v>
      </c>
      <c r="E14" s="181"/>
      <c r="F14" s="195"/>
      <c r="G14" s="182"/>
      <c r="H14" s="183"/>
      <c r="I14" s="182"/>
      <c r="J14" s="194"/>
    </row>
    <row r="15" spans="1:10" s="172" customFormat="1" ht="45.75" thickBot="1" x14ac:dyDescent="0.3">
      <c r="A15" s="177"/>
      <c r="B15" s="180" t="s">
        <v>388</v>
      </c>
      <c r="C15" s="181" t="s">
        <v>27</v>
      </c>
      <c r="D15" s="181">
        <f>1260*0.617*1.05/1000</f>
        <v>0.81629099999999999</v>
      </c>
      <c r="E15" s="186"/>
      <c r="F15" s="186"/>
      <c r="G15" s="186"/>
      <c r="H15" s="186"/>
      <c r="I15" s="186"/>
      <c r="J15" s="201" t="s">
        <v>389</v>
      </c>
    </row>
    <row r="16" spans="1:10" ht="22.15" customHeight="1" thickBot="1" x14ac:dyDescent="0.3">
      <c r="A16" s="187"/>
      <c r="B16" s="188" t="s">
        <v>380</v>
      </c>
      <c r="C16" s="189"/>
      <c r="D16" s="190"/>
      <c r="E16" s="190"/>
      <c r="F16" s="191"/>
      <c r="G16" s="191"/>
      <c r="H16" s="190"/>
      <c r="I16" s="192"/>
      <c r="J16" s="193"/>
    </row>
  </sheetData>
  <mergeCells count="10">
    <mergeCell ref="A2:I2"/>
    <mergeCell ref="A3:I3"/>
    <mergeCell ref="A5:A7"/>
    <mergeCell ref="B5:B7"/>
    <mergeCell ref="C5:C7"/>
    <mergeCell ref="D5:D7"/>
    <mergeCell ref="E5:I5"/>
    <mergeCell ref="E6:F6"/>
    <mergeCell ref="G6:H6"/>
    <mergeCell ref="I6:I7"/>
  </mergeCells>
  <conditionalFormatting sqref="D5:D7">
    <cfRule type="cellIs" dxfId="0" priority="2" operator="equal">
      <formula>0</formula>
    </cfRule>
  </conditionalFormatting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42"/>
  <sheetViews>
    <sheetView zoomScale="67" zoomScaleNormal="67" workbookViewId="0">
      <pane ySplit="8" topLeftCell="A21" activePane="bottomLeft" state="frozen"/>
      <selection pane="bottomLeft" activeCell="L31" sqref="L31"/>
    </sheetView>
  </sheetViews>
  <sheetFormatPr defaultColWidth="9.140625" defaultRowHeight="16.5" outlineLevelRow="1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x14ac:dyDescent="0.25">
      <c r="C10" s="18"/>
      <c r="D10" s="19" t="s">
        <v>87</v>
      </c>
      <c r="E10" s="20"/>
      <c r="F10" s="21"/>
      <c r="G10" s="21"/>
      <c r="H10" s="21"/>
      <c r="I10" s="21"/>
      <c r="J10" s="21"/>
      <c r="K10" s="21"/>
      <c r="L10" s="22"/>
      <c r="M10" s="23"/>
      <c r="N10" s="6"/>
      <c r="O10" s="71"/>
      <c r="P10" s="72"/>
      <c r="Q10" s="73"/>
    </row>
    <row r="11" spans="3:17" x14ac:dyDescent="0.25">
      <c r="C11" s="27" t="s">
        <v>18</v>
      </c>
      <c r="D11" s="28" t="s">
        <v>87</v>
      </c>
      <c r="E11" s="29" t="s">
        <v>19</v>
      </c>
      <c r="F11" s="30">
        <f>F17</f>
        <v>360</v>
      </c>
      <c r="G11" s="31"/>
      <c r="H11" s="31"/>
      <c r="I11" s="31"/>
      <c r="J11" s="31"/>
      <c r="K11" s="31">
        <f>SUM(K12:K29)</f>
        <v>1080910.8207904762</v>
      </c>
      <c r="L11" s="32">
        <f>SUM(L12:L29)</f>
        <v>143515.5</v>
      </c>
      <c r="M11" s="28"/>
      <c r="N11" s="6"/>
      <c r="O11" s="24"/>
      <c r="P11" s="25"/>
      <c r="Q11" s="26"/>
    </row>
    <row r="12" spans="3:17" outlineLevel="1" x14ac:dyDescent="0.25">
      <c r="C12" s="33" t="s">
        <v>20</v>
      </c>
      <c r="D12" s="34" t="s">
        <v>21</v>
      </c>
      <c r="E12" s="35" t="s">
        <v>22</v>
      </c>
      <c r="F12" s="36">
        <v>1057.22</v>
      </c>
      <c r="G12" s="36">
        <v>25</v>
      </c>
      <c r="H12" s="36"/>
      <c r="I12" s="36">
        <f>F12*G12</f>
        <v>26430.5</v>
      </c>
      <c r="J12" s="36"/>
      <c r="K12" s="36">
        <f>J12+I12</f>
        <v>26430.5</v>
      </c>
      <c r="L12" s="37">
        <f>F12*25</f>
        <v>26430.5</v>
      </c>
      <c r="M12" s="38"/>
      <c r="N12" s="39"/>
      <c r="O12" s="40"/>
      <c r="P12" s="40"/>
      <c r="Q12" s="40"/>
    </row>
    <row r="13" spans="3:17" ht="31.5" outlineLevel="1" x14ac:dyDescent="0.25">
      <c r="C13" s="33" t="s">
        <v>23</v>
      </c>
      <c r="D13" s="34" t="s">
        <v>24</v>
      </c>
      <c r="E13" s="35" t="s">
        <v>25</v>
      </c>
      <c r="F13" s="36">
        <v>48</v>
      </c>
      <c r="G13" s="36">
        <v>100</v>
      </c>
      <c r="H13" s="36">
        <f>J13/F13</f>
        <v>283.58999999999997</v>
      </c>
      <c r="I13" s="36">
        <f>G13*F13</f>
        <v>4800</v>
      </c>
      <c r="J13" s="36">
        <f>SUM(J14)</f>
        <v>13612.32</v>
      </c>
      <c r="K13" s="36">
        <f>J13+I13</f>
        <v>18412.32</v>
      </c>
      <c r="L13" s="37">
        <f>I13</f>
        <v>4800</v>
      </c>
      <c r="M13" s="38"/>
      <c r="N13" s="39"/>
      <c r="O13" s="40"/>
      <c r="P13" s="40"/>
      <c r="Q13" s="40"/>
    </row>
    <row r="14" spans="3:17" outlineLevel="1" x14ac:dyDescent="0.25">
      <c r="C14" s="41"/>
      <c r="D14" s="42" t="s">
        <v>26</v>
      </c>
      <c r="E14" s="38" t="s">
        <v>27</v>
      </c>
      <c r="F14" s="51">
        <f>F13*1.15*1.37</f>
        <v>75.623999999999995</v>
      </c>
      <c r="G14" s="44"/>
      <c r="H14" s="43">
        <v>180</v>
      </c>
      <c r="I14" s="43"/>
      <c r="J14" s="43">
        <f>H14*F14</f>
        <v>13612.32</v>
      </c>
      <c r="K14" s="45"/>
      <c r="L14" s="46"/>
      <c r="M14" s="38"/>
      <c r="N14" s="47"/>
      <c r="O14" s="48"/>
      <c r="P14" s="48"/>
      <c r="Q14" s="48"/>
    </row>
    <row r="15" spans="3:17" ht="18" outlineLevel="1" x14ac:dyDescent="0.25">
      <c r="C15" s="33" t="s">
        <v>28</v>
      </c>
      <c r="D15" s="34" t="s">
        <v>32</v>
      </c>
      <c r="E15" s="35" t="s">
        <v>33</v>
      </c>
      <c r="F15" s="36">
        <v>93</v>
      </c>
      <c r="G15" s="36">
        <v>120</v>
      </c>
      <c r="H15" s="36">
        <f>J15/F15</f>
        <v>1001.0382</v>
      </c>
      <c r="I15" s="36">
        <f>F15*G15</f>
        <v>11160</v>
      </c>
      <c r="J15" s="36">
        <f>J16</f>
        <v>93096.552599999995</v>
      </c>
      <c r="K15" s="36">
        <f>J15+I15</f>
        <v>104256.5526</v>
      </c>
      <c r="L15" s="37">
        <f>I15</f>
        <v>11160</v>
      </c>
      <c r="M15" s="38"/>
      <c r="N15" s="39"/>
      <c r="O15" s="40"/>
      <c r="P15" s="40"/>
      <c r="Q15" s="40"/>
    </row>
    <row r="16" spans="3:17" outlineLevel="1" x14ac:dyDescent="0.25">
      <c r="C16" s="41"/>
      <c r="D16" s="42" t="s">
        <v>88</v>
      </c>
      <c r="E16" s="38" t="s">
        <v>89</v>
      </c>
      <c r="F16" s="43">
        <f>F15*1.02</f>
        <v>94.86</v>
      </c>
      <c r="G16" s="44"/>
      <c r="H16" s="49">
        <v>981.41</v>
      </c>
      <c r="I16" s="43"/>
      <c r="J16" s="43">
        <f>F16*H16</f>
        <v>93096.552599999995</v>
      </c>
      <c r="K16" s="45"/>
      <c r="L16" s="46"/>
      <c r="M16" s="38"/>
      <c r="N16" s="47"/>
      <c r="O16" s="48"/>
      <c r="P16" s="48"/>
      <c r="Q16" s="48"/>
    </row>
    <row r="17" spans="3:17" outlineLevel="1" x14ac:dyDescent="0.25">
      <c r="C17" s="33" t="s">
        <v>31</v>
      </c>
      <c r="D17" s="34" t="s">
        <v>90</v>
      </c>
      <c r="E17" s="35" t="s">
        <v>19</v>
      </c>
      <c r="F17" s="36">
        <v>360</v>
      </c>
      <c r="G17" s="36">
        <v>280</v>
      </c>
      <c r="H17" s="36"/>
      <c r="I17" s="36">
        <f>G17*F17</f>
        <v>100800</v>
      </c>
      <c r="J17" s="36">
        <f>SUM(J18:J25)</f>
        <v>828564.74819047621</v>
      </c>
      <c r="K17" s="36">
        <f>J17+I17</f>
        <v>929364.74819047621</v>
      </c>
      <c r="L17" s="37">
        <f>I17</f>
        <v>100800</v>
      </c>
      <c r="M17" s="38"/>
      <c r="N17" s="39"/>
      <c r="O17" s="40"/>
      <c r="P17" s="40"/>
      <c r="Q17" s="40"/>
    </row>
    <row r="18" spans="3:17" outlineLevel="1" x14ac:dyDescent="0.25">
      <c r="C18" s="41"/>
      <c r="D18" s="42" t="s">
        <v>91</v>
      </c>
      <c r="E18" s="38" t="s">
        <v>89</v>
      </c>
      <c r="F18" s="43">
        <f>1.02*F17</f>
        <v>367.2</v>
      </c>
      <c r="G18" s="44"/>
      <c r="H18" s="49">
        <v>1126.56</v>
      </c>
      <c r="I18" s="43"/>
      <c r="J18" s="43">
        <f t="shared" ref="J18:J25" si="0">F18*H18</f>
        <v>413672.83199999999</v>
      </c>
      <c r="K18" s="45"/>
      <c r="L18" s="46"/>
      <c r="M18" s="38"/>
      <c r="N18" s="47"/>
      <c r="O18" s="48"/>
      <c r="P18" s="48"/>
      <c r="Q18" s="48"/>
    </row>
    <row r="19" spans="3:17" outlineLevel="1" x14ac:dyDescent="0.25">
      <c r="C19" s="41"/>
      <c r="D19" s="42" t="s">
        <v>50</v>
      </c>
      <c r="E19" s="38" t="s">
        <v>27</v>
      </c>
      <c r="F19" s="51">
        <f>(742*1.05)/1000</f>
        <v>0.77910000000000001</v>
      </c>
      <c r="G19" s="44"/>
      <c r="H19" s="49">
        <v>11900</v>
      </c>
      <c r="I19" s="43"/>
      <c r="J19" s="43">
        <f t="shared" si="0"/>
        <v>9271.2900000000009</v>
      </c>
      <c r="K19" s="45"/>
      <c r="L19" s="46"/>
      <c r="M19" s="38"/>
      <c r="N19" s="47"/>
      <c r="O19" s="48"/>
      <c r="P19" s="48"/>
      <c r="Q19" s="48"/>
    </row>
    <row r="20" spans="3:17" outlineLevel="1" x14ac:dyDescent="0.25">
      <c r="C20" s="41"/>
      <c r="D20" s="42" t="s">
        <v>51</v>
      </c>
      <c r="E20" s="38" t="s">
        <v>27</v>
      </c>
      <c r="F20" s="51">
        <v>16.494499999999999</v>
      </c>
      <c r="G20" s="44"/>
      <c r="H20" s="49">
        <v>11700</v>
      </c>
      <c r="I20" s="43"/>
      <c r="J20" s="43">
        <f t="shared" si="0"/>
        <v>192985.65</v>
      </c>
      <c r="K20" s="45"/>
      <c r="L20" s="46"/>
      <c r="M20" s="38"/>
      <c r="N20" s="47"/>
      <c r="O20" s="48"/>
      <c r="P20" s="48"/>
      <c r="Q20" s="48"/>
    </row>
    <row r="21" spans="3:17" outlineLevel="1" x14ac:dyDescent="0.25">
      <c r="C21" s="41"/>
      <c r="D21" s="42" t="s">
        <v>52</v>
      </c>
      <c r="E21" s="38" t="s">
        <v>27</v>
      </c>
      <c r="F21" s="51">
        <v>16.618400000000001</v>
      </c>
      <c r="G21" s="44"/>
      <c r="H21" s="49">
        <v>11700</v>
      </c>
      <c r="I21" s="43"/>
      <c r="J21" s="43">
        <f t="shared" si="0"/>
        <v>194435.28000000003</v>
      </c>
      <c r="K21" s="45"/>
      <c r="L21" s="46"/>
      <c r="M21" s="38"/>
      <c r="N21" s="47"/>
      <c r="O21" s="48"/>
      <c r="P21" s="48"/>
      <c r="Q21" s="48"/>
    </row>
    <row r="22" spans="3:17" outlineLevel="1" x14ac:dyDescent="0.25">
      <c r="C22" s="52"/>
      <c r="D22" s="53" t="s">
        <v>53</v>
      </c>
      <c r="E22" s="54" t="s">
        <v>54</v>
      </c>
      <c r="F22" s="55">
        <f>((8/1000)*(SUM(F19:F21)))/1.05</f>
        <v>0.2582247619047619</v>
      </c>
      <c r="G22" s="56"/>
      <c r="H22" s="57">
        <v>16000</v>
      </c>
      <c r="I22" s="58"/>
      <c r="J22" s="58">
        <f t="shared" si="0"/>
        <v>4131.5961904761907</v>
      </c>
      <c r="K22" s="59"/>
      <c r="L22" s="60"/>
      <c r="M22" s="38"/>
      <c r="N22" s="47"/>
      <c r="O22" s="61"/>
      <c r="P22" s="61"/>
      <c r="Q22" s="61"/>
    </row>
    <row r="23" spans="3:17" outlineLevel="1" x14ac:dyDescent="0.25">
      <c r="C23" s="52"/>
      <c r="D23" s="53" t="s">
        <v>55</v>
      </c>
      <c r="E23" s="54" t="s">
        <v>54</v>
      </c>
      <c r="F23" s="62">
        <f>4.54/1000</f>
        <v>4.5399999999999998E-3</v>
      </c>
      <c r="G23" s="56"/>
      <c r="H23" s="58">
        <v>15000</v>
      </c>
      <c r="I23" s="58"/>
      <c r="J23" s="43">
        <f t="shared" si="0"/>
        <v>68.099999999999994</v>
      </c>
      <c r="K23" s="59"/>
      <c r="L23" s="60"/>
      <c r="M23" s="38"/>
      <c r="N23" s="47"/>
      <c r="O23" s="61"/>
      <c r="P23" s="61"/>
      <c r="Q23" s="61"/>
    </row>
    <row r="24" spans="3:17" outlineLevel="1" x14ac:dyDescent="0.25">
      <c r="C24" s="41"/>
      <c r="D24" s="42" t="s">
        <v>56</v>
      </c>
      <c r="E24" s="38" t="s">
        <v>57</v>
      </c>
      <c r="F24" s="43">
        <v>1</v>
      </c>
      <c r="G24" s="44"/>
      <c r="H24" s="43">
        <v>13000</v>
      </c>
      <c r="I24" s="43"/>
      <c r="J24" s="43">
        <f t="shared" si="0"/>
        <v>13000</v>
      </c>
      <c r="K24" s="45"/>
      <c r="L24" s="46"/>
      <c r="M24" s="38"/>
      <c r="N24" s="47"/>
      <c r="O24" s="48"/>
      <c r="P24" s="48"/>
      <c r="Q24" s="48"/>
    </row>
    <row r="25" spans="3:17" ht="63" outlineLevel="1" x14ac:dyDescent="0.25">
      <c r="C25" s="52"/>
      <c r="D25" s="53" t="s">
        <v>58</v>
      </c>
      <c r="E25" s="38" t="s">
        <v>59</v>
      </c>
      <c r="F25" s="58">
        <v>4</v>
      </c>
      <c r="G25" s="56"/>
      <c r="H25" s="58">
        <f>170+40+40</f>
        <v>250</v>
      </c>
      <c r="I25" s="58"/>
      <c r="J25" s="43">
        <f t="shared" si="0"/>
        <v>1000</v>
      </c>
      <c r="K25" s="59"/>
      <c r="L25" s="60"/>
      <c r="M25" s="38"/>
      <c r="N25" s="47"/>
      <c r="O25" s="61"/>
      <c r="P25" s="61"/>
      <c r="Q25" s="61"/>
    </row>
    <row r="26" spans="3:17" outlineLevel="1" x14ac:dyDescent="0.25">
      <c r="C26" s="33" t="s">
        <v>36</v>
      </c>
      <c r="D26" s="34" t="s">
        <v>92</v>
      </c>
      <c r="E26" s="35" t="s">
        <v>38</v>
      </c>
      <c r="F26" s="36">
        <v>13</v>
      </c>
      <c r="G26" s="36">
        <v>25</v>
      </c>
      <c r="H26" s="36"/>
      <c r="I26" s="36">
        <f>G26*F26</f>
        <v>325</v>
      </c>
      <c r="J26" s="36">
        <f>SUM(J27:J29)</f>
        <v>2121.6999999999998</v>
      </c>
      <c r="K26" s="36">
        <f>J26+I26</f>
        <v>2446.6999999999998</v>
      </c>
      <c r="L26" s="37">
        <f>I26</f>
        <v>325</v>
      </c>
      <c r="M26" s="38"/>
      <c r="N26" s="39"/>
      <c r="O26" s="40"/>
      <c r="P26" s="40"/>
      <c r="Q26" s="40"/>
    </row>
    <row r="27" spans="3:17" outlineLevel="1" x14ac:dyDescent="0.25">
      <c r="C27" s="41"/>
      <c r="D27" s="42" t="s">
        <v>62</v>
      </c>
      <c r="E27" s="38" t="s">
        <v>38</v>
      </c>
      <c r="F27" s="43">
        <v>13</v>
      </c>
      <c r="G27" s="44"/>
      <c r="H27" s="43">
        <v>108.27</v>
      </c>
      <c r="I27" s="43"/>
      <c r="J27" s="43">
        <f>H27*F27</f>
        <v>1407.51</v>
      </c>
      <c r="K27" s="45"/>
      <c r="L27" s="46"/>
      <c r="M27" s="38"/>
      <c r="N27" s="47"/>
      <c r="O27" s="48"/>
      <c r="P27" s="48"/>
      <c r="Q27" s="48"/>
    </row>
    <row r="28" spans="3:17" outlineLevel="1" x14ac:dyDescent="0.25">
      <c r="C28" s="41"/>
      <c r="D28" s="42" t="s">
        <v>63</v>
      </c>
      <c r="E28" s="38" t="s">
        <v>64</v>
      </c>
      <c r="F28" s="43">
        <v>3</v>
      </c>
      <c r="G28" s="44"/>
      <c r="H28" s="43">
        <v>172.7</v>
      </c>
      <c r="I28" s="43"/>
      <c r="J28" s="43">
        <f>H28*F28</f>
        <v>518.09999999999991</v>
      </c>
      <c r="K28" s="45"/>
      <c r="L28" s="46"/>
      <c r="M28" s="38"/>
      <c r="N28" s="47"/>
      <c r="O28" s="48"/>
      <c r="P28" s="48"/>
      <c r="Q28" s="48"/>
    </row>
    <row r="29" spans="3:17" outlineLevel="1" x14ac:dyDescent="0.25">
      <c r="C29" s="41"/>
      <c r="D29" s="42" t="s">
        <v>65</v>
      </c>
      <c r="E29" s="38" t="s">
        <v>64</v>
      </c>
      <c r="F29" s="43">
        <v>1</v>
      </c>
      <c r="G29" s="44"/>
      <c r="H29" s="43">
        <v>196.09</v>
      </c>
      <c r="I29" s="43"/>
      <c r="J29" s="43">
        <f>H29*F29</f>
        <v>196.09</v>
      </c>
      <c r="K29" s="45"/>
      <c r="L29" s="46"/>
      <c r="M29" s="38"/>
      <c r="N29" s="47"/>
      <c r="O29" s="48"/>
      <c r="P29" s="48"/>
      <c r="Q29" s="48"/>
    </row>
    <row r="30" spans="3:17" x14ac:dyDescent="0.25">
      <c r="C30" s="27" t="s">
        <v>66</v>
      </c>
      <c r="D30" s="28" t="s">
        <v>67</v>
      </c>
      <c r="E30" s="63"/>
      <c r="F30" s="31"/>
      <c r="G30" s="31"/>
      <c r="H30" s="31"/>
      <c r="I30" s="31"/>
      <c r="J30" s="31">
        <f>SUM(J31:J41)</f>
        <v>13134</v>
      </c>
      <c r="K30" s="31">
        <f>SUM(K31:K41)</f>
        <v>242834</v>
      </c>
      <c r="L30" s="32">
        <f>SUM(L31:L41)</f>
        <v>97234</v>
      </c>
      <c r="M30" s="31"/>
      <c r="N30" s="6"/>
      <c r="O30" s="24"/>
      <c r="P30" s="25"/>
      <c r="Q30" s="26"/>
    </row>
    <row r="31" spans="3:17" outlineLevel="1" x14ac:dyDescent="0.25">
      <c r="C31" s="33" t="s">
        <v>68</v>
      </c>
      <c r="D31" s="34" t="s">
        <v>69</v>
      </c>
      <c r="E31" s="35" t="s">
        <v>70</v>
      </c>
      <c r="F31" s="36">
        <v>3</v>
      </c>
      <c r="G31" s="36">
        <v>78000</v>
      </c>
      <c r="H31" s="36"/>
      <c r="I31" s="36">
        <f t="shared" ref="I31:I37" si="1">G31*F31</f>
        <v>234000</v>
      </c>
      <c r="J31" s="36"/>
      <c r="K31" s="36">
        <f>(J31+I31)/4</f>
        <v>58500</v>
      </c>
      <c r="L31" s="37">
        <f>K31</f>
        <v>58500</v>
      </c>
      <c r="M31" s="38"/>
      <c r="N31" s="39"/>
      <c r="O31" s="40"/>
      <c r="P31" s="40"/>
      <c r="Q31" s="40"/>
    </row>
    <row r="32" spans="3:17" outlineLevel="1" x14ac:dyDescent="0.25">
      <c r="C32" s="33" t="s">
        <v>71</v>
      </c>
      <c r="D32" s="34" t="s">
        <v>72</v>
      </c>
      <c r="E32" s="35" t="s">
        <v>70</v>
      </c>
      <c r="F32" s="36">
        <v>3</v>
      </c>
      <c r="G32" s="36">
        <v>36000</v>
      </c>
      <c r="H32" s="36"/>
      <c r="I32" s="36">
        <f t="shared" si="1"/>
        <v>108000</v>
      </c>
      <c r="J32" s="36"/>
      <c r="K32" s="36">
        <f>(J32+I32)/3</f>
        <v>36000</v>
      </c>
      <c r="L32" s="37"/>
      <c r="M32" s="38"/>
      <c r="N32" s="39"/>
      <c r="O32" s="40"/>
      <c r="P32" s="40"/>
      <c r="Q32" s="40"/>
    </row>
    <row r="33" spans="3:17" outlineLevel="1" x14ac:dyDescent="0.25">
      <c r="C33" s="33" t="s">
        <v>73</v>
      </c>
      <c r="D33" s="34" t="s">
        <v>74</v>
      </c>
      <c r="E33" s="35" t="s">
        <v>75</v>
      </c>
      <c r="F33" s="36">
        <v>1</v>
      </c>
      <c r="G33" s="36">
        <v>20000</v>
      </c>
      <c r="H33" s="36"/>
      <c r="I33" s="36">
        <f t="shared" si="1"/>
        <v>20000</v>
      </c>
      <c r="J33" s="36"/>
      <c r="K33" s="36">
        <f>(J33+I33)</f>
        <v>20000</v>
      </c>
      <c r="L33" s="37"/>
      <c r="M33" s="38"/>
      <c r="N33" s="39"/>
      <c r="O33" s="40"/>
      <c r="P33" s="40"/>
      <c r="Q33" s="40"/>
    </row>
    <row r="34" spans="3:17" outlineLevel="1" x14ac:dyDescent="0.25">
      <c r="C34" s="33" t="s">
        <v>76</v>
      </c>
      <c r="D34" s="34" t="s">
        <v>77</v>
      </c>
      <c r="E34" s="35" t="s">
        <v>75</v>
      </c>
      <c r="F34" s="36">
        <v>1</v>
      </c>
      <c r="G34" s="36">
        <v>20000</v>
      </c>
      <c r="H34" s="36"/>
      <c r="I34" s="36">
        <f t="shared" si="1"/>
        <v>20000</v>
      </c>
      <c r="J34" s="36"/>
      <c r="K34" s="36">
        <f>(J34+I34)</f>
        <v>20000</v>
      </c>
      <c r="L34" s="37"/>
      <c r="M34" s="38"/>
      <c r="N34" s="39"/>
      <c r="O34" s="40"/>
      <c r="P34" s="40"/>
      <c r="Q34" s="40"/>
    </row>
    <row r="35" spans="3:17" outlineLevel="1" x14ac:dyDescent="0.25">
      <c r="C35" s="33" t="s">
        <v>78</v>
      </c>
      <c r="D35" s="34" t="s">
        <v>79</v>
      </c>
      <c r="E35" s="35" t="s">
        <v>19</v>
      </c>
      <c r="F35" s="36">
        <f>F17</f>
        <v>360</v>
      </c>
      <c r="G35" s="36">
        <v>85</v>
      </c>
      <c r="H35" s="36"/>
      <c r="I35" s="36">
        <f t="shared" si="1"/>
        <v>30600</v>
      </c>
      <c r="J35" s="36"/>
      <c r="K35" s="36">
        <f>J35+I35</f>
        <v>30600</v>
      </c>
      <c r="L35" s="37">
        <f>10000</f>
        <v>10000</v>
      </c>
      <c r="M35" s="38"/>
      <c r="N35" s="39"/>
      <c r="O35" s="40"/>
      <c r="P35" s="40"/>
      <c r="Q35" s="40"/>
    </row>
    <row r="36" spans="3:17" outlineLevel="1" x14ac:dyDescent="0.25">
      <c r="C36" s="33" t="s">
        <v>80</v>
      </c>
      <c r="D36" s="34" t="s">
        <v>81</v>
      </c>
      <c r="E36" s="35" t="s">
        <v>19</v>
      </c>
      <c r="F36" s="36">
        <f>F35</f>
        <v>360</v>
      </c>
      <c r="G36" s="36">
        <v>40</v>
      </c>
      <c r="H36" s="36"/>
      <c r="I36" s="36">
        <f t="shared" si="1"/>
        <v>14400</v>
      </c>
      <c r="J36" s="36"/>
      <c r="K36" s="36">
        <f>J36+I36</f>
        <v>14400</v>
      </c>
      <c r="L36" s="37">
        <f>10*F36</f>
        <v>3600</v>
      </c>
      <c r="M36" s="38"/>
      <c r="N36" s="39"/>
      <c r="O36" s="40"/>
      <c r="P36" s="40"/>
      <c r="Q36" s="40"/>
    </row>
    <row r="37" spans="3:17" outlineLevel="1" x14ac:dyDescent="0.25">
      <c r="C37" s="33" t="s">
        <v>82</v>
      </c>
      <c r="D37" s="34" t="s">
        <v>83</v>
      </c>
      <c r="E37" s="35" t="s">
        <v>57</v>
      </c>
      <c r="F37" s="36">
        <v>10</v>
      </c>
      <c r="G37" s="36">
        <v>3400</v>
      </c>
      <c r="H37" s="36"/>
      <c r="I37" s="36">
        <f t="shared" si="1"/>
        <v>34000</v>
      </c>
      <c r="J37" s="36"/>
      <c r="K37" s="36">
        <f>J37+I37</f>
        <v>34000</v>
      </c>
      <c r="L37" s="37"/>
      <c r="M37" s="38"/>
      <c r="N37" s="39"/>
      <c r="O37" s="40"/>
      <c r="P37" s="40"/>
      <c r="Q37" s="40"/>
    </row>
    <row r="38" spans="3:17" outlineLevel="1" x14ac:dyDescent="0.25">
      <c r="C38" s="33" t="s">
        <v>84</v>
      </c>
      <c r="D38" s="34" t="s">
        <v>85</v>
      </c>
      <c r="E38" s="35" t="s">
        <v>57</v>
      </c>
      <c r="F38" s="36">
        <v>4</v>
      </c>
      <c r="G38" s="36">
        <f>I38/F38</f>
        <v>1050</v>
      </c>
      <c r="H38" s="36"/>
      <c r="I38" s="36">
        <f>(F38*900)+600</f>
        <v>4200</v>
      </c>
      <c r="J38" s="36"/>
      <c r="K38" s="36">
        <f>J38+I38</f>
        <v>4200</v>
      </c>
      <c r="L38" s="37"/>
      <c r="M38" s="38"/>
      <c r="N38" s="39"/>
      <c r="O38" s="40"/>
      <c r="P38" s="40"/>
      <c r="Q38" s="40"/>
    </row>
    <row r="39" spans="3:17" outlineLevel="1" x14ac:dyDescent="0.25">
      <c r="C39" s="33" t="s">
        <v>93</v>
      </c>
      <c r="D39" s="34" t="s">
        <v>94</v>
      </c>
      <c r="E39" s="35" t="s">
        <v>95</v>
      </c>
      <c r="F39" s="36">
        <v>30</v>
      </c>
      <c r="G39" s="36">
        <v>400</v>
      </c>
      <c r="H39" s="36"/>
      <c r="I39" s="36">
        <f>G39*F39</f>
        <v>12000</v>
      </c>
      <c r="J39" s="36"/>
      <c r="K39" s="36">
        <f>J39+I39</f>
        <v>12000</v>
      </c>
      <c r="L39" s="37">
        <f>I39</f>
        <v>12000</v>
      </c>
      <c r="M39" s="38"/>
      <c r="N39" s="39"/>
      <c r="O39" s="40"/>
      <c r="P39" s="40"/>
      <c r="Q39" s="40"/>
    </row>
    <row r="40" spans="3:17" outlineLevel="1" x14ac:dyDescent="0.25">
      <c r="C40" s="41"/>
      <c r="D40" s="42" t="s">
        <v>96</v>
      </c>
      <c r="E40" s="38"/>
      <c r="F40" s="43"/>
      <c r="G40" s="44"/>
      <c r="H40" s="43"/>
      <c r="I40" s="43"/>
      <c r="J40" s="43"/>
      <c r="K40" s="45"/>
      <c r="L40" s="74"/>
      <c r="M40" s="75"/>
      <c r="N40" s="47"/>
      <c r="O40" s="48"/>
      <c r="P40" s="48"/>
      <c r="Q40" s="48"/>
    </row>
    <row r="41" spans="3:17" outlineLevel="1" x14ac:dyDescent="0.25">
      <c r="C41" s="41"/>
      <c r="D41" s="42" t="s">
        <v>97</v>
      </c>
      <c r="E41" s="38" t="s">
        <v>98</v>
      </c>
      <c r="F41" s="43">
        <f>30*20</f>
        <v>600</v>
      </c>
      <c r="G41" s="44"/>
      <c r="H41" s="43">
        <v>21.89</v>
      </c>
      <c r="I41" s="43"/>
      <c r="J41" s="43">
        <f>H41*F41</f>
        <v>13134</v>
      </c>
      <c r="K41" s="45">
        <f>J41</f>
        <v>13134</v>
      </c>
      <c r="L41" s="74">
        <f>J41</f>
        <v>13134</v>
      </c>
      <c r="M41" s="75"/>
      <c r="N41" s="47"/>
      <c r="O41" s="48"/>
      <c r="P41" s="48"/>
      <c r="Q41" s="48"/>
    </row>
    <row r="42" spans="3:17" ht="31.5" x14ac:dyDescent="0.25">
      <c r="C42" s="65"/>
      <c r="D42" s="66" t="s">
        <v>99</v>
      </c>
      <c r="E42" s="67"/>
      <c r="F42" s="68"/>
      <c r="G42" s="68"/>
      <c r="H42" s="68"/>
      <c r="I42" s="68"/>
      <c r="J42" s="68"/>
      <c r="K42" s="68">
        <f>K30+K11</f>
        <v>1323744.8207904762</v>
      </c>
      <c r="L42" s="69">
        <f>L30+L11</f>
        <v>240749.5</v>
      </c>
      <c r="M42" s="70"/>
    </row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8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9" firstPageNumber="0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J45"/>
  <sheetViews>
    <sheetView zoomScale="67" zoomScaleNormal="67" workbookViewId="0">
      <pane ySplit="8" topLeftCell="A18" activePane="bottomLeft" state="frozen"/>
      <selection pane="bottomLeft" activeCell="L45" sqref="L45"/>
    </sheetView>
  </sheetViews>
  <sheetFormatPr defaultColWidth="9.140625" defaultRowHeight="16.5" outlineLevelRow="1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s="6" customFormat="1" x14ac:dyDescent="0.25">
      <c r="C10" s="18"/>
      <c r="D10" s="19" t="s">
        <v>100</v>
      </c>
      <c r="E10" s="20"/>
      <c r="F10" s="21" t="s">
        <v>17</v>
      </c>
      <c r="G10" s="21"/>
      <c r="H10" s="21"/>
      <c r="I10" s="21"/>
      <c r="J10" s="21"/>
      <c r="K10" s="21"/>
      <c r="L10" s="22"/>
      <c r="M10" s="23"/>
      <c r="O10" s="24"/>
      <c r="P10" s="25"/>
      <c r="Q10" s="26"/>
    </row>
    <row r="11" spans="3:17" x14ac:dyDescent="0.25">
      <c r="C11" s="27" t="s">
        <v>18</v>
      </c>
      <c r="D11" s="28" t="s">
        <v>101</v>
      </c>
      <c r="E11" s="29" t="s">
        <v>19</v>
      </c>
      <c r="F11" s="30">
        <f>F19</f>
        <v>360</v>
      </c>
      <c r="G11" s="31"/>
      <c r="H11" s="31"/>
      <c r="I11" s="31"/>
      <c r="J11" s="31"/>
      <c r="K11" s="31">
        <f>SUM(K12:K31)</f>
        <v>1248193.3431904761</v>
      </c>
      <c r="L11" s="32">
        <f>SUM(L12:L31)</f>
        <v>144001.5</v>
      </c>
      <c r="M11" s="28"/>
      <c r="N11" s="6"/>
      <c r="O11" s="24"/>
      <c r="P11" s="25"/>
      <c r="Q11" s="26"/>
    </row>
    <row r="12" spans="3:17" outlineLevel="1" x14ac:dyDescent="0.25">
      <c r="C12" s="33" t="s">
        <v>20</v>
      </c>
      <c r="D12" s="34" t="s">
        <v>21</v>
      </c>
      <c r="E12" s="35" t="s">
        <v>22</v>
      </c>
      <c r="F12" s="36">
        <v>1057.22</v>
      </c>
      <c r="G12" s="36">
        <v>25</v>
      </c>
      <c r="H12" s="36"/>
      <c r="I12" s="36">
        <f>F12*G12</f>
        <v>26430.5</v>
      </c>
      <c r="J12" s="36"/>
      <c r="K12" s="36">
        <f>J12+I12</f>
        <v>26430.5</v>
      </c>
      <c r="L12" s="37">
        <f>F12*25</f>
        <v>26430.5</v>
      </c>
      <c r="M12" s="38"/>
      <c r="N12" s="39"/>
      <c r="O12" s="40"/>
      <c r="P12" s="40"/>
      <c r="Q12" s="40"/>
    </row>
    <row r="13" spans="3:17" ht="31.5" outlineLevel="1" x14ac:dyDescent="0.25">
      <c r="C13" s="33" t="s">
        <v>23</v>
      </c>
      <c r="D13" s="34" t="s">
        <v>24</v>
      </c>
      <c r="E13" s="35" t="s">
        <v>25</v>
      </c>
      <c r="F13" s="36">
        <v>52.86</v>
      </c>
      <c r="G13" s="36">
        <v>100</v>
      </c>
      <c r="H13" s="36">
        <f>J13/F13</f>
        <v>283.58999999999997</v>
      </c>
      <c r="I13" s="36">
        <f>G13*F13</f>
        <v>5286</v>
      </c>
      <c r="J13" s="36">
        <f>SUM(J14)</f>
        <v>14990.5674</v>
      </c>
      <c r="K13" s="36">
        <f>J13+I13</f>
        <v>20276.5674</v>
      </c>
      <c r="L13" s="37">
        <f>I13</f>
        <v>5286</v>
      </c>
      <c r="M13" s="38"/>
      <c r="N13" s="39"/>
      <c r="O13" s="40"/>
      <c r="P13" s="40"/>
      <c r="Q13" s="40"/>
    </row>
    <row r="14" spans="3:17" outlineLevel="1" x14ac:dyDescent="0.25">
      <c r="C14" s="41"/>
      <c r="D14" s="42" t="s">
        <v>26</v>
      </c>
      <c r="E14" s="38" t="s">
        <v>27</v>
      </c>
      <c r="F14" s="43">
        <f>F13*1.15*1.37</f>
        <v>83.280929999999998</v>
      </c>
      <c r="G14" s="44"/>
      <c r="H14" s="43">
        <v>180</v>
      </c>
      <c r="I14" s="43"/>
      <c r="J14" s="43">
        <f>H14*F14</f>
        <v>14990.5674</v>
      </c>
      <c r="K14" s="45"/>
      <c r="L14" s="46"/>
      <c r="M14" s="38"/>
      <c r="N14" s="47"/>
      <c r="O14" s="48"/>
      <c r="P14" s="48"/>
      <c r="Q14" s="48"/>
    </row>
    <row r="15" spans="3:17" ht="31.5" outlineLevel="1" x14ac:dyDescent="0.25">
      <c r="C15" s="33" t="s">
        <v>28</v>
      </c>
      <c r="D15" s="34" t="s">
        <v>102</v>
      </c>
      <c r="E15" s="35" t="s">
        <v>19</v>
      </c>
      <c r="F15" s="36">
        <v>951.5</v>
      </c>
      <c r="G15" s="36">
        <v>60</v>
      </c>
      <c r="H15" s="36">
        <f>J15/F15</f>
        <v>113.85000000000001</v>
      </c>
      <c r="I15" s="36">
        <f>G15*F15</f>
        <v>57090</v>
      </c>
      <c r="J15" s="36">
        <f>SUM(J16)</f>
        <v>108328.27500000001</v>
      </c>
      <c r="K15" s="36">
        <f>J15+I15</f>
        <v>165418.27500000002</v>
      </c>
      <c r="L15" s="37"/>
      <c r="M15" s="38"/>
      <c r="N15" s="39"/>
      <c r="O15" s="40"/>
      <c r="P15" s="40"/>
      <c r="Q15" s="40"/>
    </row>
    <row r="16" spans="3:17" outlineLevel="1" x14ac:dyDescent="0.25">
      <c r="C16" s="41"/>
      <c r="D16" s="42" t="s">
        <v>30</v>
      </c>
      <c r="E16" s="38" t="s">
        <v>27</v>
      </c>
      <c r="F16" s="43">
        <f>F15*1.15*1.1</f>
        <v>1203.6475</v>
      </c>
      <c r="G16" s="44"/>
      <c r="H16" s="43">
        <v>90</v>
      </c>
      <c r="I16" s="43"/>
      <c r="J16" s="43">
        <f>H16*F16</f>
        <v>108328.27500000001</v>
      </c>
      <c r="K16" s="45"/>
      <c r="L16" s="46"/>
      <c r="M16" s="38"/>
      <c r="N16" s="47"/>
      <c r="O16" s="48"/>
      <c r="P16" s="48"/>
      <c r="Q16" s="48"/>
    </row>
    <row r="17" spans="3:17" ht="18" outlineLevel="1" x14ac:dyDescent="0.25">
      <c r="C17" s="33" t="s">
        <v>31</v>
      </c>
      <c r="D17" s="34" t="s">
        <v>32</v>
      </c>
      <c r="E17" s="35" t="s">
        <v>33</v>
      </c>
      <c r="F17" s="36">
        <v>93</v>
      </c>
      <c r="G17" s="36">
        <v>120</v>
      </c>
      <c r="H17" s="36">
        <f>J17/F17</f>
        <v>1001.0382</v>
      </c>
      <c r="I17" s="36">
        <f>F17*G17</f>
        <v>11160</v>
      </c>
      <c r="J17" s="36">
        <f>SUM(J18)</f>
        <v>93096.552599999995</v>
      </c>
      <c r="K17" s="36">
        <f>J17+I17</f>
        <v>104256.5526</v>
      </c>
      <c r="L17" s="37">
        <f>I17</f>
        <v>11160</v>
      </c>
      <c r="M17" s="38"/>
      <c r="N17" s="39"/>
      <c r="O17" s="40"/>
      <c r="P17" s="40"/>
      <c r="Q17" s="40"/>
    </row>
    <row r="18" spans="3:17" outlineLevel="1" x14ac:dyDescent="0.25">
      <c r="C18" s="41"/>
      <c r="D18" s="42" t="s">
        <v>88</v>
      </c>
      <c r="E18" s="38" t="s">
        <v>89</v>
      </c>
      <c r="F18" s="43">
        <f>F17*1.02</f>
        <v>94.86</v>
      </c>
      <c r="G18" s="44"/>
      <c r="H18" s="49">
        <v>981.41</v>
      </c>
      <c r="I18" s="43"/>
      <c r="J18" s="43">
        <f>F18*H18</f>
        <v>93096.552599999995</v>
      </c>
      <c r="K18" s="45"/>
      <c r="L18" s="46"/>
      <c r="M18" s="38"/>
      <c r="N18" s="47"/>
      <c r="O18" s="48"/>
      <c r="P18" s="48"/>
      <c r="Q18" s="48"/>
    </row>
    <row r="19" spans="3:17" outlineLevel="1" x14ac:dyDescent="0.25">
      <c r="C19" s="33" t="s">
        <v>36</v>
      </c>
      <c r="D19" s="34" t="s">
        <v>90</v>
      </c>
      <c r="E19" s="35" t="s">
        <v>19</v>
      </c>
      <c r="F19" s="36">
        <v>360</v>
      </c>
      <c r="G19" s="36">
        <v>280</v>
      </c>
      <c r="H19" s="36"/>
      <c r="I19" s="36">
        <f>G19*F19</f>
        <v>100800</v>
      </c>
      <c r="J19" s="36">
        <f>SUM(J20:J27)</f>
        <v>828564.74819047621</v>
      </c>
      <c r="K19" s="36">
        <f>J19+I19</f>
        <v>929364.74819047621</v>
      </c>
      <c r="L19" s="37">
        <f>I19</f>
        <v>100800</v>
      </c>
      <c r="M19" s="38"/>
      <c r="N19" s="39"/>
      <c r="O19" s="40"/>
      <c r="P19" s="40"/>
      <c r="Q19" s="40"/>
    </row>
    <row r="20" spans="3:17" outlineLevel="1" x14ac:dyDescent="0.25">
      <c r="C20" s="41"/>
      <c r="D20" s="42" t="s">
        <v>103</v>
      </c>
      <c r="E20" s="38" t="s">
        <v>89</v>
      </c>
      <c r="F20" s="43">
        <f>1.02*F19</f>
        <v>367.2</v>
      </c>
      <c r="G20" s="44"/>
      <c r="H20" s="49">
        <v>1126.56</v>
      </c>
      <c r="I20" s="43"/>
      <c r="J20" s="43">
        <f t="shared" ref="J20:J27" si="0">F20*H20</f>
        <v>413672.83199999999</v>
      </c>
      <c r="K20" s="45"/>
      <c r="L20" s="46"/>
      <c r="M20" s="38"/>
      <c r="N20" s="47"/>
      <c r="O20" s="48"/>
      <c r="P20" s="48"/>
      <c r="Q20" s="48"/>
    </row>
    <row r="21" spans="3:17" outlineLevel="1" x14ac:dyDescent="0.25">
      <c r="C21" s="41"/>
      <c r="D21" s="42" t="s">
        <v>50</v>
      </c>
      <c r="E21" s="38" t="s">
        <v>27</v>
      </c>
      <c r="F21" s="51">
        <f>(742*1.05)/1000</f>
        <v>0.77910000000000001</v>
      </c>
      <c r="G21" s="44"/>
      <c r="H21" s="49">
        <v>11900</v>
      </c>
      <c r="I21" s="43"/>
      <c r="J21" s="43">
        <f t="shared" si="0"/>
        <v>9271.2900000000009</v>
      </c>
      <c r="K21" s="45"/>
      <c r="L21" s="46"/>
      <c r="M21" s="38"/>
      <c r="N21" s="47"/>
      <c r="O21" s="48"/>
      <c r="P21" s="48"/>
      <c r="Q21" s="48"/>
    </row>
    <row r="22" spans="3:17" outlineLevel="1" x14ac:dyDescent="0.25">
      <c r="C22" s="41"/>
      <c r="D22" s="42" t="s">
        <v>51</v>
      </c>
      <c r="E22" s="38" t="s">
        <v>27</v>
      </c>
      <c r="F22" s="51">
        <v>16.494499999999999</v>
      </c>
      <c r="G22" s="44"/>
      <c r="H22" s="49">
        <v>11700</v>
      </c>
      <c r="I22" s="43"/>
      <c r="J22" s="43">
        <f t="shared" si="0"/>
        <v>192985.65</v>
      </c>
      <c r="K22" s="45"/>
      <c r="L22" s="46"/>
      <c r="M22" s="38"/>
      <c r="N22" s="47"/>
      <c r="O22" s="48"/>
      <c r="P22" s="48"/>
      <c r="Q22" s="48"/>
    </row>
    <row r="23" spans="3:17" outlineLevel="1" x14ac:dyDescent="0.25">
      <c r="C23" s="41"/>
      <c r="D23" s="42" t="s">
        <v>52</v>
      </c>
      <c r="E23" s="38" t="s">
        <v>27</v>
      </c>
      <c r="F23" s="51">
        <v>16.618400000000001</v>
      </c>
      <c r="G23" s="44"/>
      <c r="H23" s="49">
        <v>11700</v>
      </c>
      <c r="I23" s="43"/>
      <c r="J23" s="43">
        <f t="shared" si="0"/>
        <v>194435.28000000003</v>
      </c>
      <c r="K23" s="45"/>
      <c r="L23" s="46"/>
      <c r="M23" s="38"/>
      <c r="N23" s="47"/>
      <c r="O23" s="48"/>
      <c r="P23" s="48"/>
      <c r="Q23" s="48"/>
    </row>
    <row r="24" spans="3:17" outlineLevel="1" x14ac:dyDescent="0.25">
      <c r="C24" s="52"/>
      <c r="D24" s="53" t="s">
        <v>53</v>
      </c>
      <c r="E24" s="54" t="s">
        <v>54</v>
      </c>
      <c r="F24" s="55">
        <f>((8/1000)*(SUM(F21:F23)))/1.05</f>
        <v>0.2582247619047619</v>
      </c>
      <c r="G24" s="56"/>
      <c r="H24" s="57">
        <v>16000</v>
      </c>
      <c r="I24" s="58"/>
      <c r="J24" s="43">
        <f t="shared" si="0"/>
        <v>4131.5961904761907</v>
      </c>
      <c r="K24" s="59"/>
      <c r="L24" s="60"/>
      <c r="M24" s="38"/>
      <c r="N24" s="47"/>
      <c r="O24" s="61"/>
      <c r="P24" s="61"/>
      <c r="Q24" s="61"/>
    </row>
    <row r="25" spans="3:17" outlineLevel="1" x14ac:dyDescent="0.25">
      <c r="C25" s="41"/>
      <c r="D25" s="42" t="s">
        <v>56</v>
      </c>
      <c r="E25" s="38" t="s">
        <v>57</v>
      </c>
      <c r="F25" s="43">
        <v>1</v>
      </c>
      <c r="G25" s="44"/>
      <c r="H25" s="43">
        <v>13000</v>
      </c>
      <c r="I25" s="43"/>
      <c r="J25" s="43">
        <f t="shared" si="0"/>
        <v>13000</v>
      </c>
      <c r="K25" s="45"/>
      <c r="L25" s="46"/>
      <c r="M25" s="38"/>
      <c r="N25" s="47"/>
      <c r="O25" s="48"/>
      <c r="P25" s="48"/>
      <c r="Q25" s="48"/>
    </row>
    <row r="26" spans="3:17" outlineLevel="1" x14ac:dyDescent="0.25">
      <c r="C26" s="52"/>
      <c r="D26" s="53" t="s">
        <v>55</v>
      </c>
      <c r="E26" s="54" t="s">
        <v>54</v>
      </c>
      <c r="F26" s="62">
        <f>4.54/1000</f>
        <v>4.5399999999999998E-3</v>
      </c>
      <c r="G26" s="56"/>
      <c r="H26" s="58">
        <v>15000</v>
      </c>
      <c r="I26" s="58"/>
      <c r="J26" s="43">
        <f t="shared" si="0"/>
        <v>68.099999999999994</v>
      </c>
      <c r="K26" s="59"/>
      <c r="L26" s="60"/>
      <c r="M26" s="38"/>
      <c r="N26" s="47"/>
      <c r="O26" s="61"/>
      <c r="P26" s="61"/>
      <c r="Q26" s="61"/>
    </row>
    <row r="27" spans="3:17" ht="63" outlineLevel="1" x14ac:dyDescent="0.25">
      <c r="C27" s="52"/>
      <c r="D27" s="53" t="s">
        <v>58</v>
      </c>
      <c r="E27" s="38" t="s">
        <v>59</v>
      </c>
      <c r="F27" s="58">
        <v>4</v>
      </c>
      <c r="G27" s="56"/>
      <c r="H27" s="58">
        <f>170+40+40</f>
        <v>250</v>
      </c>
      <c r="I27" s="58"/>
      <c r="J27" s="43">
        <f t="shared" si="0"/>
        <v>1000</v>
      </c>
      <c r="K27" s="59"/>
      <c r="L27" s="60"/>
      <c r="M27" s="38"/>
      <c r="N27" s="47"/>
      <c r="O27" s="61"/>
      <c r="P27" s="61"/>
      <c r="Q27" s="61"/>
    </row>
    <row r="28" spans="3:17" outlineLevel="1" x14ac:dyDescent="0.25">
      <c r="C28" s="33" t="s">
        <v>41</v>
      </c>
      <c r="D28" s="34" t="s">
        <v>61</v>
      </c>
      <c r="E28" s="35" t="s">
        <v>38</v>
      </c>
      <c r="F28" s="36">
        <v>13</v>
      </c>
      <c r="G28" s="36">
        <v>25</v>
      </c>
      <c r="H28" s="36"/>
      <c r="I28" s="36">
        <f>G28*F28</f>
        <v>325</v>
      </c>
      <c r="J28" s="36">
        <f>SUM(J29:J31)</f>
        <v>2121.6999999999998</v>
      </c>
      <c r="K28" s="36">
        <f>J28+I28</f>
        <v>2446.6999999999998</v>
      </c>
      <c r="L28" s="37">
        <f>I28</f>
        <v>325</v>
      </c>
      <c r="M28" s="38"/>
      <c r="N28" s="39"/>
      <c r="O28" s="40"/>
      <c r="P28" s="40"/>
      <c r="Q28" s="40"/>
    </row>
    <row r="29" spans="3:17" outlineLevel="1" x14ac:dyDescent="0.25">
      <c r="C29" s="41"/>
      <c r="D29" s="42" t="s">
        <v>104</v>
      </c>
      <c r="E29" s="38" t="s">
        <v>38</v>
      </c>
      <c r="F29" s="43">
        <f>F28</f>
        <v>13</v>
      </c>
      <c r="G29" s="44"/>
      <c r="H29" s="43">
        <v>108.27</v>
      </c>
      <c r="I29" s="43"/>
      <c r="J29" s="43">
        <f>H29*F29</f>
        <v>1407.51</v>
      </c>
      <c r="K29" s="45"/>
      <c r="L29" s="46"/>
      <c r="M29" s="38"/>
      <c r="N29" s="47"/>
      <c r="O29" s="48"/>
      <c r="P29" s="48"/>
      <c r="Q29" s="48"/>
    </row>
    <row r="30" spans="3:17" outlineLevel="1" x14ac:dyDescent="0.25">
      <c r="C30" s="41"/>
      <c r="D30" s="42" t="s">
        <v>105</v>
      </c>
      <c r="E30" s="38" t="s">
        <v>64</v>
      </c>
      <c r="F30" s="43">
        <v>3</v>
      </c>
      <c r="G30" s="44"/>
      <c r="H30" s="43">
        <v>172.7</v>
      </c>
      <c r="I30" s="43"/>
      <c r="J30" s="43">
        <f>H30*F30</f>
        <v>518.09999999999991</v>
      </c>
      <c r="K30" s="45"/>
      <c r="L30" s="46"/>
      <c r="M30" s="38"/>
      <c r="N30" s="47"/>
      <c r="O30" s="48"/>
      <c r="P30" s="48"/>
      <c r="Q30" s="48"/>
    </row>
    <row r="31" spans="3:17" outlineLevel="1" x14ac:dyDescent="0.25">
      <c r="C31" s="41"/>
      <c r="D31" s="42" t="s">
        <v>106</v>
      </c>
      <c r="E31" s="38" t="s">
        <v>64</v>
      </c>
      <c r="F31" s="43">
        <v>1</v>
      </c>
      <c r="G31" s="44"/>
      <c r="H31" s="43">
        <v>196.09</v>
      </c>
      <c r="I31" s="43"/>
      <c r="J31" s="43">
        <f>H31*F31</f>
        <v>196.09</v>
      </c>
      <c r="K31" s="45"/>
      <c r="L31" s="46"/>
      <c r="M31" s="38"/>
      <c r="N31" s="47"/>
      <c r="O31" s="48"/>
      <c r="P31" s="48"/>
      <c r="Q31" s="48"/>
    </row>
    <row r="32" spans="3:17" x14ac:dyDescent="0.25">
      <c r="C32" s="27" t="s">
        <v>66</v>
      </c>
      <c r="D32" s="28" t="s">
        <v>67</v>
      </c>
      <c r="E32" s="63"/>
      <c r="F32" s="31"/>
      <c r="G32" s="31"/>
      <c r="H32" s="31"/>
      <c r="I32" s="31"/>
      <c r="J32" s="31">
        <f>SUM(J33:J43)</f>
        <v>13134</v>
      </c>
      <c r="K32" s="31">
        <f>SUM(K33:K43)</f>
        <v>246434</v>
      </c>
      <c r="L32" s="32">
        <f>SUM(L33:L43)</f>
        <v>97234</v>
      </c>
      <c r="M32" s="31"/>
      <c r="N32" s="6"/>
      <c r="O32" s="24"/>
      <c r="P32" s="25"/>
      <c r="Q32" s="26"/>
    </row>
    <row r="33" spans="3:17" outlineLevel="1" x14ac:dyDescent="0.25">
      <c r="C33" s="33" t="s">
        <v>68</v>
      </c>
      <c r="D33" s="34" t="s">
        <v>69</v>
      </c>
      <c r="E33" s="35" t="s">
        <v>70</v>
      </c>
      <c r="F33" s="36">
        <v>3</v>
      </c>
      <c r="G33" s="36">
        <v>78000</v>
      </c>
      <c r="H33" s="36"/>
      <c r="I33" s="36">
        <f t="shared" ref="I33:I39" si="1">G33*F33</f>
        <v>234000</v>
      </c>
      <c r="J33" s="36"/>
      <c r="K33" s="36">
        <f>(J33+I33)/4</f>
        <v>58500</v>
      </c>
      <c r="L33" s="37">
        <f>K33</f>
        <v>58500</v>
      </c>
      <c r="M33" s="38"/>
      <c r="N33" s="39"/>
      <c r="O33" s="40"/>
      <c r="P33" s="40"/>
      <c r="Q33" s="40"/>
    </row>
    <row r="34" spans="3:17" outlineLevel="1" x14ac:dyDescent="0.25">
      <c r="C34" s="33" t="s">
        <v>71</v>
      </c>
      <c r="D34" s="34" t="s">
        <v>72</v>
      </c>
      <c r="E34" s="35" t="s">
        <v>70</v>
      </c>
      <c r="F34" s="36">
        <v>3</v>
      </c>
      <c r="G34" s="36">
        <v>36000</v>
      </c>
      <c r="H34" s="36"/>
      <c r="I34" s="36">
        <f t="shared" si="1"/>
        <v>108000</v>
      </c>
      <c r="J34" s="36"/>
      <c r="K34" s="36">
        <f>(J34+I34)/3</f>
        <v>36000</v>
      </c>
      <c r="L34" s="37"/>
      <c r="M34" s="38"/>
      <c r="N34" s="39"/>
      <c r="O34" s="40"/>
      <c r="P34" s="40"/>
      <c r="Q34" s="40"/>
    </row>
    <row r="35" spans="3:17" outlineLevel="1" x14ac:dyDescent="0.25">
      <c r="C35" s="33" t="s">
        <v>73</v>
      </c>
      <c r="D35" s="34" t="s">
        <v>74</v>
      </c>
      <c r="E35" s="35" t="s">
        <v>75</v>
      </c>
      <c r="F35" s="36">
        <v>1</v>
      </c>
      <c r="G35" s="36">
        <v>20000</v>
      </c>
      <c r="H35" s="36"/>
      <c r="I35" s="36">
        <f t="shared" si="1"/>
        <v>20000</v>
      </c>
      <c r="J35" s="36"/>
      <c r="K35" s="36">
        <f>(J35+I35)</f>
        <v>20000</v>
      </c>
      <c r="L35" s="37"/>
      <c r="M35" s="38"/>
      <c r="N35" s="39"/>
      <c r="O35" s="40"/>
      <c r="P35" s="40"/>
      <c r="Q35" s="40"/>
    </row>
    <row r="36" spans="3:17" outlineLevel="1" x14ac:dyDescent="0.25">
      <c r="C36" s="33" t="s">
        <v>76</v>
      </c>
      <c r="D36" s="34" t="s">
        <v>77</v>
      </c>
      <c r="E36" s="35" t="s">
        <v>75</v>
      </c>
      <c r="F36" s="36">
        <v>1</v>
      </c>
      <c r="G36" s="36">
        <v>20000</v>
      </c>
      <c r="H36" s="36"/>
      <c r="I36" s="36">
        <f t="shared" si="1"/>
        <v>20000</v>
      </c>
      <c r="J36" s="36"/>
      <c r="K36" s="36">
        <f>(J36+I36)</f>
        <v>20000</v>
      </c>
      <c r="L36" s="37"/>
      <c r="M36" s="38"/>
      <c r="N36" s="39"/>
      <c r="O36" s="40"/>
      <c r="P36" s="40"/>
      <c r="Q36" s="40"/>
    </row>
    <row r="37" spans="3:17" outlineLevel="1" x14ac:dyDescent="0.25">
      <c r="C37" s="33" t="s">
        <v>78</v>
      </c>
      <c r="D37" s="34" t="s">
        <v>79</v>
      </c>
      <c r="E37" s="35" t="s">
        <v>19</v>
      </c>
      <c r="F37" s="36">
        <f>F19</f>
        <v>360</v>
      </c>
      <c r="G37" s="36">
        <v>85</v>
      </c>
      <c r="H37" s="36"/>
      <c r="I37" s="36">
        <f t="shared" si="1"/>
        <v>30600</v>
      </c>
      <c r="J37" s="36"/>
      <c r="K37" s="36">
        <f>J37+I37</f>
        <v>30600</v>
      </c>
      <c r="L37" s="37">
        <v>10000</v>
      </c>
      <c r="M37" s="38"/>
      <c r="N37" s="39"/>
      <c r="O37" s="40"/>
      <c r="P37" s="40"/>
      <c r="Q37" s="40"/>
    </row>
    <row r="38" spans="3:17" outlineLevel="1" x14ac:dyDescent="0.25">
      <c r="C38" s="33" t="s">
        <v>80</v>
      </c>
      <c r="D38" s="34" t="s">
        <v>81</v>
      </c>
      <c r="E38" s="35" t="s">
        <v>19</v>
      </c>
      <c r="F38" s="36">
        <f>F19</f>
        <v>360</v>
      </c>
      <c r="G38" s="36">
        <v>40</v>
      </c>
      <c r="H38" s="36"/>
      <c r="I38" s="36">
        <f t="shared" si="1"/>
        <v>14400</v>
      </c>
      <c r="J38" s="36"/>
      <c r="K38" s="36">
        <f>I38</f>
        <v>14400</v>
      </c>
      <c r="L38" s="37">
        <f>10*F38</f>
        <v>3600</v>
      </c>
      <c r="M38" s="38"/>
      <c r="N38" s="39"/>
      <c r="O38" s="40"/>
      <c r="P38" s="40"/>
      <c r="Q38" s="40"/>
    </row>
    <row r="39" spans="3:17" outlineLevel="1" x14ac:dyDescent="0.25">
      <c r="C39" s="33" t="s">
        <v>82</v>
      </c>
      <c r="D39" s="34" t="s">
        <v>83</v>
      </c>
      <c r="E39" s="35" t="s">
        <v>57</v>
      </c>
      <c r="F39" s="36">
        <v>10</v>
      </c>
      <c r="G39" s="36">
        <v>3400</v>
      </c>
      <c r="H39" s="36"/>
      <c r="I39" s="36">
        <f t="shared" si="1"/>
        <v>34000</v>
      </c>
      <c r="J39" s="36"/>
      <c r="K39" s="36">
        <f>J39+I39</f>
        <v>34000</v>
      </c>
      <c r="L39" s="37"/>
      <c r="M39" s="38"/>
      <c r="N39" s="39"/>
      <c r="O39" s="40"/>
      <c r="P39" s="40"/>
      <c r="Q39" s="40"/>
    </row>
    <row r="40" spans="3:17" outlineLevel="1" x14ac:dyDescent="0.25">
      <c r="C40" s="33" t="s">
        <v>84</v>
      </c>
      <c r="D40" s="34" t="s">
        <v>85</v>
      </c>
      <c r="E40" s="35" t="s">
        <v>57</v>
      </c>
      <c r="F40" s="36">
        <v>8</v>
      </c>
      <c r="G40" s="36">
        <f>I40/F40</f>
        <v>975</v>
      </c>
      <c r="H40" s="36"/>
      <c r="I40" s="36">
        <f>(F40*900)+600</f>
        <v>7800</v>
      </c>
      <c r="J40" s="36"/>
      <c r="K40" s="36">
        <f>J40+I40</f>
        <v>7800</v>
      </c>
      <c r="L40" s="37"/>
      <c r="M40" s="38"/>
      <c r="N40" s="39"/>
      <c r="O40" s="40"/>
      <c r="P40" s="40"/>
      <c r="Q40" s="40"/>
    </row>
    <row r="41" spans="3:17" outlineLevel="1" x14ac:dyDescent="0.25">
      <c r="C41" s="33" t="s">
        <v>93</v>
      </c>
      <c r="D41" s="34" t="s">
        <v>94</v>
      </c>
      <c r="E41" s="35" t="s">
        <v>95</v>
      </c>
      <c r="F41" s="36">
        <v>30</v>
      </c>
      <c r="G41" s="36">
        <v>400</v>
      </c>
      <c r="H41" s="36"/>
      <c r="I41" s="36">
        <f>G41*F41</f>
        <v>12000</v>
      </c>
      <c r="J41" s="36"/>
      <c r="K41" s="36">
        <f>J41+I41</f>
        <v>12000</v>
      </c>
      <c r="L41" s="37">
        <f>I41</f>
        <v>12000</v>
      </c>
      <c r="M41" s="38"/>
      <c r="N41" s="39"/>
      <c r="O41" s="40"/>
      <c r="P41" s="40"/>
      <c r="Q41" s="40"/>
    </row>
    <row r="42" spans="3:17" outlineLevel="1" x14ac:dyDescent="0.25">
      <c r="C42" s="41"/>
      <c r="D42" s="42" t="s">
        <v>96</v>
      </c>
      <c r="E42" s="38"/>
      <c r="F42" s="43"/>
      <c r="G42" s="44"/>
      <c r="H42" s="43"/>
      <c r="I42" s="43"/>
      <c r="J42" s="43"/>
      <c r="K42" s="45"/>
      <c r="L42" s="74"/>
      <c r="M42" s="75"/>
      <c r="N42" s="47"/>
      <c r="O42" s="48"/>
      <c r="P42" s="48"/>
      <c r="Q42" s="48"/>
    </row>
    <row r="43" spans="3:17" outlineLevel="1" x14ac:dyDescent="0.25">
      <c r="C43" s="41"/>
      <c r="D43" s="42" t="s">
        <v>97</v>
      </c>
      <c r="E43" s="38" t="s">
        <v>98</v>
      </c>
      <c r="F43" s="43">
        <f>30*20</f>
        <v>600</v>
      </c>
      <c r="G43" s="44"/>
      <c r="H43" s="43">
        <v>21.89</v>
      </c>
      <c r="I43" s="43"/>
      <c r="J43" s="43">
        <f>H43*F43</f>
        <v>13134</v>
      </c>
      <c r="K43" s="45">
        <f>J43</f>
        <v>13134</v>
      </c>
      <c r="L43" s="74">
        <f>J43</f>
        <v>13134</v>
      </c>
      <c r="M43" s="75"/>
      <c r="N43" s="47"/>
      <c r="O43" s="48"/>
      <c r="P43" s="48"/>
      <c r="Q43" s="48"/>
    </row>
    <row r="44" spans="3:17" ht="31.5" x14ac:dyDescent="0.25">
      <c r="C44" s="65"/>
      <c r="D44" s="66" t="s">
        <v>107</v>
      </c>
      <c r="E44" s="67"/>
      <c r="F44" s="68"/>
      <c r="G44" s="68"/>
      <c r="H44" s="68"/>
      <c r="I44" s="68"/>
      <c r="J44" s="68"/>
      <c r="K44" s="68">
        <f>K32+K11</f>
        <v>1494627.3431904761</v>
      </c>
      <c r="L44" s="69">
        <f>L32+L11</f>
        <v>241235.5</v>
      </c>
      <c r="M44" s="70"/>
    </row>
    <row r="45" spans="3:17" ht="5.25" customHeight="1" x14ac:dyDescent="0.25"/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7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MJ15"/>
  <sheetViews>
    <sheetView zoomScale="67" zoomScaleNormal="67" workbookViewId="0">
      <pane ySplit="8" topLeftCell="A9" activePane="bottomLeft" state="frozen"/>
      <selection pane="bottomLeft" activeCell="K11" sqref="K11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x14ac:dyDescent="0.25">
      <c r="C10" s="27"/>
      <c r="D10" s="28" t="s">
        <v>108</v>
      </c>
      <c r="E10" s="63"/>
      <c r="F10" s="31" t="s">
        <v>109</v>
      </c>
      <c r="G10" s="31" t="s">
        <v>110</v>
      </c>
      <c r="H10" s="31"/>
      <c r="I10" s="31">
        <f>SUM(I11:I13)</f>
        <v>280418.87999999995</v>
      </c>
      <c r="J10" s="31">
        <f>J13</f>
        <v>0</v>
      </c>
      <c r="K10" s="31">
        <f>SUM(K11:K13)</f>
        <v>280418.87999999995</v>
      </c>
      <c r="L10" s="32"/>
      <c r="M10" s="64"/>
      <c r="N10" s="6"/>
      <c r="O10" s="24"/>
      <c r="P10" s="25"/>
      <c r="Q10" s="26"/>
    </row>
    <row r="11" spans="3:17" ht="47.25" x14ac:dyDescent="0.25">
      <c r="C11" s="33"/>
      <c r="D11" s="34" t="s">
        <v>111</v>
      </c>
      <c r="E11" s="35" t="s">
        <v>19</v>
      </c>
      <c r="F11" s="36">
        <f>4878.4</f>
        <v>4878.3999999999996</v>
      </c>
      <c r="G11" s="36">
        <f>1.2*31</f>
        <v>37.199999999999996</v>
      </c>
      <c r="H11" s="36"/>
      <c r="I11" s="36">
        <f>F11*G11</f>
        <v>181476.47999999995</v>
      </c>
      <c r="J11" s="36"/>
      <c r="K11" s="36">
        <f>J11+I11</f>
        <v>181476.47999999995</v>
      </c>
      <c r="L11" s="37"/>
      <c r="M11" s="38"/>
      <c r="N11" s="39"/>
      <c r="O11" s="40"/>
      <c r="P11" s="40"/>
      <c r="Q11" s="40"/>
    </row>
    <row r="12" spans="3:17" ht="78.75" x14ac:dyDescent="0.25">
      <c r="C12" s="33"/>
      <c r="D12" s="76" t="s">
        <v>112</v>
      </c>
      <c r="E12" s="35" t="s">
        <v>19</v>
      </c>
      <c r="F12" s="36">
        <f>F11</f>
        <v>4878.3999999999996</v>
      </c>
      <c r="G12" s="36">
        <f>1.2*10</f>
        <v>12</v>
      </c>
      <c r="H12" s="36"/>
      <c r="I12" s="36">
        <f>F12*G12</f>
        <v>58540.799999999996</v>
      </c>
      <c r="J12" s="36"/>
      <c r="K12" s="36">
        <f>J12+I12</f>
        <v>58540.799999999996</v>
      </c>
      <c r="L12" s="37"/>
      <c r="M12" s="38"/>
      <c r="N12" s="39"/>
      <c r="O12" s="40"/>
      <c r="P12" s="40"/>
      <c r="Q12" s="40"/>
    </row>
    <row r="13" spans="3:17" ht="47.25" x14ac:dyDescent="0.25">
      <c r="C13" s="33"/>
      <c r="D13" s="76" t="s">
        <v>113</v>
      </c>
      <c r="E13" s="35" t="s">
        <v>114</v>
      </c>
      <c r="F13" s="36">
        <v>1772</v>
      </c>
      <c r="G13" s="36">
        <f>1.2*19</f>
        <v>22.8</v>
      </c>
      <c r="H13" s="36"/>
      <c r="I13" s="36">
        <f>F13*G13</f>
        <v>40401.599999999999</v>
      </c>
      <c r="J13" s="36"/>
      <c r="K13" s="36">
        <f>J13+I13</f>
        <v>40401.599999999999</v>
      </c>
      <c r="L13" s="37"/>
      <c r="M13" s="38"/>
      <c r="N13" s="39"/>
      <c r="O13" s="40"/>
      <c r="P13" s="40"/>
      <c r="Q13" s="40"/>
    </row>
    <row r="14" spans="3:17" ht="47.25" x14ac:dyDescent="0.25">
      <c r="C14" s="65"/>
      <c r="D14" s="66" t="s">
        <v>115</v>
      </c>
      <c r="E14" s="67"/>
      <c r="F14" s="68" t="s">
        <v>109</v>
      </c>
      <c r="G14" s="68" t="s">
        <v>110</v>
      </c>
      <c r="H14" s="68"/>
      <c r="I14" s="68"/>
      <c r="J14" s="68"/>
      <c r="K14" s="68">
        <f>K10</f>
        <v>280418.87999999995</v>
      </c>
      <c r="L14" s="69">
        <f>L10</f>
        <v>0</v>
      </c>
      <c r="M14" s="70"/>
    </row>
    <row r="15" spans="3:17" ht="8.25" customHeight="1" x14ac:dyDescent="0.25"/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6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MJ16"/>
  <sheetViews>
    <sheetView zoomScale="67" zoomScaleNormal="67" workbookViewId="0">
      <pane ySplit="8" topLeftCell="A9" activePane="bottomLeft" state="frozen"/>
      <selection pane="bottomLeft" activeCell="K11" sqref="K11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x14ac:dyDescent="0.25">
      <c r="C10" s="27"/>
      <c r="D10" s="28" t="s">
        <v>116</v>
      </c>
      <c r="E10" s="63"/>
      <c r="F10" s="31" t="s">
        <v>109</v>
      </c>
      <c r="G10" s="31" t="s">
        <v>110</v>
      </c>
      <c r="H10" s="31"/>
      <c r="I10" s="31">
        <f>SUM(I11:I14)</f>
        <v>196747.704</v>
      </c>
      <c r="J10" s="31">
        <f>SUM(J11:J14)</f>
        <v>0</v>
      </c>
      <c r="K10" s="31">
        <f>SUM(K11:K14)</f>
        <v>196747.704</v>
      </c>
      <c r="L10" s="32"/>
      <c r="M10" s="64"/>
      <c r="N10" s="6"/>
      <c r="O10" s="24"/>
      <c r="P10" s="25"/>
      <c r="Q10" s="26"/>
    </row>
    <row r="11" spans="3:17" ht="47.25" x14ac:dyDescent="0.25">
      <c r="C11" s="33"/>
      <c r="D11" s="34" t="s">
        <v>117</v>
      </c>
      <c r="E11" s="35" t="s">
        <v>19</v>
      </c>
      <c r="F11" s="36">
        <v>2545.63</v>
      </c>
      <c r="G11" s="36">
        <f>1.2*24</f>
        <v>28.799999999999997</v>
      </c>
      <c r="H11" s="36"/>
      <c r="I11" s="36">
        <f>F11*G11</f>
        <v>73314.144</v>
      </c>
      <c r="J11" s="36"/>
      <c r="K11" s="36">
        <f>I11+J11</f>
        <v>73314.144</v>
      </c>
      <c r="L11" s="37"/>
      <c r="M11" s="38"/>
      <c r="N11" s="39"/>
      <c r="O11" s="40"/>
      <c r="P11" s="40"/>
      <c r="Q11" s="40"/>
    </row>
    <row r="12" spans="3:17" ht="31.5" x14ac:dyDescent="0.25">
      <c r="C12" s="33"/>
      <c r="D12" s="34" t="s">
        <v>118</v>
      </c>
      <c r="E12" s="35" t="s">
        <v>19</v>
      </c>
      <c r="F12" s="36">
        <v>468</v>
      </c>
      <c r="G12" s="36">
        <f>1.2*125</f>
        <v>150</v>
      </c>
      <c r="H12" s="36"/>
      <c r="I12" s="36">
        <f>F12*G12</f>
        <v>70200</v>
      </c>
      <c r="J12" s="36"/>
      <c r="K12" s="36">
        <f>I12+J12</f>
        <v>70200</v>
      </c>
      <c r="L12" s="37"/>
      <c r="M12" s="38"/>
      <c r="N12" s="39"/>
      <c r="O12" s="40"/>
      <c r="P12" s="40"/>
      <c r="Q12" s="40"/>
    </row>
    <row r="13" spans="3:17" ht="110.25" x14ac:dyDescent="0.25">
      <c r="C13" s="33"/>
      <c r="D13" s="76" t="s">
        <v>119</v>
      </c>
      <c r="E13" s="35" t="s">
        <v>19</v>
      </c>
      <c r="F13" s="36">
        <f>F11</f>
        <v>2545.63</v>
      </c>
      <c r="G13" s="36">
        <f>1.2*10</f>
        <v>12</v>
      </c>
      <c r="H13" s="36"/>
      <c r="I13" s="36">
        <f>F13*G13</f>
        <v>30547.56</v>
      </c>
      <c r="J13" s="36"/>
      <c r="K13" s="36">
        <f>I13+J13</f>
        <v>30547.56</v>
      </c>
      <c r="L13" s="37"/>
      <c r="M13" s="38"/>
      <c r="N13" s="39"/>
      <c r="O13" s="40"/>
      <c r="P13" s="40"/>
      <c r="Q13" s="40"/>
    </row>
    <row r="14" spans="3:17" ht="47.25" x14ac:dyDescent="0.25">
      <c r="C14" s="33"/>
      <c r="D14" s="76" t="s">
        <v>113</v>
      </c>
      <c r="E14" s="35" t="s">
        <v>114</v>
      </c>
      <c r="F14" s="36">
        <v>995</v>
      </c>
      <c r="G14" s="36">
        <f>1.2*19</f>
        <v>22.8</v>
      </c>
      <c r="H14" s="36"/>
      <c r="I14" s="36">
        <f>F14*G14</f>
        <v>22686</v>
      </c>
      <c r="J14" s="36"/>
      <c r="K14" s="36">
        <f>I14+J14</f>
        <v>22686</v>
      </c>
      <c r="L14" s="37"/>
      <c r="M14" s="38"/>
      <c r="N14" s="39"/>
      <c r="O14" s="40"/>
      <c r="P14" s="40"/>
      <c r="Q14" s="40"/>
    </row>
    <row r="15" spans="3:17" ht="47.25" x14ac:dyDescent="0.25">
      <c r="C15" s="65"/>
      <c r="D15" s="66" t="s">
        <v>115</v>
      </c>
      <c r="E15" s="67"/>
      <c r="F15" s="68" t="s">
        <v>109</v>
      </c>
      <c r="G15" s="68" t="s">
        <v>110</v>
      </c>
      <c r="H15" s="68"/>
      <c r="I15" s="68"/>
      <c r="J15" s="68"/>
      <c r="K15" s="68">
        <f>K10</f>
        <v>196747.704</v>
      </c>
      <c r="L15" s="69">
        <f>L10</f>
        <v>0</v>
      </c>
      <c r="M15" s="70"/>
    </row>
    <row r="16" spans="3:17" ht="8.25" customHeight="1" x14ac:dyDescent="0.25"/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5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MJ15"/>
  <sheetViews>
    <sheetView zoomScale="67" zoomScaleNormal="67" workbookViewId="0">
      <pane ySplit="8" topLeftCell="A9" activePane="bottomLeft" state="frozen"/>
      <selection pane="bottomLeft" activeCell="K15" sqref="K15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x14ac:dyDescent="0.25">
      <c r="C10" s="27"/>
      <c r="D10" s="28" t="s">
        <v>120</v>
      </c>
      <c r="E10" s="63"/>
      <c r="F10" s="31" t="s">
        <v>109</v>
      </c>
      <c r="G10" s="31" t="s">
        <v>110</v>
      </c>
      <c r="H10" s="31"/>
      <c r="I10" s="31">
        <f>SUM(I11:I13)</f>
        <v>139492.26</v>
      </c>
      <c r="J10" s="31">
        <f>SUM(J11:J13)</f>
        <v>0</v>
      </c>
      <c r="K10" s="31">
        <f>SUM(K11:K13)</f>
        <v>139492.26</v>
      </c>
      <c r="L10" s="32"/>
      <c r="M10" s="64"/>
      <c r="N10" s="6"/>
      <c r="O10" s="24"/>
      <c r="P10" s="25"/>
      <c r="Q10" s="26"/>
    </row>
    <row r="11" spans="3:17" ht="47.25" x14ac:dyDescent="0.25">
      <c r="C11" s="33"/>
      <c r="D11" s="34" t="s">
        <v>121</v>
      </c>
      <c r="E11" s="35" t="s">
        <v>19</v>
      </c>
      <c r="F11" s="36">
        <f>2176.59</f>
        <v>2176.59</v>
      </c>
      <c r="G11" s="36">
        <f>1.2*35</f>
        <v>42</v>
      </c>
      <c r="H11" s="36"/>
      <c r="I11" s="36">
        <f>F11*G11</f>
        <v>91416.78</v>
      </c>
      <c r="J11" s="36"/>
      <c r="K11" s="36">
        <f>J11+I11</f>
        <v>91416.78</v>
      </c>
      <c r="L11" s="37"/>
      <c r="M11" s="38"/>
      <c r="N11" s="39"/>
      <c r="O11" s="40"/>
      <c r="P11" s="40"/>
      <c r="Q11" s="40"/>
    </row>
    <row r="12" spans="3:17" ht="78.75" x14ac:dyDescent="0.25">
      <c r="C12" s="33"/>
      <c r="D12" s="76" t="s">
        <v>112</v>
      </c>
      <c r="E12" s="35"/>
      <c r="F12" s="36">
        <f>F11</f>
        <v>2176.59</v>
      </c>
      <c r="G12" s="36">
        <f>1.2*10</f>
        <v>12</v>
      </c>
      <c r="H12" s="36"/>
      <c r="I12" s="36">
        <f>F12*G12</f>
        <v>26119.08</v>
      </c>
      <c r="J12" s="36"/>
      <c r="K12" s="36">
        <f>J12+I12</f>
        <v>26119.08</v>
      </c>
      <c r="L12" s="37"/>
      <c r="M12" s="38"/>
      <c r="N12" s="39"/>
      <c r="O12" s="40"/>
      <c r="P12" s="40"/>
      <c r="Q12" s="40"/>
    </row>
    <row r="13" spans="3:17" ht="47.25" x14ac:dyDescent="0.25">
      <c r="C13" s="33"/>
      <c r="D13" s="76" t="s">
        <v>113</v>
      </c>
      <c r="E13" s="35" t="s">
        <v>114</v>
      </c>
      <c r="F13" s="36">
        <v>963</v>
      </c>
      <c r="G13" s="36">
        <f>1.2*19</f>
        <v>22.8</v>
      </c>
      <c r="H13" s="36"/>
      <c r="I13" s="36">
        <f>F13*G13</f>
        <v>21956.400000000001</v>
      </c>
      <c r="J13" s="36"/>
      <c r="K13" s="36">
        <f>J13+I13</f>
        <v>21956.400000000001</v>
      </c>
      <c r="L13" s="37"/>
      <c r="M13" s="38"/>
      <c r="N13" s="39"/>
      <c r="O13" s="40"/>
      <c r="P13" s="40"/>
      <c r="Q13" s="40"/>
    </row>
    <row r="14" spans="3:17" ht="47.25" x14ac:dyDescent="0.25">
      <c r="C14" s="65"/>
      <c r="D14" s="66" t="s">
        <v>115</v>
      </c>
      <c r="E14" s="67"/>
      <c r="F14" s="68" t="s">
        <v>109</v>
      </c>
      <c r="G14" s="68" t="s">
        <v>110</v>
      </c>
      <c r="H14" s="68"/>
      <c r="I14" s="68">
        <f>I10</f>
        <v>139492.26</v>
      </c>
      <c r="J14" s="68">
        <f>J10</f>
        <v>0</v>
      </c>
      <c r="K14" s="68">
        <f>K10</f>
        <v>139492.26</v>
      </c>
      <c r="L14" s="69">
        <f>L10</f>
        <v>0</v>
      </c>
      <c r="M14" s="70"/>
    </row>
    <row r="15" spans="3:17" ht="8.25" customHeight="1" x14ac:dyDescent="0.25"/>
  </sheetData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4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MJ205"/>
  <sheetViews>
    <sheetView zoomScale="67" zoomScaleNormal="67" workbookViewId="0">
      <pane ySplit="8" topLeftCell="A185" activePane="bottomLeft" state="frozen"/>
      <selection pane="bottomLeft" activeCell="D199" sqref="D199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10.42578125" style="6" customWidth="1"/>
    <col min="4" max="4" width="62.42578125" style="5" customWidth="1"/>
    <col min="5" max="5" width="11.14062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3.5703125" style="7" customWidth="1"/>
    <col min="11" max="11" width="17.140625" style="7" customWidth="1"/>
    <col min="12" max="12" width="17.140625" style="8" customWidth="1"/>
    <col min="13" max="13" width="33" style="9" customWidth="1"/>
    <col min="14" max="14" width="0.85546875" style="5" customWidth="1"/>
    <col min="15" max="15" width="25.28515625" style="5" customWidth="1"/>
    <col min="16" max="16" width="19.28515625" style="5" customWidth="1"/>
    <col min="17" max="17" width="23" style="5" customWidth="1"/>
    <col min="18" max="1024" width="9.140625" style="5"/>
  </cols>
  <sheetData>
    <row r="2" spans="3:17" x14ac:dyDescent="0.25">
      <c r="C2" s="207" t="s">
        <v>0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7" x14ac:dyDescent="0.25">
      <c r="C3" s="207" t="s">
        <v>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3:17" ht="38.25" customHeight="1" x14ac:dyDescent="0.25">
      <c r="C4" s="208" t="s">
        <v>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3:17" s="5" customFormat="1" x14ac:dyDescent="0.25">
      <c r="C5" s="208"/>
      <c r="D5" s="208"/>
      <c r="E5" s="208"/>
      <c r="F5" s="208"/>
      <c r="G5" s="208"/>
      <c r="H5" s="208"/>
      <c r="I5" s="208"/>
      <c r="J5" s="208"/>
      <c r="K5" s="208"/>
      <c r="L5" s="10"/>
    </row>
    <row r="6" spans="3:17" s="6" customFormat="1" ht="18" customHeight="1" x14ac:dyDescent="0.25">
      <c r="C6" s="209" t="s">
        <v>3</v>
      </c>
      <c r="D6" s="209" t="s">
        <v>4</v>
      </c>
      <c r="E6" s="209" t="s">
        <v>5</v>
      </c>
      <c r="F6" s="210" t="s">
        <v>6</v>
      </c>
      <c r="G6" s="206" t="s">
        <v>7</v>
      </c>
      <c r="H6" s="206"/>
      <c r="I6" s="206"/>
      <c r="J6" s="206"/>
      <c r="K6" s="206"/>
      <c r="L6" s="211" t="s">
        <v>8</v>
      </c>
      <c r="M6" s="212" t="s">
        <v>9</v>
      </c>
      <c r="O6" s="205" t="s">
        <v>10</v>
      </c>
      <c r="P6" s="205"/>
      <c r="Q6" s="205"/>
    </row>
    <row r="7" spans="3:17" s="6" customFormat="1" ht="18" customHeight="1" x14ac:dyDescent="0.25">
      <c r="C7" s="209"/>
      <c r="D7" s="209"/>
      <c r="E7" s="209"/>
      <c r="F7" s="210"/>
      <c r="G7" s="206" t="s">
        <v>11</v>
      </c>
      <c r="H7" s="206"/>
      <c r="I7" s="206" t="s">
        <v>12</v>
      </c>
      <c r="J7" s="206"/>
      <c r="K7" s="206" t="s">
        <v>13</v>
      </c>
      <c r="L7" s="211"/>
      <c r="M7" s="212"/>
      <c r="O7" s="205"/>
      <c r="P7" s="205"/>
      <c r="Q7" s="205"/>
    </row>
    <row r="8" spans="3:17" s="6" customFormat="1" x14ac:dyDescent="0.25">
      <c r="C8" s="209"/>
      <c r="D8" s="209"/>
      <c r="E8" s="209"/>
      <c r="F8" s="210"/>
      <c r="G8" s="2" t="s">
        <v>14</v>
      </c>
      <c r="H8" s="2" t="s">
        <v>15</v>
      </c>
      <c r="I8" s="2" t="s">
        <v>14</v>
      </c>
      <c r="J8" s="2" t="s">
        <v>15</v>
      </c>
      <c r="K8" s="206"/>
      <c r="L8" s="211"/>
      <c r="M8" s="212"/>
      <c r="O8" s="205"/>
      <c r="P8" s="205"/>
      <c r="Q8" s="205"/>
    </row>
    <row r="9" spans="3:17" s="11" customFormat="1" x14ac:dyDescent="0.25">
      <c r="C9" s="12">
        <v>1</v>
      </c>
      <c r="D9" s="12">
        <v>2</v>
      </c>
      <c r="E9" s="12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4">
        <v>9</v>
      </c>
      <c r="L9" s="15">
        <v>10</v>
      </c>
      <c r="M9" s="16">
        <v>11</v>
      </c>
      <c r="O9" s="17"/>
      <c r="P9" s="17"/>
      <c r="Q9" s="17"/>
    </row>
    <row r="10" spans="3:17" s="6" customFormat="1" x14ac:dyDescent="0.25">
      <c r="C10" s="18" t="s">
        <v>18</v>
      </c>
      <c r="D10" s="19" t="s">
        <v>122</v>
      </c>
      <c r="E10" s="20"/>
      <c r="F10" s="21" t="s">
        <v>17</v>
      </c>
      <c r="G10" s="21"/>
      <c r="H10" s="21"/>
      <c r="I10" s="21"/>
      <c r="J10" s="21"/>
      <c r="K10" s="21"/>
      <c r="L10" s="22"/>
      <c r="M10" s="23"/>
      <c r="O10" s="24"/>
      <c r="P10" s="25"/>
      <c r="Q10" s="26"/>
    </row>
    <row r="11" spans="3:17" s="6" customFormat="1" x14ac:dyDescent="0.25">
      <c r="C11" s="27" t="s">
        <v>20</v>
      </c>
      <c r="D11" s="28" t="s">
        <v>123</v>
      </c>
      <c r="E11" s="63"/>
      <c r="F11" s="31"/>
      <c r="G11" s="31"/>
      <c r="H11" s="31"/>
      <c r="I11" s="31">
        <f>SUM(I12:I58)</f>
        <v>84776.449620800006</v>
      </c>
      <c r="J11" s="31">
        <f>J13+J21+J24+J31+J38+J44+J47+J57</f>
        <v>150730.32737997899</v>
      </c>
      <c r="K11" s="31">
        <f>SUM(K12:K58)</f>
        <v>235506.77700077899</v>
      </c>
      <c r="L11" s="32">
        <f>SUM(L12:L58)</f>
        <v>48476.449620799998</v>
      </c>
      <c r="M11" s="64"/>
      <c r="O11" s="24"/>
      <c r="P11" s="25"/>
      <c r="Q11" s="26"/>
    </row>
    <row r="12" spans="3:17" s="39" customFormat="1" ht="15.75" x14ac:dyDescent="0.25">
      <c r="C12" s="33" t="s">
        <v>124</v>
      </c>
      <c r="D12" s="34" t="s">
        <v>125</v>
      </c>
      <c r="E12" s="35" t="s">
        <v>126</v>
      </c>
      <c r="F12" s="36">
        <f>15.4/(0.5*0.5*0.7)</f>
        <v>88.000000000000014</v>
      </c>
      <c r="G12" s="36">
        <v>20</v>
      </c>
      <c r="H12" s="36"/>
      <c r="I12" s="36">
        <f>G12*F12</f>
        <v>1760.0000000000002</v>
      </c>
      <c r="J12" s="36"/>
      <c r="K12" s="36">
        <f>J12+I12</f>
        <v>1760.0000000000002</v>
      </c>
      <c r="L12" s="37">
        <f>I12</f>
        <v>1760.0000000000002</v>
      </c>
      <c r="M12" s="38"/>
      <c r="O12" s="40"/>
      <c r="P12" s="40"/>
      <c r="Q12" s="40"/>
    </row>
    <row r="13" spans="3:17" s="39" customFormat="1" ht="15.75" x14ac:dyDescent="0.25">
      <c r="C13" s="33" t="s">
        <v>127</v>
      </c>
      <c r="D13" s="34" t="s">
        <v>128</v>
      </c>
      <c r="E13" s="35" t="s">
        <v>54</v>
      </c>
      <c r="F13" s="36">
        <f>(F16*0.00217)+(F17*0.0109)</f>
        <v>0.58650000000000002</v>
      </c>
      <c r="G13" s="36">
        <v>7000</v>
      </c>
      <c r="H13" s="36"/>
      <c r="I13" s="36">
        <f>G13*F13</f>
        <v>4105.5</v>
      </c>
      <c r="J13" s="36">
        <f>SUM(J16:J20)</f>
        <v>11094.969175077946</v>
      </c>
      <c r="K13" s="36">
        <f>J13+I13</f>
        <v>15200.469175077946</v>
      </c>
      <c r="L13" s="37">
        <f>I13</f>
        <v>4105.5</v>
      </c>
      <c r="M13" s="38"/>
      <c r="O13" s="40"/>
      <c r="P13" s="40"/>
      <c r="Q13" s="40"/>
    </row>
    <row r="14" spans="3:17" s="39" customFormat="1" ht="15.75" x14ac:dyDescent="0.25">
      <c r="C14" s="33" t="s">
        <v>129</v>
      </c>
      <c r="D14" s="34" t="s">
        <v>130</v>
      </c>
      <c r="E14" s="35" t="s">
        <v>131</v>
      </c>
      <c r="F14" s="36">
        <f>F18/0.1</f>
        <v>35.401440000000001</v>
      </c>
      <c r="G14" s="36">
        <v>8</v>
      </c>
      <c r="H14" s="36"/>
      <c r="I14" s="36">
        <f>G14*F14</f>
        <v>283.21152000000001</v>
      </c>
      <c r="J14" s="36"/>
      <c r="K14" s="36">
        <f>J14+I14</f>
        <v>283.21152000000001</v>
      </c>
      <c r="L14" s="37">
        <f>I14</f>
        <v>283.21152000000001</v>
      </c>
      <c r="M14" s="38"/>
      <c r="O14" s="40"/>
      <c r="P14" s="40"/>
      <c r="Q14" s="40"/>
    </row>
    <row r="15" spans="3:17" s="39" customFormat="1" ht="15.75" x14ac:dyDescent="0.25">
      <c r="C15" s="33" t="s">
        <v>132</v>
      </c>
      <c r="D15" s="34" t="s">
        <v>133</v>
      </c>
      <c r="E15" s="35" t="s">
        <v>131</v>
      </c>
      <c r="F15" s="36">
        <f>F19/0.19</f>
        <v>35.401440000000001</v>
      </c>
      <c r="G15" s="36">
        <v>10</v>
      </c>
      <c r="H15" s="36"/>
      <c r="I15" s="36">
        <f>G15*F15</f>
        <v>354.01440000000002</v>
      </c>
      <c r="J15" s="36"/>
      <c r="K15" s="36">
        <f>J15+I15</f>
        <v>354.01440000000002</v>
      </c>
      <c r="L15" s="37">
        <f>I15</f>
        <v>354.01440000000002</v>
      </c>
      <c r="M15" s="38"/>
      <c r="O15" s="40"/>
      <c r="P15" s="40"/>
      <c r="Q15" s="40"/>
    </row>
    <row r="16" spans="3:17" ht="31.5" x14ac:dyDescent="0.25">
      <c r="C16" s="41"/>
      <c r="D16" s="42" t="s">
        <v>134</v>
      </c>
      <c r="E16" s="38" t="s">
        <v>38</v>
      </c>
      <c r="F16" s="43">
        <v>210</v>
      </c>
      <c r="G16" s="44"/>
      <c r="H16" s="43">
        <f>(31002.3+569.7+250)/813</f>
        <v>39.141451414514144</v>
      </c>
      <c r="I16" s="43"/>
      <c r="J16" s="43">
        <f>H16*F16</f>
        <v>8219.7047970479707</v>
      </c>
      <c r="K16" s="45"/>
      <c r="L16" s="46"/>
      <c r="M16" s="38"/>
      <c r="N16" s="47"/>
      <c r="O16" s="48"/>
      <c r="P16" s="48"/>
      <c r="Q16" s="48"/>
    </row>
    <row r="17" spans="3:17" ht="31.5" x14ac:dyDescent="0.25">
      <c r="C17" s="41"/>
      <c r="D17" s="42" t="s">
        <v>135</v>
      </c>
      <c r="E17" s="38" t="s">
        <v>38</v>
      </c>
      <c r="F17" s="43">
        <v>12</v>
      </c>
      <c r="G17" s="44"/>
      <c r="H17" s="43">
        <f>(7303.2+250+58.32)/36</f>
        <v>211.43111111111111</v>
      </c>
      <c r="I17" s="43"/>
      <c r="J17" s="43">
        <f>H17*F17</f>
        <v>2537.1733333333332</v>
      </c>
      <c r="K17" s="45"/>
      <c r="L17" s="46"/>
      <c r="M17" s="38"/>
      <c r="N17" s="47"/>
      <c r="O17" s="48"/>
      <c r="P17" s="48"/>
      <c r="Q17" s="48"/>
    </row>
    <row r="18" spans="3:17" x14ac:dyDescent="0.25">
      <c r="C18" s="41"/>
      <c r="D18" s="42" t="s">
        <v>136</v>
      </c>
      <c r="E18" s="38" t="s">
        <v>137</v>
      </c>
      <c r="F18" s="43">
        <f>0.1*((F16*0.00217*65.2)+(F17*0.0109*43.5))</f>
        <v>3.5401440000000002</v>
      </c>
      <c r="G18" s="44"/>
      <c r="H18" s="43">
        <f>(61.28*1.2)/2.8</f>
        <v>26.262857142857143</v>
      </c>
      <c r="I18" s="43"/>
      <c r="J18" s="43">
        <f>H18*F18</f>
        <v>92.974296137142858</v>
      </c>
      <c r="K18" s="45"/>
      <c r="L18" s="46"/>
      <c r="M18" s="38"/>
      <c r="N18" s="47"/>
      <c r="O18" s="48"/>
      <c r="P18" s="48"/>
      <c r="Q18" s="48"/>
    </row>
    <row r="19" spans="3:17" x14ac:dyDescent="0.25">
      <c r="C19" s="41"/>
      <c r="D19" s="42" t="s">
        <v>138</v>
      </c>
      <c r="E19" s="38" t="s">
        <v>137</v>
      </c>
      <c r="F19" s="43">
        <f>0.19*((F16*0.00217*65.2)+(F17*0.0109*43.5))</f>
        <v>6.7262735999999999</v>
      </c>
      <c r="G19" s="44"/>
      <c r="H19" s="43">
        <f>(79.46*1.2)/2.8</f>
        <v>34.054285714285712</v>
      </c>
      <c r="I19" s="43"/>
      <c r="J19" s="43">
        <f>H19*F19</f>
        <v>229.05844296685711</v>
      </c>
      <c r="K19" s="45"/>
      <c r="L19" s="46"/>
      <c r="M19" s="38"/>
      <c r="N19" s="47"/>
      <c r="O19" s="48"/>
      <c r="P19" s="48"/>
      <c r="Q19" s="48"/>
    </row>
    <row r="20" spans="3:17" x14ac:dyDescent="0.25">
      <c r="C20" s="77"/>
      <c r="D20" s="78" t="s">
        <v>139</v>
      </c>
      <c r="E20" s="79" t="s">
        <v>137</v>
      </c>
      <c r="F20" s="80">
        <f>F19/10</f>
        <v>0.67262736000000001</v>
      </c>
      <c r="G20" s="81"/>
      <c r="H20" s="80">
        <f>(79.58*1.2)/4</f>
        <v>23.873999999999999</v>
      </c>
      <c r="I20" s="80"/>
      <c r="J20" s="80">
        <f>H20*F20</f>
        <v>16.05830559264</v>
      </c>
      <c r="K20" s="82"/>
      <c r="L20" s="83"/>
      <c r="M20" s="79" t="s">
        <v>140</v>
      </c>
      <c r="N20" s="47"/>
      <c r="O20" s="48"/>
      <c r="P20" s="48"/>
      <c r="Q20" s="48"/>
    </row>
    <row r="21" spans="3:17" s="39" customFormat="1" ht="15.75" x14ac:dyDescent="0.25">
      <c r="C21" s="33" t="s">
        <v>141</v>
      </c>
      <c r="D21" s="34" t="s">
        <v>142</v>
      </c>
      <c r="E21" s="35" t="s">
        <v>64</v>
      </c>
      <c r="F21" s="36">
        <f>15.4/(0.5*0.5*0.7)</f>
        <v>88.000000000000014</v>
      </c>
      <c r="G21" s="36">
        <v>25</v>
      </c>
      <c r="H21" s="36"/>
      <c r="I21" s="36">
        <f>G21*F21</f>
        <v>2200.0000000000005</v>
      </c>
      <c r="J21" s="36">
        <f>SUM(J23)</f>
        <v>13733.064575999997</v>
      </c>
      <c r="K21" s="36">
        <f>J21+I21</f>
        <v>15933.064575999997</v>
      </c>
      <c r="L21" s="37">
        <f>I21</f>
        <v>2200.0000000000005</v>
      </c>
      <c r="M21" s="38"/>
      <c r="O21" s="40"/>
      <c r="P21" s="40"/>
      <c r="Q21" s="40"/>
    </row>
    <row r="22" spans="3:17" s="39" customFormat="1" ht="51" customHeight="1" x14ac:dyDescent="0.25">
      <c r="C22" s="84" t="s">
        <v>143</v>
      </c>
      <c r="D22" s="76" t="s">
        <v>144</v>
      </c>
      <c r="E22" s="85" t="s">
        <v>95</v>
      </c>
      <c r="F22" s="86">
        <v>12</v>
      </c>
      <c r="G22" s="86"/>
      <c r="H22" s="86"/>
      <c r="I22" s="86"/>
      <c r="J22" s="86"/>
      <c r="K22" s="86"/>
      <c r="L22" s="87"/>
      <c r="M22" s="79" t="s">
        <v>145</v>
      </c>
      <c r="O22" s="40"/>
      <c r="P22" s="40"/>
      <c r="Q22" s="40"/>
    </row>
    <row r="23" spans="3:17" ht="31.5" x14ac:dyDescent="0.25">
      <c r="C23" s="41"/>
      <c r="D23" s="42" t="s">
        <v>146</v>
      </c>
      <c r="E23" s="38" t="s">
        <v>19</v>
      </c>
      <c r="F23" s="43">
        <f>1.02*(88*(0.5*0.5*0.7))</f>
        <v>15.707999999999998</v>
      </c>
      <c r="G23" s="44"/>
      <c r="H23" s="43">
        <f>43713.6/50</f>
        <v>874.27199999999993</v>
      </c>
      <c r="I23" s="43"/>
      <c r="J23" s="43">
        <f>H23*F23</f>
        <v>13733.064575999997</v>
      </c>
      <c r="K23" s="45"/>
      <c r="L23" s="46"/>
      <c r="M23" s="38"/>
      <c r="N23" s="47"/>
      <c r="O23" s="48"/>
      <c r="P23" s="48"/>
      <c r="Q23" s="48"/>
    </row>
    <row r="24" spans="3:17" s="39" customFormat="1" ht="15.75" x14ac:dyDescent="0.25">
      <c r="C24" s="33" t="s">
        <v>147</v>
      </c>
      <c r="D24" s="34" t="s">
        <v>148</v>
      </c>
      <c r="E24" s="35" t="s">
        <v>54</v>
      </c>
      <c r="F24" s="36">
        <f>F27*0.0017</f>
        <v>0.71399999999999997</v>
      </c>
      <c r="G24" s="36">
        <v>7000</v>
      </c>
      <c r="H24" s="36"/>
      <c r="I24" s="36">
        <f>G24*F24</f>
        <v>4998</v>
      </c>
      <c r="J24" s="36">
        <f>SUM(J27:J30)</f>
        <v>13391.082099107571</v>
      </c>
      <c r="K24" s="36">
        <f>J24+I24</f>
        <v>18389.082099107571</v>
      </c>
      <c r="L24" s="37">
        <f>I24</f>
        <v>4998</v>
      </c>
      <c r="M24" s="38"/>
      <c r="O24" s="40"/>
      <c r="P24" s="40"/>
      <c r="Q24" s="40"/>
    </row>
    <row r="25" spans="3:17" s="39" customFormat="1" ht="15.75" x14ac:dyDescent="0.25">
      <c r="C25" s="33" t="s">
        <v>149</v>
      </c>
      <c r="D25" s="34" t="s">
        <v>130</v>
      </c>
      <c r="E25" s="35" t="s">
        <v>131</v>
      </c>
      <c r="F25" s="36">
        <f>F28/0.1</f>
        <v>46.552799999999998</v>
      </c>
      <c r="G25" s="36">
        <v>8</v>
      </c>
      <c r="H25" s="36"/>
      <c r="I25" s="36">
        <f>G25*F25</f>
        <v>372.42239999999998</v>
      </c>
      <c r="J25" s="36"/>
      <c r="K25" s="36">
        <f>J25+I25</f>
        <v>372.42239999999998</v>
      </c>
      <c r="L25" s="37">
        <f>I25</f>
        <v>372.42239999999998</v>
      </c>
      <c r="M25" s="38"/>
      <c r="O25" s="40"/>
      <c r="P25" s="40"/>
      <c r="Q25" s="40"/>
    </row>
    <row r="26" spans="3:17" s="39" customFormat="1" ht="15.75" x14ac:dyDescent="0.25">
      <c r="C26" s="33" t="s">
        <v>150</v>
      </c>
      <c r="D26" s="34" t="s">
        <v>133</v>
      </c>
      <c r="E26" s="35" t="s">
        <v>131</v>
      </c>
      <c r="F26" s="36">
        <f>F29/0.19</f>
        <v>46.552799999999998</v>
      </c>
      <c r="G26" s="36">
        <v>10</v>
      </c>
      <c r="H26" s="36"/>
      <c r="I26" s="36">
        <f>G26*F26</f>
        <v>465.52799999999996</v>
      </c>
      <c r="J26" s="36"/>
      <c r="K26" s="36">
        <f>J26+I26</f>
        <v>465.52799999999996</v>
      </c>
      <c r="L26" s="37">
        <f>I26</f>
        <v>465.52799999999996</v>
      </c>
      <c r="M26" s="38"/>
      <c r="O26" s="40"/>
      <c r="P26" s="40"/>
      <c r="Q26" s="40"/>
    </row>
    <row r="27" spans="3:17" ht="31.5" x14ac:dyDescent="0.25">
      <c r="C27" s="41"/>
      <c r="D27" s="42" t="s">
        <v>151</v>
      </c>
      <c r="E27" s="38" t="s">
        <v>38</v>
      </c>
      <c r="F27" s="43">
        <f>420</f>
        <v>420</v>
      </c>
      <c r="G27" s="44"/>
      <c r="H27" s="43">
        <f>(37395.9+250+823.68)/1248</f>
        <v>30.824983974358975</v>
      </c>
      <c r="I27" s="43"/>
      <c r="J27" s="43">
        <f>H27*F27</f>
        <v>12946.49326923077</v>
      </c>
      <c r="K27" s="45"/>
      <c r="L27" s="46"/>
      <c r="M27" s="38"/>
      <c r="N27" s="47"/>
      <c r="O27" s="48"/>
      <c r="P27" s="48"/>
      <c r="Q27" s="48"/>
    </row>
    <row r="28" spans="3:17" x14ac:dyDescent="0.25">
      <c r="C28" s="41"/>
      <c r="D28" s="42" t="s">
        <v>136</v>
      </c>
      <c r="E28" s="38" t="s">
        <v>137</v>
      </c>
      <c r="F28" s="43">
        <f>0.1*(0.0017*F27*65.2)</f>
        <v>4.6552800000000003</v>
      </c>
      <c r="G28" s="44"/>
      <c r="H28" s="43">
        <f>(61.28*1.2)/2.8</f>
        <v>26.262857142857143</v>
      </c>
      <c r="I28" s="43"/>
      <c r="J28" s="43">
        <f>H28*F28</f>
        <v>122.26095360000001</v>
      </c>
      <c r="K28" s="45"/>
      <c r="L28" s="46"/>
      <c r="M28" s="38"/>
      <c r="N28" s="47"/>
      <c r="O28" s="48"/>
      <c r="P28" s="48"/>
      <c r="Q28" s="48"/>
    </row>
    <row r="29" spans="3:17" x14ac:dyDescent="0.25">
      <c r="C29" s="41"/>
      <c r="D29" s="42" t="s">
        <v>138</v>
      </c>
      <c r="E29" s="38" t="s">
        <v>137</v>
      </c>
      <c r="F29" s="43">
        <f>0.19*(0.0017*F27*65.2)</f>
        <v>8.8450319999999998</v>
      </c>
      <c r="G29" s="44"/>
      <c r="H29" s="43">
        <f>(79.46*1.2)/2.8</f>
        <v>34.054285714285712</v>
      </c>
      <c r="I29" s="43"/>
      <c r="J29" s="43">
        <f>H29*F29</f>
        <v>301.21124687999998</v>
      </c>
      <c r="K29" s="45"/>
      <c r="L29" s="46"/>
      <c r="M29" s="38"/>
      <c r="N29" s="47"/>
      <c r="O29" s="48"/>
      <c r="P29" s="48"/>
      <c r="Q29" s="48"/>
    </row>
    <row r="30" spans="3:17" x14ac:dyDescent="0.25">
      <c r="C30" s="77"/>
      <c r="D30" s="78" t="s">
        <v>139</v>
      </c>
      <c r="E30" s="79" t="s">
        <v>137</v>
      </c>
      <c r="F30" s="80">
        <f>F29/10</f>
        <v>0.88450319999999993</v>
      </c>
      <c r="G30" s="81"/>
      <c r="H30" s="80">
        <f>(79.58*1.2)/4</f>
        <v>23.873999999999999</v>
      </c>
      <c r="I30" s="80"/>
      <c r="J30" s="80">
        <f>H30*F30</f>
        <v>21.116629396799997</v>
      </c>
      <c r="K30" s="82"/>
      <c r="L30" s="83"/>
      <c r="M30" s="79" t="s">
        <v>140</v>
      </c>
      <c r="N30" s="47"/>
      <c r="O30" s="48"/>
      <c r="P30" s="48"/>
      <c r="Q30" s="48"/>
    </row>
    <row r="31" spans="3:17" s="39" customFormat="1" ht="15.75" x14ac:dyDescent="0.25">
      <c r="C31" s="33" t="s">
        <v>152</v>
      </c>
      <c r="D31" s="34" t="s">
        <v>153</v>
      </c>
      <c r="E31" s="35" t="s">
        <v>54</v>
      </c>
      <c r="F31" s="36">
        <f>F34*0.00217</f>
        <v>9.4177999999999998E-2</v>
      </c>
      <c r="G31" s="36">
        <v>7000</v>
      </c>
      <c r="H31" s="36"/>
      <c r="I31" s="36">
        <f>G31*F31</f>
        <v>659.24599999999998</v>
      </c>
      <c r="J31" s="36">
        <f>SUM(J34:J37)</f>
        <v>1757.3811297934674</v>
      </c>
      <c r="K31" s="36">
        <f>J31+I31</f>
        <v>2416.6271297934672</v>
      </c>
      <c r="L31" s="37">
        <f>I31</f>
        <v>659.24599999999998</v>
      </c>
      <c r="M31" s="38"/>
      <c r="O31" s="40"/>
      <c r="P31" s="40"/>
      <c r="Q31" s="40"/>
    </row>
    <row r="32" spans="3:17" s="39" customFormat="1" ht="15.75" x14ac:dyDescent="0.25">
      <c r="C32" s="33" t="s">
        <v>154</v>
      </c>
      <c r="D32" s="34" t="s">
        <v>130</v>
      </c>
      <c r="E32" s="35" t="s">
        <v>131</v>
      </c>
      <c r="F32" s="36">
        <f>F35/0.1</f>
        <v>6.1404055999999994</v>
      </c>
      <c r="G32" s="36">
        <v>8</v>
      </c>
      <c r="H32" s="36"/>
      <c r="I32" s="36">
        <f>G32*F32</f>
        <v>49.123244799999995</v>
      </c>
      <c r="J32" s="36"/>
      <c r="K32" s="36">
        <f>J32+I32</f>
        <v>49.123244799999995</v>
      </c>
      <c r="L32" s="37">
        <f>I32</f>
        <v>49.123244799999995</v>
      </c>
      <c r="M32" s="38"/>
      <c r="O32" s="40"/>
      <c r="P32" s="40"/>
      <c r="Q32" s="40"/>
    </row>
    <row r="33" spans="3:17" s="39" customFormat="1" ht="15.75" x14ac:dyDescent="0.25">
      <c r="C33" s="33" t="s">
        <v>155</v>
      </c>
      <c r="D33" s="34" t="s">
        <v>133</v>
      </c>
      <c r="E33" s="35" t="s">
        <v>131</v>
      </c>
      <c r="F33" s="36">
        <f>F36/0.19</f>
        <v>6.1404055999999994</v>
      </c>
      <c r="G33" s="36">
        <v>10</v>
      </c>
      <c r="H33" s="36"/>
      <c r="I33" s="36">
        <f>G33*F33</f>
        <v>61.404055999999997</v>
      </c>
      <c r="J33" s="36"/>
      <c r="K33" s="36">
        <f>J33+I33</f>
        <v>61.404055999999997</v>
      </c>
      <c r="L33" s="37">
        <f>I33</f>
        <v>61.404055999999997</v>
      </c>
      <c r="M33" s="38"/>
      <c r="O33" s="40"/>
      <c r="P33" s="40"/>
      <c r="Q33" s="40"/>
    </row>
    <row r="34" spans="3:17" ht="31.5" x14ac:dyDescent="0.25">
      <c r="C34" s="41"/>
      <c r="D34" s="42" t="s">
        <v>134</v>
      </c>
      <c r="E34" s="38" t="s">
        <v>38</v>
      </c>
      <c r="F34" s="43">
        <v>43.4</v>
      </c>
      <c r="G34" s="44"/>
      <c r="H34" s="43">
        <f>(31002.3+569.7+250)/813</f>
        <v>39.141451414514144</v>
      </c>
      <c r="I34" s="43"/>
      <c r="J34" s="43">
        <f>H34*F34</f>
        <v>1698.7389913899137</v>
      </c>
      <c r="K34" s="45"/>
      <c r="L34" s="46"/>
      <c r="M34" s="38"/>
      <c r="N34" s="47"/>
      <c r="O34" s="48"/>
      <c r="P34" s="48"/>
      <c r="Q34" s="48"/>
    </row>
    <row r="35" spans="3:17" x14ac:dyDescent="0.25">
      <c r="C35" s="41"/>
      <c r="D35" s="42" t="s">
        <v>136</v>
      </c>
      <c r="E35" s="38" t="s">
        <v>137</v>
      </c>
      <c r="F35" s="43">
        <f>0.1*(0.00217*65.2*F34)</f>
        <v>0.61404055999999996</v>
      </c>
      <c r="G35" s="44"/>
      <c r="H35" s="43">
        <f>(61.28*1.2)/2.8</f>
        <v>26.262857142857143</v>
      </c>
      <c r="I35" s="43"/>
      <c r="J35" s="43">
        <f>H35*F35</f>
        <v>16.1264595072</v>
      </c>
      <c r="K35" s="45"/>
      <c r="L35" s="46"/>
      <c r="M35" s="38"/>
      <c r="N35" s="47"/>
      <c r="O35" s="48"/>
      <c r="P35" s="48"/>
      <c r="Q35" s="48"/>
    </row>
    <row r="36" spans="3:17" x14ac:dyDescent="0.25">
      <c r="C36" s="41"/>
      <c r="D36" s="42" t="s">
        <v>138</v>
      </c>
      <c r="E36" s="38" t="s">
        <v>137</v>
      </c>
      <c r="F36" s="43">
        <f>0.19*(0.00217*65.2*F34)</f>
        <v>1.1666770639999999</v>
      </c>
      <c r="G36" s="44"/>
      <c r="H36" s="43">
        <f>(79.46*1.2)/2.8</f>
        <v>34.054285714285712</v>
      </c>
      <c r="I36" s="43"/>
      <c r="J36" s="43">
        <f>H36*F36</f>
        <v>39.730354073759997</v>
      </c>
      <c r="K36" s="45"/>
      <c r="L36" s="46"/>
      <c r="M36" s="38"/>
      <c r="N36" s="47"/>
      <c r="O36" s="48"/>
      <c r="P36" s="48"/>
      <c r="Q36" s="48"/>
    </row>
    <row r="37" spans="3:17" x14ac:dyDescent="0.25">
      <c r="C37" s="77"/>
      <c r="D37" s="78" t="s">
        <v>139</v>
      </c>
      <c r="E37" s="79" t="s">
        <v>137</v>
      </c>
      <c r="F37" s="80">
        <f>F36/10</f>
        <v>0.11666770639999999</v>
      </c>
      <c r="G37" s="81"/>
      <c r="H37" s="80">
        <f>(79.58*1.2)/4</f>
        <v>23.873999999999999</v>
      </c>
      <c r="I37" s="80"/>
      <c r="J37" s="80">
        <f>H37*F37</f>
        <v>2.7853248225935996</v>
      </c>
      <c r="K37" s="82"/>
      <c r="L37" s="83"/>
      <c r="M37" s="79" t="s">
        <v>140</v>
      </c>
      <c r="N37" s="47"/>
      <c r="O37" s="48"/>
      <c r="P37" s="48"/>
      <c r="Q37" s="48"/>
    </row>
    <row r="38" spans="3:17" s="39" customFormat="1" ht="15.75" x14ac:dyDescent="0.25">
      <c r="C38" s="33" t="s">
        <v>156</v>
      </c>
      <c r="D38" s="34" t="s">
        <v>157</v>
      </c>
      <c r="E38" s="35" t="s">
        <v>114</v>
      </c>
      <c r="F38" s="36">
        <v>14</v>
      </c>
      <c r="G38" s="36">
        <v>12</v>
      </c>
      <c r="H38" s="36"/>
      <c r="I38" s="36">
        <f>G38*F38</f>
        <v>168</v>
      </c>
      <c r="J38" s="36">
        <f>SUM(J39:J43)</f>
        <v>3449.6784000000007</v>
      </c>
      <c r="K38" s="36">
        <f>J38+I38</f>
        <v>3617.6784000000007</v>
      </c>
      <c r="L38" s="37">
        <f>I38</f>
        <v>168</v>
      </c>
      <c r="M38" s="38"/>
      <c r="O38" s="40"/>
      <c r="P38" s="40"/>
      <c r="Q38" s="40"/>
    </row>
    <row r="39" spans="3:17" x14ac:dyDescent="0.25">
      <c r="C39" s="41"/>
      <c r="D39" s="42" t="s">
        <v>158</v>
      </c>
      <c r="E39" s="38" t="s">
        <v>114</v>
      </c>
      <c r="F39" s="43">
        <f>1.1*F38</f>
        <v>15.400000000000002</v>
      </c>
      <c r="G39" s="44"/>
      <c r="H39" s="43">
        <f>155.83*1.2</f>
        <v>186.99600000000001</v>
      </c>
      <c r="I39" s="43"/>
      <c r="J39" s="43">
        <f>H39*F39</f>
        <v>2879.7384000000006</v>
      </c>
      <c r="K39" s="45"/>
      <c r="L39" s="46"/>
      <c r="M39" s="38"/>
      <c r="N39" s="47"/>
      <c r="O39" s="48"/>
      <c r="P39" s="48"/>
      <c r="Q39" s="48"/>
    </row>
    <row r="40" spans="3:17" x14ac:dyDescent="0.25">
      <c r="C40" s="41"/>
      <c r="D40" s="42" t="s">
        <v>159</v>
      </c>
      <c r="E40" s="38" t="s">
        <v>64</v>
      </c>
      <c r="F40" s="43">
        <f>6*F38</f>
        <v>84</v>
      </c>
      <c r="G40" s="44"/>
      <c r="H40" s="43">
        <f>0.5*1.2</f>
        <v>0.6</v>
      </c>
      <c r="I40" s="43"/>
      <c r="J40" s="43">
        <f>H40*F40</f>
        <v>50.4</v>
      </c>
      <c r="K40" s="45"/>
      <c r="L40" s="46"/>
      <c r="M40" s="38"/>
      <c r="N40" s="47"/>
      <c r="O40" s="48"/>
      <c r="P40" s="48"/>
      <c r="Q40" s="48"/>
    </row>
    <row r="41" spans="3:17" x14ac:dyDescent="0.25">
      <c r="C41" s="41"/>
      <c r="D41" s="42" t="s">
        <v>160</v>
      </c>
      <c r="E41" s="38" t="s">
        <v>161</v>
      </c>
      <c r="F41" s="43">
        <v>3</v>
      </c>
      <c r="G41" s="44"/>
      <c r="H41" s="43">
        <f>57.75</f>
        <v>57.75</v>
      </c>
      <c r="I41" s="43"/>
      <c r="J41" s="43">
        <f>H41*F41</f>
        <v>173.25</v>
      </c>
      <c r="K41" s="45"/>
      <c r="L41" s="46"/>
      <c r="M41" s="38"/>
      <c r="N41" s="47"/>
      <c r="O41" s="48"/>
      <c r="P41" s="48"/>
      <c r="Q41" s="48"/>
    </row>
    <row r="42" spans="3:17" x14ac:dyDescent="0.25">
      <c r="C42" s="41"/>
      <c r="D42" s="42" t="s">
        <v>162</v>
      </c>
      <c r="E42" s="38" t="s">
        <v>64</v>
      </c>
      <c r="F42" s="43">
        <v>1</v>
      </c>
      <c r="G42" s="44"/>
      <c r="H42" s="43">
        <v>243.72</v>
      </c>
      <c r="I42" s="43"/>
      <c r="J42" s="43">
        <f>H42*F42</f>
        <v>243.72</v>
      </c>
      <c r="K42" s="45"/>
      <c r="L42" s="46"/>
      <c r="M42" s="38"/>
      <c r="N42" s="47"/>
      <c r="O42" s="48"/>
      <c r="P42" s="48"/>
      <c r="Q42" s="48"/>
    </row>
    <row r="43" spans="3:17" x14ac:dyDescent="0.25">
      <c r="C43" s="41"/>
      <c r="D43" s="42" t="s">
        <v>163</v>
      </c>
      <c r="E43" s="38" t="s">
        <v>64</v>
      </c>
      <c r="F43" s="43">
        <v>1</v>
      </c>
      <c r="G43" s="44"/>
      <c r="H43" s="43">
        <v>102.57</v>
      </c>
      <c r="I43" s="43"/>
      <c r="J43" s="43">
        <f>H43*F43</f>
        <v>102.57</v>
      </c>
      <c r="K43" s="45"/>
      <c r="L43" s="46"/>
      <c r="M43" s="38"/>
      <c r="N43" s="47"/>
      <c r="O43" s="48"/>
      <c r="P43" s="48"/>
      <c r="Q43" s="48"/>
    </row>
    <row r="44" spans="3:17" s="39" customFormat="1" ht="32.25" customHeight="1" x14ac:dyDescent="0.25">
      <c r="C44" s="33" t="s">
        <v>164</v>
      </c>
      <c r="D44" s="34" t="s">
        <v>165</v>
      </c>
      <c r="E44" s="35" t="s">
        <v>114</v>
      </c>
      <c r="F44" s="36">
        <v>420</v>
      </c>
      <c r="G44" s="36">
        <v>12</v>
      </c>
      <c r="H44" s="36"/>
      <c r="I44" s="36">
        <f>G44*F44</f>
        <v>5040</v>
      </c>
      <c r="J44" s="36">
        <f>SUM(J45:J46)</f>
        <v>87904.152000000016</v>
      </c>
      <c r="K44" s="36">
        <f>J44+I44</f>
        <v>92944.152000000016</v>
      </c>
      <c r="L44" s="37">
        <f>I44</f>
        <v>5040</v>
      </c>
      <c r="M44" s="38"/>
      <c r="O44" s="40"/>
      <c r="P44" s="40"/>
      <c r="Q44" s="40"/>
    </row>
    <row r="45" spans="3:17" x14ac:dyDescent="0.25">
      <c r="C45" s="41"/>
      <c r="D45" s="42" t="s">
        <v>158</v>
      </c>
      <c r="E45" s="38" t="s">
        <v>114</v>
      </c>
      <c r="F45" s="43">
        <f>1.1*F44</f>
        <v>462.00000000000006</v>
      </c>
      <c r="G45" s="44"/>
      <c r="H45" s="43">
        <f>155.83*1.2</f>
        <v>186.99600000000001</v>
      </c>
      <c r="I45" s="43"/>
      <c r="J45" s="43">
        <f>H45*F45</f>
        <v>86392.152000000016</v>
      </c>
      <c r="K45" s="45"/>
      <c r="L45" s="46"/>
      <c r="M45" s="38"/>
      <c r="N45" s="47"/>
      <c r="O45" s="48"/>
      <c r="P45" s="48"/>
      <c r="Q45" s="48"/>
    </row>
    <row r="46" spans="3:17" x14ac:dyDescent="0.25">
      <c r="C46" s="41"/>
      <c r="D46" s="42" t="s">
        <v>159</v>
      </c>
      <c r="E46" s="38" t="s">
        <v>64</v>
      </c>
      <c r="F46" s="43">
        <f>6*F44</f>
        <v>2520</v>
      </c>
      <c r="G46" s="44"/>
      <c r="H46" s="43">
        <v>0.6</v>
      </c>
      <c r="I46" s="43"/>
      <c r="J46" s="43">
        <f>H46*F46</f>
        <v>1512</v>
      </c>
      <c r="K46" s="45"/>
      <c r="L46" s="46"/>
      <c r="M46" s="38"/>
      <c r="N46" s="47"/>
      <c r="O46" s="48"/>
      <c r="P46" s="48"/>
      <c r="Q46" s="48"/>
    </row>
    <row r="47" spans="3:17" s="39" customFormat="1" ht="32.25" customHeight="1" x14ac:dyDescent="0.25">
      <c r="C47" s="33" t="s">
        <v>166</v>
      </c>
      <c r="D47" s="34" t="s">
        <v>167</v>
      </c>
      <c r="E47" s="35" t="s">
        <v>114</v>
      </c>
      <c r="F47" s="36">
        <v>224</v>
      </c>
      <c r="G47" s="36">
        <v>20</v>
      </c>
      <c r="H47" s="36"/>
      <c r="I47" s="36">
        <f>G47*F47</f>
        <v>4480</v>
      </c>
      <c r="J47" s="36">
        <f>SUM(J48)</f>
        <v>3200</v>
      </c>
      <c r="K47" s="36">
        <f>J47+I47</f>
        <v>7680</v>
      </c>
      <c r="L47" s="37">
        <f>I47</f>
        <v>4480</v>
      </c>
      <c r="M47" s="38"/>
      <c r="O47" s="50"/>
      <c r="P47" s="40"/>
      <c r="Q47" s="40"/>
    </row>
    <row r="48" spans="3:17" x14ac:dyDescent="0.25">
      <c r="C48" s="41"/>
      <c r="D48" s="42" t="s">
        <v>168</v>
      </c>
      <c r="E48" s="38" t="s">
        <v>19</v>
      </c>
      <c r="F48" s="43">
        <v>20</v>
      </c>
      <c r="G48" s="44"/>
      <c r="H48" s="43">
        <v>160</v>
      </c>
      <c r="I48" s="43"/>
      <c r="J48" s="43">
        <f>H48*F48</f>
        <v>3200</v>
      </c>
      <c r="K48" s="45"/>
      <c r="L48" s="46"/>
      <c r="M48" s="38"/>
      <c r="N48" s="47"/>
      <c r="O48" s="88"/>
      <c r="P48" s="48"/>
      <c r="Q48" s="48"/>
    </row>
    <row r="49" spans="3:17" s="39" customFormat="1" ht="32.25" customHeight="1" x14ac:dyDescent="0.25">
      <c r="C49" s="89" t="s">
        <v>169</v>
      </c>
      <c r="D49" s="90" t="s">
        <v>170</v>
      </c>
      <c r="E49" s="91"/>
      <c r="F49" s="92"/>
      <c r="G49" s="92"/>
      <c r="H49" s="92"/>
      <c r="I49" s="92"/>
      <c r="J49" s="92"/>
      <c r="K49" s="92"/>
      <c r="L49" s="93"/>
      <c r="M49" s="94"/>
      <c r="O49" s="50"/>
      <c r="P49" s="40"/>
      <c r="Q49" s="40"/>
    </row>
    <row r="50" spans="3:17" s="39" customFormat="1" ht="47.25" x14ac:dyDescent="0.25">
      <c r="C50" s="89"/>
      <c r="D50" s="90" t="s">
        <v>171</v>
      </c>
      <c r="E50" s="91" t="s">
        <v>57</v>
      </c>
      <c r="F50" s="92">
        <v>4</v>
      </c>
      <c r="G50" s="92">
        <v>900</v>
      </c>
      <c r="H50" s="92"/>
      <c r="I50" s="92">
        <f>G50*F50</f>
        <v>3600</v>
      </c>
      <c r="J50" s="92"/>
      <c r="K50" s="92">
        <f>J50+I50</f>
        <v>3600</v>
      </c>
      <c r="L50" s="93"/>
      <c r="M50" s="94" t="s">
        <v>172</v>
      </c>
      <c r="O50" s="50" t="s">
        <v>173</v>
      </c>
      <c r="P50" s="40"/>
      <c r="Q50" s="40"/>
    </row>
    <row r="51" spans="3:17" s="39" customFormat="1" ht="32.25" customHeight="1" x14ac:dyDescent="0.25">
      <c r="C51" s="89"/>
      <c r="D51" s="90" t="s">
        <v>174</v>
      </c>
      <c r="E51" s="91" t="s">
        <v>57</v>
      </c>
      <c r="F51" s="92">
        <v>4</v>
      </c>
      <c r="G51" s="92">
        <v>3500</v>
      </c>
      <c r="H51" s="92"/>
      <c r="I51" s="92">
        <f>G51*F51</f>
        <v>14000</v>
      </c>
      <c r="J51" s="92"/>
      <c r="K51" s="92">
        <f>J51+I51</f>
        <v>14000</v>
      </c>
      <c r="L51" s="93"/>
      <c r="M51" s="94"/>
      <c r="O51" s="50" t="s">
        <v>175</v>
      </c>
      <c r="P51" s="40"/>
      <c r="Q51" s="40"/>
    </row>
    <row r="52" spans="3:17" s="39" customFormat="1" ht="32.25" customHeight="1" x14ac:dyDescent="0.25">
      <c r="C52" s="89"/>
      <c r="D52" s="90" t="s">
        <v>176</v>
      </c>
      <c r="E52" s="91" t="s">
        <v>95</v>
      </c>
      <c r="F52" s="92">
        <f>2*F51</f>
        <v>8</v>
      </c>
      <c r="G52" s="92">
        <v>410</v>
      </c>
      <c r="H52" s="92"/>
      <c r="I52" s="92">
        <f>G52*F52</f>
        <v>3280</v>
      </c>
      <c r="J52" s="92"/>
      <c r="K52" s="92">
        <f>J52+I52</f>
        <v>3280</v>
      </c>
      <c r="L52" s="93">
        <f>I52</f>
        <v>3280</v>
      </c>
      <c r="M52" s="94"/>
      <c r="O52" s="50"/>
      <c r="P52" s="40"/>
      <c r="Q52" s="40"/>
    </row>
    <row r="53" spans="3:17" s="39" customFormat="1" ht="32.25" customHeight="1" x14ac:dyDescent="0.25">
      <c r="C53" s="89"/>
      <c r="D53" s="90" t="s">
        <v>177</v>
      </c>
      <c r="E53" s="91" t="s">
        <v>57</v>
      </c>
      <c r="F53" s="92">
        <v>4</v>
      </c>
      <c r="G53" s="92">
        <v>2100</v>
      </c>
      <c r="H53" s="92"/>
      <c r="I53" s="92">
        <f>G53*F53</f>
        <v>8400</v>
      </c>
      <c r="J53" s="92"/>
      <c r="K53" s="92">
        <f>J53+I53</f>
        <v>8400</v>
      </c>
      <c r="L53" s="93"/>
      <c r="M53" s="94"/>
      <c r="O53" s="50" t="s">
        <v>178</v>
      </c>
      <c r="P53" s="40"/>
      <c r="Q53" s="40"/>
    </row>
    <row r="54" spans="3:17" s="39" customFormat="1" ht="32.25" customHeight="1" x14ac:dyDescent="0.25">
      <c r="C54" s="89" t="s">
        <v>179</v>
      </c>
      <c r="D54" s="90" t="s">
        <v>180</v>
      </c>
      <c r="E54" s="91"/>
      <c r="F54" s="92"/>
      <c r="G54" s="92"/>
      <c r="H54" s="92"/>
      <c r="I54" s="92"/>
      <c r="J54" s="92"/>
      <c r="K54" s="92"/>
      <c r="L54" s="93"/>
      <c r="M54" s="94" t="s">
        <v>181</v>
      </c>
      <c r="O54" s="50"/>
      <c r="P54" s="40"/>
      <c r="Q54" s="40"/>
    </row>
    <row r="55" spans="3:17" s="39" customFormat="1" ht="78.75" x14ac:dyDescent="0.25">
      <c r="C55" s="89"/>
      <c r="D55" s="90" t="s">
        <v>182</v>
      </c>
      <c r="E55" s="91" t="s">
        <v>57</v>
      </c>
      <c r="F55" s="92">
        <f>2+3</f>
        <v>5</v>
      </c>
      <c r="G55" s="92">
        <v>3500</v>
      </c>
      <c r="H55" s="92"/>
      <c r="I55" s="92">
        <f>G55*F55</f>
        <v>17500</v>
      </c>
      <c r="J55" s="92"/>
      <c r="K55" s="92">
        <f>J55+I55</f>
        <v>17500</v>
      </c>
      <c r="L55" s="93"/>
      <c r="M55" s="94" t="s">
        <v>183</v>
      </c>
      <c r="O55" s="50" t="s">
        <v>184</v>
      </c>
      <c r="P55" s="40"/>
      <c r="Q55" s="40"/>
    </row>
    <row r="56" spans="3:17" s="39" customFormat="1" ht="32.25" customHeight="1" x14ac:dyDescent="0.25">
      <c r="C56" s="89"/>
      <c r="D56" s="90" t="s">
        <v>185</v>
      </c>
      <c r="E56" s="91" t="s">
        <v>95</v>
      </c>
      <c r="F56" s="92">
        <f>2*F55</f>
        <v>10</v>
      </c>
      <c r="G56" s="92">
        <v>400</v>
      </c>
      <c r="H56" s="92"/>
      <c r="I56" s="92">
        <f>G56*F56</f>
        <v>4000</v>
      </c>
      <c r="J56" s="92"/>
      <c r="K56" s="92">
        <f>J56+I56</f>
        <v>4000</v>
      </c>
      <c r="L56" s="93">
        <f>I56</f>
        <v>4000</v>
      </c>
      <c r="M56" s="94" t="s">
        <v>186</v>
      </c>
      <c r="O56" s="50"/>
      <c r="P56" s="40"/>
      <c r="Q56" s="40"/>
    </row>
    <row r="57" spans="3:17" s="39" customFormat="1" ht="54" customHeight="1" x14ac:dyDescent="0.25">
      <c r="C57" s="89" t="s">
        <v>187</v>
      </c>
      <c r="D57" s="90" t="s">
        <v>188</v>
      </c>
      <c r="E57" s="91" t="s">
        <v>189</v>
      </c>
      <c r="F57" s="92">
        <f>ROUNDUP((2.5*7),0)</f>
        <v>18</v>
      </c>
      <c r="G57" s="92">
        <v>500</v>
      </c>
      <c r="H57" s="92"/>
      <c r="I57" s="92">
        <f>G57*F57</f>
        <v>9000</v>
      </c>
      <c r="J57" s="92">
        <f>SUM(J58)</f>
        <v>16200</v>
      </c>
      <c r="K57" s="92">
        <f>I57+J57</f>
        <v>25200</v>
      </c>
      <c r="L57" s="93"/>
      <c r="M57" s="94" t="s">
        <v>190</v>
      </c>
      <c r="O57" s="50"/>
      <c r="P57" s="40"/>
      <c r="Q57" s="40"/>
    </row>
    <row r="58" spans="3:17" x14ac:dyDescent="0.25">
      <c r="C58" s="95"/>
      <c r="D58" s="96" t="s">
        <v>191</v>
      </c>
      <c r="E58" s="94" t="s">
        <v>98</v>
      </c>
      <c r="F58" s="97">
        <f>(4*9)*F57</f>
        <v>648</v>
      </c>
      <c r="G58" s="98"/>
      <c r="H58" s="97">
        <v>25</v>
      </c>
      <c r="I58" s="97"/>
      <c r="J58" s="97">
        <f>H58*F58</f>
        <v>16200</v>
      </c>
      <c r="K58" s="99"/>
      <c r="L58" s="100">
        <f>J58</f>
        <v>16200</v>
      </c>
      <c r="M58" s="94"/>
      <c r="N58" s="47"/>
      <c r="O58" s="48"/>
      <c r="P58" s="48"/>
      <c r="Q58" s="48"/>
    </row>
    <row r="59" spans="3:17" s="6" customFormat="1" x14ac:dyDescent="0.25">
      <c r="C59" s="27" t="s">
        <v>23</v>
      </c>
      <c r="D59" s="28" t="s">
        <v>192</v>
      </c>
      <c r="E59" s="63"/>
      <c r="F59" s="31"/>
      <c r="G59" s="31"/>
      <c r="H59" s="31"/>
      <c r="I59" s="31">
        <f>SUM(I60:I100)</f>
        <v>89246.865523663146</v>
      </c>
      <c r="J59" s="31">
        <f>J61+J72+J69+J79+J86+J99</f>
        <v>286015.03852169681</v>
      </c>
      <c r="K59" s="31">
        <f>SUM(K60:K100)</f>
        <v>375261.90404535993</v>
      </c>
      <c r="L59" s="32">
        <f>SUM(L60:L100)</f>
        <v>69346.865523663146</v>
      </c>
      <c r="M59" s="64"/>
      <c r="O59" s="24"/>
      <c r="P59" s="25"/>
      <c r="Q59" s="26"/>
    </row>
    <row r="60" spans="3:17" s="39" customFormat="1" ht="15.75" x14ac:dyDescent="0.25">
      <c r="C60" s="33" t="s">
        <v>193</v>
      </c>
      <c r="D60" s="34" t="s">
        <v>194</v>
      </c>
      <c r="E60" s="35" t="s">
        <v>126</v>
      </c>
      <c r="F60" s="36">
        <v>175</v>
      </c>
      <c r="G60" s="36">
        <v>20</v>
      </c>
      <c r="H60" s="36"/>
      <c r="I60" s="36">
        <f>G60*F60</f>
        <v>3500</v>
      </c>
      <c r="J60" s="36"/>
      <c r="K60" s="36">
        <f>J60+I60</f>
        <v>3500</v>
      </c>
      <c r="L60" s="37">
        <f>I60</f>
        <v>3500</v>
      </c>
      <c r="M60" s="38"/>
      <c r="O60" s="40"/>
      <c r="P60" s="40"/>
      <c r="Q60" s="40"/>
    </row>
    <row r="61" spans="3:17" s="39" customFormat="1" ht="15.75" x14ac:dyDescent="0.25">
      <c r="C61" s="33" t="s">
        <v>195</v>
      </c>
      <c r="D61" s="34" t="s">
        <v>196</v>
      </c>
      <c r="E61" s="35" t="s">
        <v>54</v>
      </c>
      <c r="F61" s="36">
        <f>(F64*0.00217)+(F65*0.0109)</f>
        <v>1.16316</v>
      </c>
      <c r="G61" s="36">
        <v>7000</v>
      </c>
      <c r="H61" s="36"/>
      <c r="I61" s="36">
        <f>G61*F61</f>
        <v>8142.12</v>
      </c>
      <c r="J61" s="36">
        <f>SUM(J64:J68)</f>
        <v>21756.201973689516</v>
      </c>
      <c r="K61" s="36">
        <f>J61+I61</f>
        <v>29898.321973689515</v>
      </c>
      <c r="L61" s="37">
        <f>I61</f>
        <v>8142.12</v>
      </c>
      <c r="M61" s="38"/>
      <c r="O61" s="40"/>
      <c r="P61" s="40"/>
      <c r="Q61" s="40"/>
    </row>
    <row r="62" spans="3:17" s="39" customFormat="1" ht="15.75" x14ac:dyDescent="0.25">
      <c r="C62" s="33" t="s">
        <v>197</v>
      </c>
      <c r="D62" s="34" t="s">
        <v>130</v>
      </c>
      <c r="E62" s="35" t="s">
        <v>131</v>
      </c>
      <c r="F62" s="36">
        <f>F66/0.1</f>
        <v>70.516107000000005</v>
      </c>
      <c r="G62" s="36">
        <v>8</v>
      </c>
      <c r="H62" s="36"/>
      <c r="I62" s="36">
        <f>G62*F62</f>
        <v>564.12885600000004</v>
      </c>
      <c r="J62" s="36"/>
      <c r="K62" s="36">
        <f>J62+I62</f>
        <v>564.12885600000004</v>
      </c>
      <c r="L62" s="37">
        <f>I62</f>
        <v>564.12885600000004</v>
      </c>
      <c r="M62" s="38"/>
      <c r="O62" s="40"/>
      <c r="P62" s="40"/>
      <c r="Q62" s="40"/>
    </row>
    <row r="63" spans="3:17" s="39" customFormat="1" ht="15.75" x14ac:dyDescent="0.25">
      <c r="C63" s="33" t="s">
        <v>198</v>
      </c>
      <c r="D63" s="34" t="s">
        <v>133</v>
      </c>
      <c r="E63" s="35" t="s">
        <v>131</v>
      </c>
      <c r="F63" s="36">
        <f>F67/0.19</f>
        <v>37.113740526315794</v>
      </c>
      <c r="G63" s="36">
        <v>10</v>
      </c>
      <c r="H63" s="36"/>
      <c r="I63" s="36">
        <f>G63*F63</f>
        <v>371.13740526315792</v>
      </c>
      <c r="J63" s="36"/>
      <c r="K63" s="36">
        <f>J63+I63</f>
        <v>371.13740526315792</v>
      </c>
      <c r="L63" s="37">
        <f>I63</f>
        <v>371.13740526315792</v>
      </c>
      <c r="M63" s="38"/>
      <c r="O63" s="40"/>
      <c r="P63" s="40"/>
      <c r="Q63" s="40"/>
    </row>
    <row r="64" spans="3:17" ht="31.5" x14ac:dyDescent="0.25">
      <c r="C64" s="41"/>
      <c r="D64" s="42" t="s">
        <v>199</v>
      </c>
      <c r="E64" s="38" t="s">
        <v>38</v>
      </c>
      <c r="F64" s="43">
        <v>423</v>
      </c>
      <c r="G64" s="44"/>
      <c r="H64" s="43">
        <f>(31002.3+569.7+250)/813</f>
        <v>39.141451414514144</v>
      </c>
      <c r="I64" s="43"/>
      <c r="J64" s="43">
        <f>H64*F64</f>
        <v>16556.833948339481</v>
      </c>
      <c r="K64" s="45"/>
      <c r="L64" s="46"/>
      <c r="M64" s="38"/>
      <c r="N64" s="47"/>
      <c r="O64" s="48"/>
      <c r="P64" s="48"/>
      <c r="Q64" s="48"/>
    </row>
    <row r="65" spans="3:17" ht="47.25" x14ac:dyDescent="0.25">
      <c r="C65" s="41"/>
      <c r="D65" s="42" t="s">
        <v>200</v>
      </c>
      <c r="E65" s="38" t="s">
        <v>38</v>
      </c>
      <c r="F65" s="43">
        <v>22.5</v>
      </c>
      <c r="G65" s="44"/>
      <c r="H65" s="43">
        <f>(7303.2+250+58.32)/36</f>
        <v>211.43111111111111</v>
      </c>
      <c r="I65" s="43"/>
      <c r="J65" s="43">
        <f>H65*F65</f>
        <v>4757.2</v>
      </c>
      <c r="K65" s="45"/>
      <c r="L65" s="46"/>
      <c r="M65" s="38"/>
      <c r="N65" s="47"/>
      <c r="O65" s="48"/>
      <c r="P65" s="48"/>
      <c r="Q65" s="48"/>
    </row>
    <row r="66" spans="3:17" x14ac:dyDescent="0.25">
      <c r="C66" s="41"/>
      <c r="D66" s="42" t="s">
        <v>136</v>
      </c>
      <c r="E66" s="38" t="s">
        <v>137</v>
      </c>
      <c r="F66" s="43">
        <f>0.1*((F64*0.00217*65.2)+(F65*0.0109*43.5))</f>
        <v>7.0516107000000012</v>
      </c>
      <c r="G66" s="44"/>
      <c r="H66" s="43">
        <f>(61.28*1.2)/2.8</f>
        <v>26.262857142857143</v>
      </c>
      <c r="I66" s="43"/>
      <c r="J66" s="43">
        <f>H66*F66</f>
        <v>185.19544444114288</v>
      </c>
      <c r="K66" s="45"/>
      <c r="L66" s="46"/>
      <c r="M66" s="38"/>
      <c r="N66" s="47"/>
      <c r="O66" s="48"/>
      <c r="P66" s="48"/>
      <c r="Q66" s="48"/>
    </row>
    <row r="67" spans="3:17" x14ac:dyDescent="0.25">
      <c r="C67" s="41"/>
      <c r="D67" s="42" t="s">
        <v>138</v>
      </c>
      <c r="E67" s="38" t="s">
        <v>137</v>
      </c>
      <c r="F67" s="43">
        <f>0.1*((F64*0.00217*65.2)+(F65*0.0109*43.5))</f>
        <v>7.0516107000000012</v>
      </c>
      <c r="G67" s="44"/>
      <c r="H67" s="43">
        <f>(79.46*1.2)/2.8</f>
        <v>34.054285714285712</v>
      </c>
      <c r="I67" s="43"/>
      <c r="J67" s="43">
        <f>H67*F67</f>
        <v>240.1375655237143</v>
      </c>
      <c r="K67" s="45"/>
      <c r="L67" s="46"/>
      <c r="M67" s="38"/>
      <c r="N67" s="47"/>
      <c r="O67" s="48"/>
      <c r="P67" s="48"/>
      <c r="Q67" s="48"/>
    </row>
    <row r="68" spans="3:17" x14ac:dyDescent="0.25">
      <c r="C68" s="77"/>
      <c r="D68" s="78" t="s">
        <v>139</v>
      </c>
      <c r="E68" s="79" t="s">
        <v>137</v>
      </c>
      <c r="F68" s="80">
        <f>F67/10</f>
        <v>0.70516107000000017</v>
      </c>
      <c r="G68" s="81"/>
      <c r="H68" s="80">
        <f>(79.58*1.2)/4</f>
        <v>23.873999999999999</v>
      </c>
      <c r="I68" s="80"/>
      <c r="J68" s="80">
        <f>H68*F68</f>
        <v>16.835015385180004</v>
      </c>
      <c r="K68" s="82"/>
      <c r="L68" s="83"/>
      <c r="M68" s="79" t="s">
        <v>140</v>
      </c>
      <c r="N68" s="47"/>
      <c r="O68" s="48"/>
      <c r="P68" s="48"/>
      <c r="Q68" s="48"/>
    </row>
    <row r="69" spans="3:17" s="39" customFormat="1" ht="15.75" x14ac:dyDescent="0.25">
      <c r="C69" s="33" t="s">
        <v>201</v>
      </c>
      <c r="D69" s="34" t="s">
        <v>142</v>
      </c>
      <c r="E69" s="35" t="s">
        <v>64</v>
      </c>
      <c r="F69" s="36">
        <f>ROUNDUP(30.6/(0.5*0.5*0.7),0)</f>
        <v>175</v>
      </c>
      <c r="G69" s="36">
        <v>25</v>
      </c>
      <c r="H69" s="36"/>
      <c r="I69" s="36">
        <f>G69*F69</f>
        <v>4375</v>
      </c>
      <c r="J69" s="36">
        <f>SUM(J71)</f>
        <v>27310.071599999996</v>
      </c>
      <c r="K69" s="36">
        <f>J69+I69</f>
        <v>31685.071599999996</v>
      </c>
      <c r="L69" s="37">
        <f>I69</f>
        <v>4375</v>
      </c>
      <c r="M69" s="38"/>
      <c r="O69" s="40"/>
      <c r="P69" s="40"/>
      <c r="Q69" s="40"/>
    </row>
    <row r="70" spans="3:17" s="39" customFormat="1" ht="31.5" x14ac:dyDescent="0.25">
      <c r="C70" s="84" t="s">
        <v>202</v>
      </c>
      <c r="D70" s="76" t="s">
        <v>144</v>
      </c>
      <c r="E70" s="85" t="s">
        <v>95</v>
      </c>
      <c r="F70" s="86">
        <v>24</v>
      </c>
      <c r="G70" s="86"/>
      <c r="H70" s="86"/>
      <c r="I70" s="86"/>
      <c r="J70" s="86"/>
      <c r="K70" s="86"/>
      <c r="L70" s="87"/>
      <c r="M70" s="79" t="s">
        <v>145</v>
      </c>
      <c r="O70" s="40"/>
      <c r="P70" s="40"/>
      <c r="Q70" s="40"/>
    </row>
    <row r="71" spans="3:17" ht="31.5" x14ac:dyDescent="0.25">
      <c r="C71" s="41"/>
      <c r="D71" s="42" t="s">
        <v>146</v>
      </c>
      <c r="E71" s="38" t="s">
        <v>19</v>
      </c>
      <c r="F71" s="43">
        <f>1.02*(175*(0.5*0.5*0.7))</f>
        <v>31.237499999999997</v>
      </c>
      <c r="G71" s="44"/>
      <c r="H71" s="43">
        <f>43713.6/50</f>
        <v>874.27199999999993</v>
      </c>
      <c r="I71" s="43"/>
      <c r="J71" s="43">
        <f>H71*F71</f>
        <v>27310.071599999996</v>
      </c>
      <c r="K71" s="45"/>
      <c r="L71" s="46"/>
      <c r="M71" s="38"/>
      <c r="N71" s="47"/>
      <c r="O71" s="48"/>
      <c r="P71" s="48"/>
      <c r="Q71" s="48"/>
    </row>
    <row r="72" spans="3:17" s="39" customFormat="1" ht="15.75" x14ac:dyDescent="0.25">
      <c r="C72" s="33" t="s">
        <v>203</v>
      </c>
      <c r="D72" s="34" t="s">
        <v>148</v>
      </c>
      <c r="E72" s="35" t="s">
        <v>54</v>
      </c>
      <c r="F72" s="36">
        <f>F75*0.0017</f>
        <v>1.4076</v>
      </c>
      <c r="G72" s="36">
        <v>7000</v>
      </c>
      <c r="H72" s="36"/>
      <c r="I72" s="36">
        <f>G72*F72</f>
        <v>9853.1999999999989</v>
      </c>
      <c r="J72" s="36">
        <f>SUM(J75:J78)</f>
        <v>26566.081558626829</v>
      </c>
      <c r="K72" s="36">
        <f>J72+I72</f>
        <v>36419.281558626826</v>
      </c>
      <c r="L72" s="37">
        <f>I72</f>
        <v>9853.1999999999989</v>
      </c>
      <c r="M72" s="38"/>
      <c r="O72" s="40"/>
      <c r="P72" s="40"/>
      <c r="Q72" s="40"/>
    </row>
    <row r="73" spans="3:17" s="39" customFormat="1" ht="15.75" x14ac:dyDescent="0.25">
      <c r="C73" s="33" t="s">
        <v>204</v>
      </c>
      <c r="D73" s="34" t="s">
        <v>130</v>
      </c>
      <c r="E73" s="35" t="s">
        <v>131</v>
      </c>
      <c r="F73" s="36">
        <f>F76/0.1</f>
        <v>91.77552</v>
      </c>
      <c r="G73" s="36">
        <v>8</v>
      </c>
      <c r="H73" s="36"/>
      <c r="I73" s="36">
        <f>G73*F73</f>
        <v>734.20416</v>
      </c>
      <c r="J73" s="36"/>
      <c r="K73" s="36">
        <f>J73+I73</f>
        <v>734.20416</v>
      </c>
      <c r="L73" s="37">
        <f>I73</f>
        <v>734.20416</v>
      </c>
      <c r="M73" s="38"/>
      <c r="O73" s="40"/>
      <c r="P73" s="40"/>
      <c r="Q73" s="40"/>
    </row>
    <row r="74" spans="3:17" s="39" customFormat="1" ht="15.75" x14ac:dyDescent="0.25">
      <c r="C74" s="33" t="s">
        <v>205</v>
      </c>
      <c r="D74" s="34" t="s">
        <v>133</v>
      </c>
      <c r="E74" s="35" t="s">
        <v>131</v>
      </c>
      <c r="F74" s="36">
        <f>F77/0.19</f>
        <v>91.775519999999986</v>
      </c>
      <c r="G74" s="36">
        <v>10</v>
      </c>
      <c r="H74" s="36"/>
      <c r="I74" s="36">
        <f>G74*F74</f>
        <v>917.75519999999983</v>
      </c>
      <c r="J74" s="36"/>
      <c r="K74" s="36">
        <f>J74+I74</f>
        <v>917.75519999999983</v>
      </c>
      <c r="L74" s="37">
        <f>I74</f>
        <v>917.75519999999983</v>
      </c>
      <c r="M74" s="38"/>
      <c r="O74" s="40"/>
      <c r="P74" s="40"/>
      <c r="Q74" s="40"/>
    </row>
    <row r="75" spans="3:17" ht="31.5" x14ac:dyDescent="0.25">
      <c r="C75" s="41"/>
      <c r="D75" s="42" t="s">
        <v>151</v>
      </c>
      <c r="E75" s="38" t="s">
        <v>38</v>
      </c>
      <c r="F75" s="43">
        <v>828</v>
      </c>
      <c r="G75" s="44"/>
      <c r="H75" s="43">
        <f>(37395.9+250+823.68)/1248</f>
        <v>30.824983974358975</v>
      </c>
      <c r="I75" s="43"/>
      <c r="J75" s="43">
        <f>H75*F75</f>
        <v>25523.086730769232</v>
      </c>
      <c r="K75" s="45"/>
      <c r="L75" s="46"/>
      <c r="M75" s="38"/>
      <c r="N75" s="47"/>
      <c r="O75" s="48"/>
      <c r="P75" s="48"/>
      <c r="Q75" s="48"/>
    </row>
    <row r="76" spans="3:17" x14ac:dyDescent="0.25">
      <c r="C76" s="41"/>
      <c r="D76" s="42" t="s">
        <v>136</v>
      </c>
      <c r="E76" s="38" t="s">
        <v>137</v>
      </c>
      <c r="F76" s="43">
        <f>0.1*(0.0017*F75*65.2)</f>
        <v>9.1775520000000004</v>
      </c>
      <c r="G76" s="44"/>
      <c r="H76" s="43">
        <f>(61.28*1.2)/2.8</f>
        <v>26.262857142857143</v>
      </c>
      <c r="I76" s="43"/>
      <c r="J76" s="43">
        <f>H76*F76</f>
        <v>241.02873709714288</v>
      </c>
      <c r="K76" s="45"/>
      <c r="L76" s="46"/>
      <c r="M76" s="38"/>
      <c r="N76" s="47"/>
      <c r="O76" s="48"/>
      <c r="P76" s="48"/>
      <c r="Q76" s="48"/>
    </row>
    <row r="77" spans="3:17" x14ac:dyDescent="0.25">
      <c r="C77" s="41"/>
      <c r="D77" s="42" t="s">
        <v>138</v>
      </c>
      <c r="E77" s="38" t="s">
        <v>137</v>
      </c>
      <c r="F77" s="43">
        <f>0.19*(0.0017*F75*65.2)</f>
        <v>17.437348799999999</v>
      </c>
      <c r="G77" s="44"/>
      <c r="H77" s="43">
        <f>(79.46*1.2)/2.8</f>
        <v>34.054285714285712</v>
      </c>
      <c r="I77" s="43"/>
      <c r="J77" s="43">
        <f>H77*F77</f>
        <v>593.81645813485704</v>
      </c>
      <c r="K77" s="45"/>
      <c r="L77" s="46"/>
      <c r="M77" s="38"/>
      <c r="N77" s="47"/>
      <c r="O77" s="48"/>
      <c r="P77" s="48"/>
      <c r="Q77" s="48"/>
    </row>
    <row r="78" spans="3:17" x14ac:dyDescent="0.25">
      <c r="C78" s="77"/>
      <c r="D78" s="78" t="s">
        <v>139</v>
      </c>
      <c r="E78" s="79" t="s">
        <v>137</v>
      </c>
      <c r="F78" s="80">
        <f>F77/2</f>
        <v>8.7186743999999994</v>
      </c>
      <c r="G78" s="81"/>
      <c r="H78" s="80">
        <f>(79.58*1.2)/4</f>
        <v>23.873999999999999</v>
      </c>
      <c r="I78" s="80"/>
      <c r="J78" s="80">
        <f>H78*F78</f>
        <v>208.14963262559996</v>
      </c>
      <c r="K78" s="82"/>
      <c r="L78" s="83"/>
      <c r="M78" s="79" t="s">
        <v>140</v>
      </c>
      <c r="N78" s="47"/>
      <c r="O78" s="48"/>
      <c r="P78" s="48"/>
      <c r="Q78" s="48"/>
    </row>
    <row r="79" spans="3:17" s="39" customFormat="1" ht="32.25" customHeight="1" x14ac:dyDescent="0.25">
      <c r="C79" s="33" t="s">
        <v>206</v>
      </c>
      <c r="D79" s="34" t="s">
        <v>207</v>
      </c>
      <c r="E79" s="35" t="s">
        <v>54</v>
      </c>
      <c r="F79" s="36">
        <f>F82*0.00217</f>
        <v>0.28253400000000001</v>
      </c>
      <c r="G79" s="36">
        <v>7000</v>
      </c>
      <c r="H79" s="36"/>
      <c r="I79" s="36">
        <f>G79*F79</f>
        <v>1977.7380000000001</v>
      </c>
      <c r="J79" s="36">
        <f>SUM(J82:J85)</f>
        <v>5272.1433893804015</v>
      </c>
      <c r="K79" s="36">
        <f>J79+I79</f>
        <v>7249.8813893804017</v>
      </c>
      <c r="L79" s="37">
        <f>I79</f>
        <v>1977.7380000000001</v>
      </c>
      <c r="M79" s="38"/>
      <c r="O79" s="40"/>
      <c r="P79" s="40"/>
      <c r="Q79" s="40"/>
    </row>
    <row r="80" spans="3:17" s="39" customFormat="1" ht="15.75" x14ac:dyDescent="0.25">
      <c r="C80" s="33" t="s">
        <v>208</v>
      </c>
      <c r="D80" s="34" t="s">
        <v>130</v>
      </c>
      <c r="E80" s="35" t="s">
        <v>131</v>
      </c>
      <c r="F80" s="36">
        <f>F83/0.1</f>
        <v>18.4212168</v>
      </c>
      <c r="G80" s="36">
        <v>8</v>
      </c>
      <c r="H80" s="36"/>
      <c r="I80" s="36">
        <f>G80*F80</f>
        <v>147.3697344</v>
      </c>
      <c r="J80" s="36"/>
      <c r="K80" s="36">
        <f>J80+I80</f>
        <v>147.3697344</v>
      </c>
      <c r="L80" s="37">
        <f>I80</f>
        <v>147.3697344</v>
      </c>
      <c r="M80" s="38"/>
      <c r="O80" s="40"/>
      <c r="P80" s="40"/>
      <c r="Q80" s="40"/>
    </row>
    <row r="81" spans="3:17" s="39" customFormat="1" ht="15.75" x14ac:dyDescent="0.25">
      <c r="C81" s="33" t="s">
        <v>209</v>
      </c>
      <c r="D81" s="34" t="s">
        <v>133</v>
      </c>
      <c r="E81" s="35" t="s">
        <v>131</v>
      </c>
      <c r="F81" s="36">
        <f>F84/0.19</f>
        <v>18.4212168</v>
      </c>
      <c r="G81" s="36">
        <v>10</v>
      </c>
      <c r="H81" s="36"/>
      <c r="I81" s="36">
        <f>G81*F81</f>
        <v>184.21216799999999</v>
      </c>
      <c r="J81" s="36"/>
      <c r="K81" s="36">
        <f>J81+I81</f>
        <v>184.21216799999999</v>
      </c>
      <c r="L81" s="37">
        <f>I81</f>
        <v>184.21216799999999</v>
      </c>
      <c r="M81" s="38"/>
      <c r="O81" s="40"/>
      <c r="P81" s="40"/>
      <c r="Q81" s="40"/>
    </row>
    <row r="82" spans="3:17" ht="31.5" x14ac:dyDescent="0.25">
      <c r="C82" s="41"/>
      <c r="D82" s="42" t="s">
        <v>134</v>
      </c>
      <c r="E82" s="38" t="s">
        <v>38</v>
      </c>
      <c r="F82" s="43">
        <v>130.19999999999999</v>
      </c>
      <c r="G82" s="44"/>
      <c r="H82" s="43">
        <f>(31002.3+569.7+250)/813</f>
        <v>39.141451414514144</v>
      </c>
      <c r="I82" s="43"/>
      <c r="J82" s="43">
        <f>H82*F82</f>
        <v>5096.2169741697408</v>
      </c>
      <c r="K82" s="45"/>
      <c r="L82" s="46"/>
      <c r="M82" s="38"/>
      <c r="N82" s="47"/>
      <c r="O82" s="48"/>
      <c r="P82" s="48"/>
      <c r="Q82" s="48"/>
    </row>
    <row r="83" spans="3:17" x14ac:dyDescent="0.25">
      <c r="C83" s="41"/>
      <c r="D83" s="42" t="s">
        <v>136</v>
      </c>
      <c r="E83" s="38" t="s">
        <v>137</v>
      </c>
      <c r="F83" s="43">
        <f>0.1*(0.00217*65.2*F82)</f>
        <v>1.84212168</v>
      </c>
      <c r="G83" s="44"/>
      <c r="H83" s="43">
        <f>(61.28*1.2)/2.8</f>
        <v>26.262857142857143</v>
      </c>
      <c r="I83" s="43"/>
      <c r="J83" s="43">
        <f>H83*F83</f>
        <v>48.379378521600003</v>
      </c>
      <c r="K83" s="45"/>
      <c r="L83" s="46"/>
      <c r="M83" s="38"/>
      <c r="N83" s="47"/>
      <c r="O83" s="48"/>
      <c r="P83" s="48"/>
      <c r="Q83" s="48"/>
    </row>
    <row r="84" spans="3:17" x14ac:dyDescent="0.25">
      <c r="C84" s="41"/>
      <c r="D84" s="42" t="s">
        <v>138</v>
      </c>
      <c r="E84" s="38" t="s">
        <v>137</v>
      </c>
      <c r="F84" s="43">
        <f>0.19*(0.00217*65.2*F82)</f>
        <v>3.5000311919999998</v>
      </c>
      <c r="G84" s="44"/>
      <c r="H84" s="43">
        <f>(79.46*1.2)/2.8</f>
        <v>34.054285714285712</v>
      </c>
      <c r="I84" s="43"/>
      <c r="J84" s="43">
        <f>H84*F84</f>
        <v>119.19106222127998</v>
      </c>
      <c r="K84" s="45"/>
      <c r="L84" s="46"/>
      <c r="M84" s="38"/>
      <c r="N84" s="47"/>
      <c r="O84" s="48"/>
      <c r="P84" s="48"/>
      <c r="Q84" s="48"/>
    </row>
    <row r="85" spans="3:17" x14ac:dyDescent="0.25">
      <c r="C85" s="77"/>
      <c r="D85" s="78" t="s">
        <v>139</v>
      </c>
      <c r="E85" s="79" t="s">
        <v>137</v>
      </c>
      <c r="F85" s="80">
        <f>F84/10</f>
        <v>0.35000311919999999</v>
      </c>
      <c r="G85" s="81"/>
      <c r="H85" s="80">
        <f>(79.58*1.2)/4</f>
        <v>23.873999999999999</v>
      </c>
      <c r="I85" s="80"/>
      <c r="J85" s="80">
        <f>H85*F85</f>
        <v>8.3559744677807988</v>
      </c>
      <c r="K85" s="82"/>
      <c r="L85" s="83"/>
      <c r="M85" s="79" t="s">
        <v>140</v>
      </c>
      <c r="N85" s="47"/>
      <c r="O85" s="48"/>
      <c r="P85" s="48"/>
      <c r="Q85" s="48"/>
    </row>
    <row r="86" spans="3:17" s="39" customFormat="1" ht="32.25" customHeight="1" x14ac:dyDescent="0.25">
      <c r="C86" s="33" t="s">
        <v>210</v>
      </c>
      <c r="D86" s="34" t="s">
        <v>211</v>
      </c>
      <c r="E86" s="35" t="s">
        <v>114</v>
      </c>
      <c r="F86" s="36">
        <v>870</v>
      </c>
      <c r="G86" s="36">
        <v>12</v>
      </c>
      <c r="H86" s="36"/>
      <c r="I86" s="36">
        <f>G86*F86</f>
        <v>10440</v>
      </c>
      <c r="J86" s="36">
        <f>SUM(J87:J91)</f>
        <v>182610.54000000004</v>
      </c>
      <c r="K86" s="36">
        <f>J86+I86</f>
        <v>193050.54000000004</v>
      </c>
      <c r="L86" s="37">
        <f>I86</f>
        <v>10440</v>
      </c>
      <c r="M86" s="38"/>
      <c r="O86" s="40"/>
      <c r="P86" s="40"/>
      <c r="Q86" s="40"/>
    </row>
    <row r="87" spans="3:17" x14ac:dyDescent="0.25">
      <c r="C87" s="41"/>
      <c r="D87" s="42" t="s">
        <v>158</v>
      </c>
      <c r="E87" s="38" t="s">
        <v>114</v>
      </c>
      <c r="F87" s="43">
        <f>1.1*F86</f>
        <v>957.00000000000011</v>
      </c>
      <c r="G87" s="44"/>
      <c r="H87" s="43">
        <v>187</v>
      </c>
      <c r="I87" s="43"/>
      <c r="J87" s="43">
        <f>H87*F87</f>
        <v>178959.00000000003</v>
      </c>
      <c r="K87" s="45"/>
      <c r="L87" s="46"/>
      <c r="M87" s="38"/>
      <c r="N87" s="47"/>
      <c r="O87" s="48"/>
      <c r="P87" s="48"/>
      <c r="Q87" s="48"/>
    </row>
    <row r="88" spans="3:17" x14ac:dyDescent="0.25">
      <c r="C88" s="41"/>
      <c r="D88" s="42" t="s">
        <v>159</v>
      </c>
      <c r="E88" s="38" t="s">
        <v>64</v>
      </c>
      <c r="F88" s="43">
        <f>6*F86</f>
        <v>5220</v>
      </c>
      <c r="G88" s="44"/>
      <c r="H88" s="43">
        <v>0.6</v>
      </c>
      <c r="I88" s="43"/>
      <c r="J88" s="43">
        <f>H88*F88</f>
        <v>3132</v>
      </c>
      <c r="K88" s="45"/>
      <c r="L88" s="46"/>
      <c r="M88" s="38"/>
      <c r="N88" s="47"/>
      <c r="O88" s="48"/>
      <c r="P88" s="48"/>
      <c r="Q88" s="48"/>
    </row>
    <row r="89" spans="3:17" x14ac:dyDescent="0.25">
      <c r="C89" s="41"/>
      <c r="D89" s="42" t="s">
        <v>160</v>
      </c>
      <c r="E89" s="38" t="s">
        <v>212</v>
      </c>
      <c r="F89" s="43">
        <v>3</v>
      </c>
      <c r="G89" s="44"/>
      <c r="H89" s="43">
        <f>57.75</f>
        <v>57.75</v>
      </c>
      <c r="I89" s="43"/>
      <c r="J89" s="43">
        <f>H89*F89</f>
        <v>173.25</v>
      </c>
      <c r="K89" s="45"/>
      <c r="L89" s="46"/>
      <c r="M89" s="38"/>
      <c r="N89" s="47"/>
      <c r="O89" s="48"/>
      <c r="P89" s="48"/>
      <c r="Q89" s="48"/>
    </row>
    <row r="90" spans="3:17" x14ac:dyDescent="0.25">
      <c r="C90" s="41"/>
      <c r="D90" s="42" t="s">
        <v>162</v>
      </c>
      <c r="E90" s="38" t="s">
        <v>64</v>
      </c>
      <c r="F90" s="43">
        <v>1</v>
      </c>
      <c r="G90" s="44"/>
      <c r="H90" s="43">
        <v>243.72</v>
      </c>
      <c r="I90" s="43"/>
      <c r="J90" s="43">
        <f>H90*F90</f>
        <v>243.72</v>
      </c>
      <c r="K90" s="45"/>
      <c r="L90" s="46"/>
      <c r="M90" s="38"/>
      <c r="N90" s="47"/>
      <c r="O90" s="50"/>
      <c r="P90" s="48"/>
      <c r="Q90" s="48"/>
    </row>
    <row r="91" spans="3:17" x14ac:dyDescent="0.25">
      <c r="C91" s="41"/>
      <c r="D91" s="42" t="s">
        <v>163</v>
      </c>
      <c r="E91" s="38" t="s">
        <v>64</v>
      </c>
      <c r="F91" s="43">
        <v>1</v>
      </c>
      <c r="G91" s="44"/>
      <c r="H91" s="43">
        <v>102.57</v>
      </c>
      <c r="I91" s="43"/>
      <c r="J91" s="43">
        <f>H91*F91</f>
        <v>102.57</v>
      </c>
      <c r="K91" s="45"/>
      <c r="L91" s="46"/>
      <c r="M91" s="38"/>
      <c r="N91" s="47"/>
      <c r="O91" s="50"/>
      <c r="P91" s="48"/>
      <c r="Q91" s="48"/>
    </row>
    <row r="92" spans="3:17" s="39" customFormat="1" ht="63" x14ac:dyDescent="0.25">
      <c r="C92" s="89" t="s">
        <v>213</v>
      </c>
      <c r="D92" s="90" t="s">
        <v>180</v>
      </c>
      <c r="E92" s="91"/>
      <c r="F92" s="92"/>
      <c r="G92" s="92"/>
      <c r="H92" s="92"/>
      <c r="I92" s="92"/>
      <c r="J92" s="92"/>
      <c r="K92" s="92"/>
      <c r="L92" s="93"/>
      <c r="M92" s="94" t="s">
        <v>181</v>
      </c>
      <c r="O92" s="50" t="s">
        <v>214</v>
      </c>
      <c r="P92" s="40"/>
      <c r="Q92" s="40"/>
    </row>
    <row r="93" spans="3:17" s="39" customFormat="1" ht="32.25" customHeight="1" x14ac:dyDescent="0.25">
      <c r="C93" s="89"/>
      <c r="D93" s="90" t="s">
        <v>182</v>
      </c>
      <c r="E93" s="91" t="s">
        <v>57</v>
      </c>
      <c r="F93" s="92">
        <v>5</v>
      </c>
      <c r="G93" s="92">
        <v>3500</v>
      </c>
      <c r="H93" s="92"/>
      <c r="I93" s="92">
        <f>G93*F93</f>
        <v>17500</v>
      </c>
      <c r="J93" s="92"/>
      <c r="K93" s="92">
        <f>J93+I93</f>
        <v>17500</v>
      </c>
      <c r="L93" s="93"/>
      <c r="M93" s="94" t="s">
        <v>215</v>
      </c>
      <c r="O93" s="50" t="s">
        <v>216</v>
      </c>
      <c r="P93" s="40"/>
      <c r="Q93" s="40"/>
    </row>
    <row r="94" spans="3:17" s="39" customFormat="1" ht="32.25" customHeight="1" x14ac:dyDescent="0.25">
      <c r="C94" s="89"/>
      <c r="D94" s="90" t="s">
        <v>185</v>
      </c>
      <c r="E94" s="91" t="s">
        <v>95</v>
      </c>
      <c r="F94" s="92">
        <f>2*F93</f>
        <v>10</v>
      </c>
      <c r="G94" s="92">
        <v>400</v>
      </c>
      <c r="H94" s="92"/>
      <c r="I94" s="92">
        <f>G94*F94</f>
        <v>4000</v>
      </c>
      <c r="J94" s="92"/>
      <c r="K94" s="92">
        <f>J94+I94</f>
        <v>4000</v>
      </c>
      <c r="L94" s="93">
        <f>I94</f>
        <v>4000</v>
      </c>
      <c r="M94" s="94" t="s">
        <v>217</v>
      </c>
      <c r="O94" s="50"/>
      <c r="P94" s="40"/>
      <c r="Q94" s="40"/>
    </row>
    <row r="95" spans="3:17" s="39" customFormat="1" ht="32.25" customHeight="1" x14ac:dyDescent="0.25">
      <c r="C95" s="33" t="s">
        <v>218</v>
      </c>
      <c r="D95" s="34" t="s">
        <v>170</v>
      </c>
      <c r="E95" s="35"/>
      <c r="F95" s="36"/>
      <c r="G95" s="36"/>
      <c r="H95" s="36"/>
      <c r="I95" s="36"/>
      <c r="J95" s="36"/>
      <c r="K95" s="36"/>
      <c r="L95" s="37"/>
      <c r="M95" s="38"/>
      <c r="O95" s="50"/>
      <c r="P95" s="40"/>
      <c r="Q95" s="40"/>
    </row>
    <row r="96" spans="3:17" s="39" customFormat="1" ht="63" x14ac:dyDescent="0.25">
      <c r="C96" s="89"/>
      <c r="D96" s="90" t="s">
        <v>83</v>
      </c>
      <c r="E96" s="91" t="s">
        <v>57</v>
      </c>
      <c r="F96" s="92">
        <v>2</v>
      </c>
      <c r="G96" s="92">
        <v>3500</v>
      </c>
      <c r="H96" s="92"/>
      <c r="I96" s="92">
        <f>G96*F96</f>
        <v>7000</v>
      </c>
      <c r="J96" s="92"/>
      <c r="K96" s="92">
        <f>J96+I96</f>
        <v>7000</v>
      </c>
      <c r="L96" s="93"/>
      <c r="M96" s="94" t="s">
        <v>219</v>
      </c>
      <c r="O96" s="50" t="s">
        <v>220</v>
      </c>
      <c r="P96" s="40"/>
      <c r="Q96" s="40"/>
    </row>
    <row r="97" spans="3:17" s="39" customFormat="1" ht="32.25" customHeight="1" x14ac:dyDescent="0.25">
      <c r="C97" s="89"/>
      <c r="D97" s="90" t="s">
        <v>221</v>
      </c>
      <c r="E97" s="91" t="s">
        <v>95</v>
      </c>
      <c r="F97" s="92">
        <f>2*2</f>
        <v>4</v>
      </c>
      <c r="G97" s="92">
        <v>410</v>
      </c>
      <c r="H97" s="92"/>
      <c r="I97" s="92">
        <f>G97*F97</f>
        <v>1640</v>
      </c>
      <c r="J97" s="92"/>
      <c r="K97" s="92">
        <f>J97+I97</f>
        <v>1640</v>
      </c>
      <c r="L97" s="93">
        <f>I97</f>
        <v>1640</v>
      </c>
      <c r="M97" s="94" t="s">
        <v>222</v>
      </c>
      <c r="O97" s="40"/>
      <c r="P97" s="40"/>
      <c r="Q97" s="40"/>
    </row>
    <row r="98" spans="3:17" s="39" customFormat="1" ht="63" x14ac:dyDescent="0.25">
      <c r="C98" s="89"/>
      <c r="D98" s="90" t="s">
        <v>223</v>
      </c>
      <c r="E98" s="91" t="s">
        <v>57</v>
      </c>
      <c r="F98" s="92">
        <v>6</v>
      </c>
      <c r="G98" s="92">
        <v>900</v>
      </c>
      <c r="H98" s="92"/>
      <c r="I98" s="92">
        <f>G98*F98</f>
        <v>5400</v>
      </c>
      <c r="J98" s="92"/>
      <c r="K98" s="92">
        <f>J98+I98</f>
        <v>5400</v>
      </c>
      <c r="L98" s="93"/>
      <c r="M98" s="94" t="s">
        <v>224</v>
      </c>
      <c r="O98" s="40" t="s">
        <v>225</v>
      </c>
      <c r="P98" s="40"/>
      <c r="Q98" s="40"/>
    </row>
    <row r="99" spans="3:17" s="39" customFormat="1" ht="85.5" customHeight="1" x14ac:dyDescent="0.25">
      <c r="C99" s="33" t="s">
        <v>226</v>
      </c>
      <c r="D99" s="34" t="s">
        <v>188</v>
      </c>
      <c r="E99" s="35" t="s">
        <v>189</v>
      </c>
      <c r="F99" s="36">
        <f>ROUNDUP((3.5*7),0)</f>
        <v>25</v>
      </c>
      <c r="G99" s="36">
        <v>500</v>
      </c>
      <c r="H99" s="36"/>
      <c r="I99" s="36">
        <f>G99*F99</f>
        <v>12500</v>
      </c>
      <c r="J99" s="36">
        <f>SUM(J100)</f>
        <v>22500</v>
      </c>
      <c r="K99" s="36">
        <f>I99+J99</f>
        <v>35000</v>
      </c>
      <c r="L99" s="37"/>
      <c r="M99" s="38"/>
      <c r="O99" s="50" t="s">
        <v>227</v>
      </c>
      <c r="P99" s="40"/>
      <c r="Q99" s="40"/>
    </row>
    <row r="100" spans="3:17" x14ac:dyDescent="0.25">
      <c r="C100" s="41"/>
      <c r="D100" s="42" t="s">
        <v>191</v>
      </c>
      <c r="E100" s="38" t="s">
        <v>98</v>
      </c>
      <c r="F100" s="43">
        <f>(4*9)*F99</f>
        <v>900</v>
      </c>
      <c r="G100" s="44"/>
      <c r="H100" s="43">
        <v>25</v>
      </c>
      <c r="I100" s="43"/>
      <c r="J100" s="43">
        <f>H100*F100</f>
        <v>22500</v>
      </c>
      <c r="K100" s="45"/>
      <c r="L100" s="46">
        <f>J100</f>
        <v>22500</v>
      </c>
      <c r="M100" s="38"/>
      <c r="N100" s="47"/>
      <c r="O100" s="48"/>
      <c r="P100" s="48"/>
      <c r="Q100" s="48"/>
    </row>
    <row r="101" spans="3:17" ht="47.25" x14ac:dyDescent="0.25">
      <c r="C101" s="65"/>
      <c r="D101" s="66" t="s">
        <v>228</v>
      </c>
      <c r="E101" s="67"/>
      <c r="F101" s="68"/>
      <c r="G101" s="68"/>
      <c r="H101" s="68"/>
      <c r="I101" s="68">
        <f>I59+I11</f>
        <v>174023.31514446315</v>
      </c>
      <c r="J101" s="68">
        <f>J59+J11</f>
        <v>436745.36590167577</v>
      </c>
      <c r="K101" s="68">
        <f>K59+K11</f>
        <v>610768.68104613898</v>
      </c>
      <c r="L101" s="69">
        <f>L59+L11</f>
        <v>117823.31514446315</v>
      </c>
      <c r="M101" s="70"/>
    </row>
    <row r="102" spans="3:17" ht="6" customHeight="1" x14ac:dyDescent="0.25"/>
    <row r="103" spans="3:17" s="6" customFormat="1" ht="31.5" x14ac:dyDescent="0.25">
      <c r="C103" s="18" t="s">
        <v>66</v>
      </c>
      <c r="D103" s="19" t="s">
        <v>229</v>
      </c>
      <c r="E103" s="20"/>
      <c r="F103" s="21" t="s">
        <v>17</v>
      </c>
      <c r="G103" s="21"/>
      <c r="H103" s="21"/>
      <c r="I103" s="21"/>
      <c r="J103" s="21"/>
      <c r="K103" s="21"/>
      <c r="L103" s="22"/>
      <c r="M103" s="23"/>
      <c r="O103" s="24"/>
      <c r="P103" s="25"/>
      <c r="Q103" s="26"/>
    </row>
    <row r="104" spans="3:17" ht="31.5" x14ac:dyDescent="0.25">
      <c r="C104" s="27" t="s">
        <v>68</v>
      </c>
      <c r="D104" s="28" t="s">
        <v>16</v>
      </c>
      <c r="E104" s="63"/>
      <c r="F104" s="31"/>
      <c r="G104" s="31"/>
      <c r="H104" s="31"/>
      <c r="I104" s="31">
        <f>SUM(I105:I130)</f>
        <v>244060.79999999999</v>
      </c>
      <c r="J104" s="31">
        <f>J106+J108+J110+J112+J114+J118+J127</f>
        <v>1333601.061383897</v>
      </c>
      <c r="K104" s="31">
        <f>SUM(K105:K130)</f>
        <v>1577661.861383897</v>
      </c>
      <c r="L104" s="32">
        <f>SUM(L105:L130)</f>
        <v>244060.79999999999</v>
      </c>
      <c r="M104" s="101" t="s">
        <v>230</v>
      </c>
      <c r="N104" s="6"/>
      <c r="O104" s="24"/>
      <c r="P104" s="25"/>
      <c r="Q104" s="26"/>
    </row>
    <row r="105" spans="3:17" x14ac:dyDescent="0.25">
      <c r="C105" s="33" t="s">
        <v>231</v>
      </c>
      <c r="D105" s="34" t="s">
        <v>21</v>
      </c>
      <c r="E105" s="35" t="s">
        <v>22</v>
      </c>
      <c r="F105" s="36">
        <v>1345.39</v>
      </c>
      <c r="G105" s="36">
        <v>25</v>
      </c>
      <c r="H105" s="36"/>
      <c r="I105" s="36">
        <f>F105*G105</f>
        <v>33634.75</v>
      </c>
      <c r="J105" s="36"/>
      <c r="K105" s="36">
        <f>J105+I105</f>
        <v>33634.75</v>
      </c>
      <c r="L105" s="37">
        <f>F105*25</f>
        <v>33634.75</v>
      </c>
      <c r="M105" s="38"/>
      <c r="N105" s="39"/>
      <c r="O105" s="40"/>
      <c r="P105" s="40"/>
      <c r="Q105" s="40"/>
    </row>
    <row r="106" spans="3:17" ht="31.5" x14ac:dyDescent="0.25">
      <c r="C106" s="84" t="s">
        <v>232</v>
      </c>
      <c r="D106" s="76" t="s">
        <v>24</v>
      </c>
      <c r="E106" s="85" t="s">
        <v>25</v>
      </c>
      <c r="F106" s="86">
        <v>67.27</v>
      </c>
      <c r="G106" s="86">
        <v>100</v>
      </c>
      <c r="H106" s="86">
        <f>J106/F106</f>
        <v>291.46749999999997</v>
      </c>
      <c r="I106" s="86">
        <f>G106*F106</f>
        <v>6727</v>
      </c>
      <c r="J106" s="86">
        <f>SUM(J107)</f>
        <v>19607.018724999998</v>
      </c>
      <c r="K106" s="86">
        <f>J106+I106</f>
        <v>26334.018724999998</v>
      </c>
      <c r="L106" s="87">
        <f>I106</f>
        <v>6727</v>
      </c>
      <c r="M106" s="79"/>
      <c r="N106" s="39"/>
      <c r="O106" s="40"/>
      <c r="P106" s="40"/>
      <c r="Q106" s="40"/>
    </row>
    <row r="107" spans="3:17" x14ac:dyDescent="0.25">
      <c r="C107" s="77"/>
      <c r="D107" s="78" t="s">
        <v>26</v>
      </c>
      <c r="E107" s="79" t="s">
        <v>27</v>
      </c>
      <c r="F107" s="80">
        <f>F106*1.15*1.37</f>
        <v>105.98388499999999</v>
      </c>
      <c r="G107" s="81"/>
      <c r="H107" s="80">
        <v>185</v>
      </c>
      <c r="I107" s="80"/>
      <c r="J107" s="80">
        <f>H107*F107</f>
        <v>19607.018724999998</v>
      </c>
      <c r="K107" s="82"/>
      <c r="L107" s="83"/>
      <c r="M107" s="79" t="s">
        <v>233</v>
      </c>
      <c r="N107" s="47"/>
      <c r="O107" s="48"/>
      <c r="P107" s="48"/>
      <c r="Q107" s="48"/>
    </row>
    <row r="108" spans="3:17" ht="31.5" x14ac:dyDescent="0.25">
      <c r="C108" s="33" t="s">
        <v>234</v>
      </c>
      <c r="D108" s="34" t="s">
        <v>29</v>
      </c>
      <c r="E108" s="35" t="s">
        <v>19</v>
      </c>
      <c r="F108" s="36">
        <v>549.63</v>
      </c>
      <c r="G108" s="36">
        <v>60</v>
      </c>
      <c r="H108" s="36">
        <f>J108/F108</f>
        <v>120.175</v>
      </c>
      <c r="I108" s="36">
        <f>G108*F108</f>
        <v>32977.800000000003</v>
      </c>
      <c r="J108" s="36">
        <f>SUM(J109)</f>
        <v>66051.785250000001</v>
      </c>
      <c r="K108" s="36">
        <f>J108+I108</f>
        <v>99029.585250000004</v>
      </c>
      <c r="L108" s="37">
        <f>I108</f>
        <v>32977.800000000003</v>
      </c>
      <c r="M108" s="38"/>
      <c r="N108" s="39"/>
      <c r="O108" s="40"/>
      <c r="P108" s="40"/>
      <c r="Q108" s="40"/>
    </row>
    <row r="109" spans="3:17" x14ac:dyDescent="0.25">
      <c r="C109" s="77"/>
      <c r="D109" s="78" t="s">
        <v>30</v>
      </c>
      <c r="E109" s="79" t="s">
        <v>27</v>
      </c>
      <c r="F109" s="80">
        <f>F108*1.15*1.1</f>
        <v>695.28194999999994</v>
      </c>
      <c r="G109" s="81"/>
      <c r="H109" s="80">
        <v>95</v>
      </c>
      <c r="I109" s="80"/>
      <c r="J109" s="80">
        <f>H109*F109</f>
        <v>66051.785250000001</v>
      </c>
      <c r="K109" s="82"/>
      <c r="L109" s="83"/>
      <c r="M109" s="79" t="s">
        <v>235</v>
      </c>
      <c r="N109" s="47"/>
      <c r="O109" s="48"/>
      <c r="P109" s="48"/>
      <c r="Q109" s="48"/>
    </row>
    <row r="110" spans="3:17" ht="18" x14ac:dyDescent="0.25">
      <c r="C110" s="33" t="s">
        <v>236</v>
      </c>
      <c r="D110" s="34" t="s">
        <v>32</v>
      </c>
      <c r="E110" s="35" t="s">
        <v>33</v>
      </c>
      <c r="F110" s="36">
        <v>130</v>
      </c>
      <c r="G110" s="36">
        <v>120</v>
      </c>
      <c r="H110" s="36">
        <f>J110/F110</f>
        <v>864.89726385542167</v>
      </c>
      <c r="I110" s="36">
        <f>F110*G110</f>
        <v>15600</v>
      </c>
      <c r="J110" s="36">
        <f>SUM(J111)</f>
        <v>112436.64430120481</v>
      </c>
      <c r="K110" s="36">
        <f>J110+I110</f>
        <v>128036.64430120481</v>
      </c>
      <c r="L110" s="37">
        <f>I110</f>
        <v>15600</v>
      </c>
      <c r="M110" s="38"/>
      <c r="N110" s="39"/>
      <c r="O110" s="40"/>
      <c r="P110" s="40"/>
      <c r="Q110" s="40"/>
    </row>
    <row r="111" spans="3:17" x14ac:dyDescent="0.25">
      <c r="C111" s="41"/>
      <c r="D111" s="42" t="s">
        <v>237</v>
      </c>
      <c r="E111" s="38" t="s">
        <v>35</v>
      </c>
      <c r="F111" s="43">
        <f>F110*1.02</f>
        <v>132.6</v>
      </c>
      <c r="G111" s="44"/>
      <c r="H111" s="43">
        <f>281515.58/332</f>
        <v>847.93849397590361</v>
      </c>
      <c r="I111" s="43"/>
      <c r="J111" s="43">
        <f>F111*H111</f>
        <v>112436.64430120481</v>
      </c>
      <c r="K111" s="45"/>
      <c r="L111" s="46"/>
      <c r="M111" s="38"/>
      <c r="N111" s="47"/>
      <c r="O111" s="48"/>
      <c r="P111" s="48"/>
      <c r="Q111" s="48"/>
    </row>
    <row r="112" spans="3:17" ht="31.5" x14ac:dyDescent="0.25">
      <c r="C112" s="84" t="s">
        <v>238</v>
      </c>
      <c r="D112" s="76" t="s">
        <v>37</v>
      </c>
      <c r="E112" s="85" t="s">
        <v>38</v>
      </c>
      <c r="F112" s="86">
        <v>16.649999999999999</v>
      </c>
      <c r="G112" s="86">
        <v>200</v>
      </c>
      <c r="H112" s="86"/>
      <c r="I112" s="86">
        <f>G112*F112</f>
        <v>3329.9999999999995</v>
      </c>
      <c r="J112" s="86">
        <f>SUM(J113)</f>
        <v>8269.5</v>
      </c>
      <c r="K112" s="86">
        <f>J112+I112</f>
        <v>11599.5</v>
      </c>
      <c r="L112" s="87">
        <f>I112</f>
        <v>3329.9999999999995</v>
      </c>
      <c r="M112" s="79" t="s">
        <v>239</v>
      </c>
      <c r="N112" s="39"/>
      <c r="O112" s="40"/>
      <c r="P112" s="40"/>
      <c r="Q112" s="40"/>
    </row>
    <row r="113" spans="3:17" x14ac:dyDescent="0.25">
      <c r="C113" s="41"/>
      <c r="D113" s="42" t="s">
        <v>39</v>
      </c>
      <c r="E113" s="38" t="s">
        <v>40</v>
      </c>
      <c r="F113" s="43">
        <v>1</v>
      </c>
      <c r="G113" s="44"/>
      <c r="H113" s="43">
        <v>8269.5</v>
      </c>
      <c r="I113" s="43"/>
      <c r="J113" s="43">
        <f>H113*F113</f>
        <v>8269.5</v>
      </c>
      <c r="K113" s="45"/>
      <c r="L113" s="46"/>
      <c r="M113" s="38"/>
      <c r="N113" s="47"/>
      <c r="O113" s="48"/>
      <c r="P113" s="48"/>
      <c r="Q113" s="48"/>
    </row>
    <row r="114" spans="3:17" ht="31.5" x14ac:dyDescent="0.25">
      <c r="C114" s="84" t="s">
        <v>240</v>
      </c>
      <c r="D114" s="76" t="s">
        <v>42</v>
      </c>
      <c r="E114" s="85" t="s">
        <v>38</v>
      </c>
      <c r="F114" s="86">
        <v>16.649999999999999</v>
      </c>
      <c r="G114" s="86">
        <v>25</v>
      </c>
      <c r="H114" s="86"/>
      <c r="I114" s="86">
        <f>G114*F114</f>
        <v>416.24999999999994</v>
      </c>
      <c r="J114" s="86">
        <f>SUM(J115:J117)</f>
        <v>10561.671200000001</v>
      </c>
      <c r="K114" s="86">
        <f>J114+I114</f>
        <v>10977.921200000001</v>
      </c>
      <c r="L114" s="87">
        <f>I114</f>
        <v>416.24999999999994</v>
      </c>
      <c r="M114" s="79" t="s">
        <v>241</v>
      </c>
      <c r="N114" s="39"/>
      <c r="O114" s="40"/>
      <c r="P114" s="40"/>
      <c r="Q114" s="40"/>
    </row>
    <row r="115" spans="3:17" x14ac:dyDescent="0.25">
      <c r="C115" s="41"/>
      <c r="D115" s="42" t="s">
        <v>43</v>
      </c>
      <c r="E115" s="38" t="s">
        <v>19</v>
      </c>
      <c r="F115" s="43">
        <v>0.16</v>
      </c>
      <c r="G115" s="44"/>
      <c r="H115" s="43">
        <v>1448.57</v>
      </c>
      <c r="I115" s="43"/>
      <c r="J115" s="43">
        <f>H115*F115</f>
        <v>231.77119999999999</v>
      </c>
      <c r="K115" s="45"/>
      <c r="L115" s="46"/>
      <c r="M115" s="38"/>
      <c r="N115" s="47"/>
      <c r="O115" s="48"/>
      <c r="P115" s="48"/>
      <c r="Q115" s="48"/>
    </row>
    <row r="116" spans="3:17" x14ac:dyDescent="0.25">
      <c r="C116" s="41"/>
      <c r="D116" s="42" t="s">
        <v>242</v>
      </c>
      <c r="E116" s="38" t="s">
        <v>38</v>
      </c>
      <c r="F116" s="43">
        <f>F114</f>
        <v>16.649999999999999</v>
      </c>
      <c r="G116" s="44"/>
      <c r="H116" s="43">
        <v>6</v>
      </c>
      <c r="I116" s="43"/>
      <c r="J116" s="43">
        <f>H116*F116</f>
        <v>99.899999999999991</v>
      </c>
      <c r="K116" s="45"/>
      <c r="L116" s="46"/>
      <c r="M116" s="38"/>
      <c r="N116" s="47"/>
      <c r="O116" s="48"/>
      <c r="P116" s="48"/>
      <c r="Q116" s="48"/>
    </row>
    <row r="117" spans="3:17" x14ac:dyDescent="0.25">
      <c r="C117" s="77"/>
      <c r="D117" s="78" t="s">
        <v>243</v>
      </c>
      <c r="E117" s="79" t="s">
        <v>46</v>
      </c>
      <c r="F117" s="80">
        <v>3</v>
      </c>
      <c r="G117" s="81"/>
      <c r="H117" s="80">
        <f>15.5*220</f>
        <v>3410</v>
      </c>
      <c r="I117" s="80"/>
      <c r="J117" s="80">
        <f>H117*F117</f>
        <v>10230</v>
      </c>
      <c r="K117" s="82"/>
      <c r="L117" s="83"/>
      <c r="M117" s="79" t="s">
        <v>244</v>
      </c>
      <c r="N117" s="47"/>
      <c r="O117" s="48"/>
      <c r="P117" s="48"/>
      <c r="Q117" s="48"/>
    </row>
    <row r="118" spans="3:17" ht="47.25" x14ac:dyDescent="0.25">
      <c r="C118" s="89" t="s">
        <v>245</v>
      </c>
      <c r="D118" s="90" t="s">
        <v>48</v>
      </c>
      <c r="E118" s="91" t="s">
        <v>19</v>
      </c>
      <c r="F118" s="92">
        <f>147+355</f>
        <v>502</v>
      </c>
      <c r="G118" s="92">
        <v>300</v>
      </c>
      <c r="H118" s="92"/>
      <c r="I118" s="92">
        <f>G118*F118</f>
        <v>150600</v>
      </c>
      <c r="J118" s="92">
        <f>SUM(J119:J126)</f>
        <v>1110808.3096</v>
      </c>
      <c r="K118" s="92">
        <f>J118+I118</f>
        <v>1261408.3096</v>
      </c>
      <c r="L118" s="93">
        <f>I118</f>
        <v>150600</v>
      </c>
      <c r="M118" s="94" t="s">
        <v>246</v>
      </c>
      <c r="N118" s="39"/>
      <c r="O118" s="50" t="s">
        <v>247</v>
      </c>
      <c r="P118" s="40"/>
      <c r="Q118" s="40"/>
    </row>
    <row r="119" spans="3:17" x14ac:dyDescent="0.25">
      <c r="C119" s="41"/>
      <c r="D119" s="42" t="s">
        <v>248</v>
      </c>
      <c r="E119" s="38" t="s">
        <v>35</v>
      </c>
      <c r="F119" s="43">
        <f>1.02*F118</f>
        <v>512.04</v>
      </c>
      <c r="G119" s="44"/>
      <c r="H119" s="43">
        <f>1247594.88/1246</f>
        <v>1001.2799999999999</v>
      </c>
      <c r="I119" s="43"/>
      <c r="J119" s="43">
        <f t="shared" ref="J119:J126" si="0">F119*H119</f>
        <v>512695.41119999991</v>
      </c>
      <c r="K119" s="45"/>
      <c r="L119" s="46"/>
      <c r="M119" s="38"/>
      <c r="N119" s="47"/>
      <c r="O119" s="48"/>
      <c r="P119" s="48"/>
      <c r="Q119" s="48"/>
    </row>
    <row r="120" spans="3:17" x14ac:dyDescent="0.25">
      <c r="C120" s="41"/>
      <c r="D120" s="42" t="s">
        <v>50</v>
      </c>
      <c r="E120" s="38" t="s">
        <v>27</v>
      </c>
      <c r="F120" s="51">
        <v>1.008</v>
      </c>
      <c r="G120" s="44"/>
      <c r="H120" s="43">
        <v>12100</v>
      </c>
      <c r="I120" s="43"/>
      <c r="J120" s="43">
        <f t="shared" si="0"/>
        <v>12196.8</v>
      </c>
      <c r="K120" s="45"/>
      <c r="L120" s="46"/>
      <c r="M120" s="38"/>
      <c r="N120" s="47"/>
      <c r="O120" s="48"/>
      <c r="P120" s="48"/>
      <c r="Q120" s="48"/>
    </row>
    <row r="121" spans="3:17" x14ac:dyDescent="0.25">
      <c r="C121" s="41"/>
      <c r="D121" s="42" t="s">
        <v>51</v>
      </c>
      <c r="E121" s="38" t="s">
        <v>27</v>
      </c>
      <c r="F121" s="51">
        <v>23.404499999999999</v>
      </c>
      <c r="G121" s="44"/>
      <c r="H121" s="43">
        <v>12100</v>
      </c>
      <c r="I121" s="43"/>
      <c r="J121" s="43">
        <f t="shared" si="0"/>
        <v>283194.45</v>
      </c>
      <c r="K121" s="45"/>
      <c r="M121" s="38"/>
      <c r="N121" s="47"/>
      <c r="O121" s="48"/>
      <c r="P121" s="48"/>
      <c r="Q121" s="48"/>
    </row>
    <row r="122" spans="3:17" x14ac:dyDescent="0.25">
      <c r="C122" s="41"/>
      <c r="D122" s="42" t="s">
        <v>52</v>
      </c>
      <c r="E122" s="38" t="s">
        <v>27</v>
      </c>
      <c r="F122" s="51">
        <v>23.333100000000002</v>
      </c>
      <c r="G122" s="44"/>
      <c r="H122" s="43">
        <v>12100</v>
      </c>
      <c r="I122" s="43"/>
      <c r="J122" s="43">
        <f t="shared" si="0"/>
        <v>282330.51</v>
      </c>
      <c r="K122" s="45"/>
      <c r="L122" s="46"/>
      <c r="M122" s="38"/>
      <c r="N122" s="47"/>
      <c r="O122" s="48"/>
      <c r="P122" s="48"/>
      <c r="Q122" s="48"/>
    </row>
    <row r="123" spans="3:17" x14ac:dyDescent="0.25">
      <c r="C123" s="52"/>
      <c r="D123" s="53" t="s">
        <v>53</v>
      </c>
      <c r="E123" s="54" t="s">
        <v>54</v>
      </c>
      <c r="F123" s="55">
        <f>((8/1000)*(SUM(F120:F122)))/1.05</f>
        <v>0.36377599999999999</v>
      </c>
      <c r="G123" s="56"/>
      <c r="H123" s="58">
        <v>15900</v>
      </c>
      <c r="I123" s="58"/>
      <c r="J123" s="43">
        <f t="shared" si="0"/>
        <v>5784.0383999999995</v>
      </c>
      <c r="K123" s="59"/>
      <c r="L123" s="60"/>
      <c r="M123" s="38"/>
      <c r="N123" s="47"/>
      <c r="O123" s="61"/>
      <c r="P123" s="61"/>
      <c r="Q123" s="61"/>
    </row>
    <row r="124" spans="3:17" x14ac:dyDescent="0.25">
      <c r="C124" s="52"/>
      <c r="D124" s="53" t="s">
        <v>55</v>
      </c>
      <c r="E124" s="54" t="s">
        <v>54</v>
      </c>
      <c r="F124" s="62">
        <f>7.14/1000</f>
        <v>7.1399999999999996E-3</v>
      </c>
      <c r="G124" s="56"/>
      <c r="H124" s="58">
        <v>15000</v>
      </c>
      <c r="I124" s="58"/>
      <c r="J124" s="43">
        <f t="shared" si="0"/>
        <v>107.1</v>
      </c>
      <c r="K124" s="59"/>
      <c r="L124" s="60"/>
      <c r="M124" s="38"/>
      <c r="N124" s="47"/>
      <c r="O124" s="61"/>
      <c r="P124" s="61"/>
      <c r="Q124" s="61"/>
    </row>
    <row r="125" spans="3:17" x14ac:dyDescent="0.25">
      <c r="C125" s="41"/>
      <c r="D125" s="42" t="s">
        <v>56</v>
      </c>
      <c r="E125" s="38" t="s">
        <v>57</v>
      </c>
      <c r="F125" s="43">
        <v>1</v>
      </c>
      <c r="G125" s="44"/>
      <c r="H125" s="43">
        <v>13000</v>
      </c>
      <c r="I125" s="43"/>
      <c r="J125" s="43">
        <f t="shared" si="0"/>
        <v>13000</v>
      </c>
      <c r="K125" s="45"/>
      <c r="L125" s="46"/>
      <c r="M125" s="38"/>
      <c r="N125" s="47"/>
      <c r="O125" s="48"/>
      <c r="P125" s="48"/>
      <c r="Q125" s="48"/>
    </row>
    <row r="126" spans="3:17" ht="63" x14ac:dyDescent="0.25">
      <c r="C126" s="52"/>
      <c r="D126" s="53" t="s">
        <v>58</v>
      </c>
      <c r="E126" s="38" t="s">
        <v>59</v>
      </c>
      <c r="F126" s="58">
        <f>1*6</f>
        <v>6</v>
      </c>
      <c r="G126" s="56"/>
      <c r="H126" s="58">
        <f>170+40+40</f>
        <v>250</v>
      </c>
      <c r="I126" s="58"/>
      <c r="J126" s="43">
        <f t="shared" si="0"/>
        <v>1500</v>
      </c>
      <c r="K126" s="59"/>
      <c r="L126" s="60"/>
      <c r="M126" s="38" t="s">
        <v>249</v>
      </c>
      <c r="N126" s="47"/>
      <c r="O126" s="61"/>
      <c r="P126" s="61"/>
      <c r="Q126" s="61"/>
    </row>
    <row r="127" spans="3:17" ht="31.5" x14ac:dyDescent="0.25">
      <c r="C127" s="84" t="s">
        <v>250</v>
      </c>
      <c r="D127" s="76" t="s">
        <v>61</v>
      </c>
      <c r="E127" s="85" t="s">
        <v>38</v>
      </c>
      <c r="F127" s="86">
        <f>18+13</f>
        <v>31</v>
      </c>
      <c r="G127" s="86">
        <v>25</v>
      </c>
      <c r="H127" s="86"/>
      <c r="I127" s="86">
        <f>G127*F127</f>
        <v>775</v>
      </c>
      <c r="J127" s="86">
        <f>SUM(J128:J130)</f>
        <v>5866.1323076923081</v>
      </c>
      <c r="K127" s="86">
        <f>J127+I127</f>
        <v>6641.1323076923081</v>
      </c>
      <c r="L127" s="87">
        <f>I127</f>
        <v>775</v>
      </c>
      <c r="M127" s="79" t="s">
        <v>251</v>
      </c>
      <c r="N127" s="39"/>
      <c r="O127" s="40" t="s">
        <v>252</v>
      </c>
      <c r="P127" s="40"/>
      <c r="Q127" s="40"/>
    </row>
    <row r="128" spans="3:17" x14ac:dyDescent="0.25">
      <c r="C128" s="41"/>
      <c r="D128" s="42" t="s">
        <v>62</v>
      </c>
      <c r="E128" s="38" t="s">
        <v>38</v>
      </c>
      <c r="F128" s="43">
        <f>18+13</f>
        <v>31</v>
      </c>
      <c r="G128" s="44"/>
      <c r="H128" s="43">
        <f>7711.2/60</f>
        <v>128.52000000000001</v>
      </c>
      <c r="I128" s="43"/>
      <c r="J128" s="43">
        <f>H128*F128</f>
        <v>3984.1200000000003</v>
      </c>
      <c r="K128" s="45"/>
      <c r="L128" s="46"/>
      <c r="M128" s="38"/>
      <c r="N128" s="47"/>
      <c r="O128" s="48"/>
      <c r="P128" s="48"/>
      <c r="Q128" s="48"/>
    </row>
    <row r="129" spans="3:17" x14ac:dyDescent="0.25">
      <c r="C129" s="41"/>
      <c r="D129" s="42" t="s">
        <v>63</v>
      </c>
      <c r="E129" s="38" t="s">
        <v>64</v>
      </c>
      <c r="F129" s="43">
        <f>4+3</f>
        <v>7</v>
      </c>
      <c r="G129" s="44"/>
      <c r="H129" s="43">
        <f>2536.36/13</f>
        <v>195.10461538461539</v>
      </c>
      <c r="I129" s="43"/>
      <c r="J129" s="43">
        <f>H129*F129</f>
        <v>1365.7323076923076</v>
      </c>
      <c r="K129" s="45"/>
      <c r="L129" s="46"/>
      <c r="M129" s="38"/>
      <c r="N129" s="47"/>
      <c r="O129" s="48"/>
      <c r="P129" s="48"/>
      <c r="Q129" s="48"/>
    </row>
    <row r="130" spans="3:17" x14ac:dyDescent="0.25">
      <c r="C130" s="41"/>
      <c r="D130" s="42" t="s">
        <v>65</v>
      </c>
      <c r="E130" s="38" t="s">
        <v>64</v>
      </c>
      <c r="F130" s="43">
        <f>1+1</f>
        <v>2</v>
      </c>
      <c r="G130" s="44"/>
      <c r="H130" s="43">
        <f>1032.56/4</f>
        <v>258.14</v>
      </c>
      <c r="I130" s="43"/>
      <c r="J130" s="43">
        <f>H130*F130</f>
        <v>516.28</v>
      </c>
      <c r="K130" s="45"/>
      <c r="L130" s="46"/>
      <c r="M130" s="38"/>
      <c r="N130" s="47"/>
      <c r="O130" s="48"/>
      <c r="P130" s="48"/>
      <c r="Q130" s="48"/>
    </row>
    <row r="131" spans="3:17" ht="31.5" x14ac:dyDescent="0.25">
      <c r="C131" s="27" t="s">
        <v>71</v>
      </c>
      <c r="D131" s="28" t="s">
        <v>253</v>
      </c>
      <c r="E131" s="63"/>
      <c r="F131" s="31"/>
      <c r="G131" s="31"/>
      <c r="H131" s="31"/>
      <c r="I131" s="31">
        <f>SUM(I132:I149)</f>
        <v>150715.5</v>
      </c>
      <c r="J131" s="31">
        <f>J133+J135+J137+J146</f>
        <v>893377.18909899355</v>
      </c>
      <c r="K131" s="31">
        <f>SUM(K132:K149)</f>
        <v>1044092.6890989935</v>
      </c>
      <c r="L131" s="32">
        <f>SUM(L132:L149)</f>
        <v>150715.5</v>
      </c>
      <c r="M131" s="101" t="s">
        <v>230</v>
      </c>
      <c r="N131" s="6"/>
      <c r="O131" s="24"/>
      <c r="P131" s="25"/>
      <c r="Q131" s="26"/>
    </row>
    <row r="132" spans="3:17" x14ac:dyDescent="0.25">
      <c r="C132" s="33" t="s">
        <v>254</v>
      </c>
      <c r="D132" s="34" t="s">
        <v>21</v>
      </c>
      <c r="E132" s="35" t="s">
        <v>22</v>
      </c>
      <c r="F132" s="36">
        <v>1057.22</v>
      </c>
      <c r="G132" s="36">
        <v>25</v>
      </c>
      <c r="H132" s="36"/>
      <c r="I132" s="36">
        <f>F132*G132</f>
        <v>26430.5</v>
      </c>
      <c r="J132" s="36"/>
      <c r="K132" s="36">
        <f>J132+I132</f>
        <v>26430.5</v>
      </c>
      <c r="L132" s="37">
        <f>F132*25</f>
        <v>26430.5</v>
      </c>
      <c r="M132" s="38"/>
      <c r="N132" s="39"/>
      <c r="O132" s="40"/>
      <c r="P132" s="40"/>
      <c r="Q132" s="40"/>
    </row>
    <row r="133" spans="3:17" ht="31.5" x14ac:dyDescent="0.25">
      <c r="C133" s="84" t="s">
        <v>255</v>
      </c>
      <c r="D133" s="76" t="s">
        <v>24</v>
      </c>
      <c r="E133" s="85" t="s">
        <v>25</v>
      </c>
      <c r="F133" s="86">
        <v>48</v>
      </c>
      <c r="G133" s="86">
        <v>100</v>
      </c>
      <c r="H133" s="86">
        <f>J133/F133</f>
        <v>291.46749999999997</v>
      </c>
      <c r="I133" s="86">
        <f>G133*F133</f>
        <v>4800</v>
      </c>
      <c r="J133" s="86">
        <f>SUM(J134)</f>
        <v>13990.439999999999</v>
      </c>
      <c r="K133" s="86">
        <f>J133+I133</f>
        <v>18790.439999999999</v>
      </c>
      <c r="L133" s="87">
        <f>I133</f>
        <v>4800</v>
      </c>
      <c r="M133" s="79"/>
      <c r="N133" s="39"/>
      <c r="O133" s="40"/>
      <c r="P133" s="40"/>
      <c r="Q133" s="40"/>
    </row>
    <row r="134" spans="3:17" x14ac:dyDescent="0.25">
      <c r="C134" s="77"/>
      <c r="D134" s="78" t="s">
        <v>26</v>
      </c>
      <c r="E134" s="79" t="s">
        <v>27</v>
      </c>
      <c r="F134" s="80">
        <f>F133*1.15*1.37</f>
        <v>75.623999999999995</v>
      </c>
      <c r="G134" s="81"/>
      <c r="H134" s="80">
        <v>185</v>
      </c>
      <c r="I134" s="80"/>
      <c r="J134" s="80">
        <f>H134*F134</f>
        <v>13990.439999999999</v>
      </c>
      <c r="K134" s="82"/>
      <c r="L134" s="83"/>
      <c r="M134" s="79" t="s">
        <v>233</v>
      </c>
      <c r="N134" s="47"/>
      <c r="O134" s="48"/>
      <c r="P134" s="48"/>
      <c r="Q134" s="48"/>
    </row>
    <row r="135" spans="3:17" ht="18" x14ac:dyDescent="0.25">
      <c r="C135" s="33" t="s">
        <v>256</v>
      </c>
      <c r="D135" s="34" t="s">
        <v>32</v>
      </c>
      <c r="E135" s="35" t="s">
        <v>33</v>
      </c>
      <c r="F135" s="36">
        <v>93</v>
      </c>
      <c r="G135" s="36">
        <v>120</v>
      </c>
      <c r="H135" s="36">
        <f>J135/F135</f>
        <v>864.89726385542156</v>
      </c>
      <c r="I135" s="36">
        <f>F135*G135</f>
        <v>11160</v>
      </c>
      <c r="J135" s="36">
        <f>J136</f>
        <v>80435.44553855421</v>
      </c>
      <c r="K135" s="36">
        <f>J135+I135</f>
        <v>91595.44553855421</v>
      </c>
      <c r="L135" s="37">
        <f>I135</f>
        <v>11160</v>
      </c>
      <c r="M135" s="38"/>
      <c r="N135" s="39"/>
      <c r="O135" s="40"/>
      <c r="P135" s="40"/>
      <c r="Q135" s="40"/>
    </row>
    <row r="136" spans="3:17" x14ac:dyDescent="0.25">
      <c r="C136" s="41"/>
      <c r="D136" s="42" t="s">
        <v>237</v>
      </c>
      <c r="E136" s="38" t="s">
        <v>89</v>
      </c>
      <c r="F136" s="43">
        <f>F135*1.02</f>
        <v>94.86</v>
      </c>
      <c r="G136" s="44"/>
      <c r="H136" s="43">
        <f>281515.58/332</f>
        <v>847.93849397590361</v>
      </c>
      <c r="I136" s="43"/>
      <c r="J136" s="43">
        <f>F136*H136</f>
        <v>80435.44553855421</v>
      </c>
      <c r="K136" s="45"/>
      <c r="L136" s="46"/>
      <c r="M136" s="38"/>
      <c r="N136" s="47"/>
      <c r="O136" s="48"/>
      <c r="P136" s="48"/>
      <c r="Q136" s="48"/>
    </row>
    <row r="137" spans="3:17" ht="47.25" x14ac:dyDescent="0.25">
      <c r="C137" s="89" t="s">
        <v>257</v>
      </c>
      <c r="D137" s="90" t="s">
        <v>90</v>
      </c>
      <c r="E137" s="91" t="s">
        <v>19</v>
      </c>
      <c r="F137" s="92">
        <v>360</v>
      </c>
      <c r="G137" s="92">
        <v>300</v>
      </c>
      <c r="H137" s="92"/>
      <c r="I137" s="92">
        <f>G137*F137</f>
        <v>108000</v>
      </c>
      <c r="J137" s="92">
        <f>SUM(J138:J145)</f>
        <v>796437.08971428557</v>
      </c>
      <c r="K137" s="92">
        <f>J137+I137</f>
        <v>904437.08971428557</v>
      </c>
      <c r="L137" s="93">
        <f>I137</f>
        <v>108000</v>
      </c>
      <c r="M137" s="94" t="s">
        <v>246</v>
      </c>
      <c r="N137" s="39"/>
      <c r="O137" s="40"/>
      <c r="P137" s="40"/>
      <c r="Q137" s="40"/>
    </row>
    <row r="138" spans="3:17" x14ac:dyDescent="0.25">
      <c r="C138" s="41"/>
      <c r="D138" s="42" t="s">
        <v>248</v>
      </c>
      <c r="E138" s="38" t="s">
        <v>89</v>
      </c>
      <c r="F138" s="43">
        <f>1.02*F137</f>
        <v>367.2</v>
      </c>
      <c r="G138" s="44"/>
      <c r="H138" s="43">
        <f>1247594.88/1246</f>
        <v>1001.2799999999999</v>
      </c>
      <c r="I138" s="43"/>
      <c r="J138" s="43">
        <f t="shared" ref="J138:J145" si="1">F138*H138</f>
        <v>367670.01599999995</v>
      </c>
      <c r="K138" s="45"/>
      <c r="L138" s="46"/>
      <c r="M138" s="38"/>
      <c r="N138" s="47"/>
      <c r="O138" s="48"/>
      <c r="P138" s="48"/>
      <c r="Q138" s="48"/>
    </row>
    <row r="139" spans="3:17" x14ac:dyDescent="0.25">
      <c r="C139" s="41"/>
      <c r="D139" s="42" t="s">
        <v>50</v>
      </c>
      <c r="E139" s="38" t="s">
        <v>27</v>
      </c>
      <c r="F139" s="51">
        <f>(742*1.05)/1000</f>
        <v>0.77910000000000001</v>
      </c>
      <c r="G139" s="44"/>
      <c r="H139" s="43">
        <v>12100</v>
      </c>
      <c r="I139" s="43"/>
      <c r="J139" s="43">
        <f t="shared" si="1"/>
        <v>9427.11</v>
      </c>
      <c r="K139" s="45"/>
      <c r="L139" s="46"/>
      <c r="M139" s="38"/>
      <c r="N139" s="47"/>
      <c r="O139" s="48"/>
      <c r="P139" s="48"/>
      <c r="Q139" s="48"/>
    </row>
    <row r="140" spans="3:17" x14ac:dyDescent="0.25">
      <c r="C140" s="41"/>
      <c r="D140" s="42" t="s">
        <v>51</v>
      </c>
      <c r="E140" s="38" t="s">
        <v>27</v>
      </c>
      <c r="F140" s="51">
        <v>16.494499999999999</v>
      </c>
      <c r="G140" s="44"/>
      <c r="H140" s="43">
        <v>12100</v>
      </c>
      <c r="I140" s="43"/>
      <c r="J140" s="43">
        <f t="shared" si="1"/>
        <v>199583.44999999998</v>
      </c>
      <c r="K140" s="45"/>
      <c r="L140" s="46"/>
      <c r="M140" s="38"/>
      <c r="N140" s="47"/>
      <c r="O140" s="48"/>
      <c r="P140" s="48"/>
      <c r="Q140" s="48"/>
    </row>
    <row r="141" spans="3:17" x14ac:dyDescent="0.25">
      <c r="C141" s="41"/>
      <c r="D141" s="42" t="s">
        <v>52</v>
      </c>
      <c r="E141" s="38" t="s">
        <v>27</v>
      </c>
      <c r="F141" s="51">
        <v>16.618400000000001</v>
      </c>
      <c r="G141" s="44"/>
      <c r="H141" s="43">
        <v>12100</v>
      </c>
      <c r="I141" s="43"/>
      <c r="J141" s="43">
        <f t="shared" si="1"/>
        <v>201082.64</v>
      </c>
      <c r="K141" s="45"/>
      <c r="L141" s="46"/>
      <c r="M141" s="38"/>
      <c r="N141" s="47"/>
      <c r="O141" s="48"/>
      <c r="P141" s="48"/>
      <c r="Q141" s="48"/>
    </row>
    <row r="142" spans="3:17" x14ac:dyDescent="0.25">
      <c r="C142" s="52"/>
      <c r="D142" s="53" t="s">
        <v>53</v>
      </c>
      <c r="E142" s="54" t="s">
        <v>54</v>
      </c>
      <c r="F142" s="55">
        <f>((8/1000)*(SUM(F139:F141)))/1.05</f>
        <v>0.2582247619047619</v>
      </c>
      <c r="G142" s="56"/>
      <c r="H142" s="58">
        <v>15900</v>
      </c>
      <c r="I142" s="58"/>
      <c r="J142" s="58">
        <f t="shared" si="1"/>
        <v>4105.773714285714</v>
      </c>
      <c r="K142" s="59"/>
      <c r="L142" s="60"/>
      <c r="M142" s="38"/>
      <c r="N142" s="47"/>
      <c r="O142" s="61"/>
      <c r="P142" s="61"/>
      <c r="Q142" s="61"/>
    </row>
    <row r="143" spans="3:17" x14ac:dyDescent="0.25">
      <c r="C143" s="52"/>
      <c r="D143" s="53" t="s">
        <v>55</v>
      </c>
      <c r="E143" s="54" t="s">
        <v>54</v>
      </c>
      <c r="F143" s="62">
        <f>4.54/1000</f>
        <v>4.5399999999999998E-3</v>
      </c>
      <c r="G143" s="56"/>
      <c r="H143" s="58">
        <v>15000</v>
      </c>
      <c r="I143" s="58"/>
      <c r="J143" s="43">
        <f t="shared" si="1"/>
        <v>68.099999999999994</v>
      </c>
      <c r="K143" s="59"/>
      <c r="L143" s="60"/>
      <c r="M143" s="38"/>
      <c r="N143" s="47"/>
      <c r="O143" s="61"/>
      <c r="P143" s="61"/>
      <c r="Q143" s="61"/>
    </row>
    <row r="144" spans="3:17" x14ac:dyDescent="0.25">
      <c r="C144" s="41"/>
      <c r="D144" s="42" t="s">
        <v>56</v>
      </c>
      <c r="E144" s="38" t="s">
        <v>57</v>
      </c>
      <c r="F144" s="43">
        <v>1</v>
      </c>
      <c r="G144" s="44"/>
      <c r="H144" s="43">
        <v>13000</v>
      </c>
      <c r="I144" s="43"/>
      <c r="J144" s="43">
        <f t="shared" si="1"/>
        <v>13000</v>
      </c>
      <c r="K144" s="45"/>
      <c r="L144" s="46"/>
      <c r="M144" s="38"/>
      <c r="N144" s="47"/>
      <c r="O144" s="48"/>
      <c r="P144" s="48"/>
      <c r="Q144" s="48"/>
    </row>
    <row r="145" spans="3:17" ht="63" x14ac:dyDescent="0.25">
      <c r="C145" s="52"/>
      <c r="D145" s="53" t="s">
        <v>58</v>
      </c>
      <c r="E145" s="38" t="s">
        <v>59</v>
      </c>
      <c r="F145" s="58">
        <f>1*6</f>
        <v>6</v>
      </c>
      <c r="G145" s="56"/>
      <c r="H145" s="58">
        <f>170+40+40</f>
        <v>250</v>
      </c>
      <c r="I145" s="58"/>
      <c r="J145" s="43">
        <f t="shared" si="1"/>
        <v>1500</v>
      </c>
      <c r="K145" s="59"/>
      <c r="L145" s="60"/>
      <c r="M145" s="38" t="s">
        <v>249</v>
      </c>
      <c r="N145" s="47"/>
      <c r="O145" s="61"/>
      <c r="P145" s="61"/>
      <c r="Q145" s="61"/>
    </row>
    <row r="146" spans="3:17" ht="31.5" x14ac:dyDescent="0.25">
      <c r="C146" s="84" t="s">
        <v>258</v>
      </c>
      <c r="D146" s="76" t="s">
        <v>92</v>
      </c>
      <c r="E146" s="85" t="s">
        <v>38</v>
      </c>
      <c r="F146" s="86">
        <v>13</v>
      </c>
      <c r="G146" s="86">
        <v>25</v>
      </c>
      <c r="H146" s="86"/>
      <c r="I146" s="86">
        <f>G146*F146</f>
        <v>325</v>
      </c>
      <c r="J146" s="86">
        <f>SUM(J147:J149)</f>
        <v>2514.2138461538461</v>
      </c>
      <c r="K146" s="86">
        <f>J146+I146</f>
        <v>2839.2138461538461</v>
      </c>
      <c r="L146" s="87">
        <f>I146</f>
        <v>325</v>
      </c>
      <c r="M146" s="79" t="s">
        <v>251</v>
      </c>
      <c r="N146" s="39"/>
      <c r="O146" s="40"/>
      <c r="P146" s="40"/>
      <c r="Q146" s="40"/>
    </row>
    <row r="147" spans="3:17" x14ac:dyDescent="0.25">
      <c r="C147" s="41"/>
      <c r="D147" s="42" t="s">
        <v>62</v>
      </c>
      <c r="E147" s="38" t="s">
        <v>38</v>
      </c>
      <c r="F147" s="43">
        <v>13</v>
      </c>
      <c r="G147" s="44"/>
      <c r="H147" s="43">
        <f>7711.2/60</f>
        <v>128.52000000000001</v>
      </c>
      <c r="I147" s="43"/>
      <c r="J147" s="43">
        <f>H147*F147</f>
        <v>1670.7600000000002</v>
      </c>
      <c r="K147" s="45"/>
      <c r="L147" s="46"/>
      <c r="M147" s="38"/>
      <c r="N147" s="47"/>
      <c r="O147" s="48"/>
      <c r="P147" s="48"/>
      <c r="Q147" s="48"/>
    </row>
    <row r="148" spans="3:17" x14ac:dyDescent="0.25">
      <c r="C148" s="41"/>
      <c r="D148" s="42" t="s">
        <v>63</v>
      </c>
      <c r="E148" s="38" t="s">
        <v>64</v>
      </c>
      <c r="F148" s="43">
        <v>3</v>
      </c>
      <c r="G148" s="44"/>
      <c r="H148" s="43">
        <f>2536.36/13</f>
        <v>195.10461538461539</v>
      </c>
      <c r="I148" s="43"/>
      <c r="J148" s="43">
        <f>H148*F148</f>
        <v>585.31384615384616</v>
      </c>
      <c r="K148" s="45"/>
      <c r="L148" s="46"/>
      <c r="M148" s="38"/>
      <c r="N148" s="47"/>
      <c r="O148" s="48"/>
      <c r="P148" s="48"/>
      <c r="Q148" s="48"/>
    </row>
    <row r="149" spans="3:17" x14ac:dyDescent="0.25">
      <c r="C149" s="41"/>
      <c r="D149" s="42" t="s">
        <v>65</v>
      </c>
      <c r="E149" s="38" t="s">
        <v>64</v>
      </c>
      <c r="F149" s="43">
        <v>1</v>
      </c>
      <c r="G149" s="44"/>
      <c r="H149" s="43">
        <f>1032.56/4</f>
        <v>258.14</v>
      </c>
      <c r="I149" s="43"/>
      <c r="J149" s="43">
        <f>H149*F149</f>
        <v>258.14</v>
      </c>
      <c r="K149" s="45"/>
      <c r="L149" s="46"/>
      <c r="M149" s="38"/>
      <c r="N149" s="47"/>
      <c r="O149" s="48"/>
      <c r="P149" s="48"/>
      <c r="Q149" s="48"/>
    </row>
    <row r="150" spans="3:17" ht="31.5" x14ac:dyDescent="0.25">
      <c r="C150" s="27" t="s">
        <v>73</v>
      </c>
      <c r="D150" s="28" t="s">
        <v>101</v>
      </c>
      <c r="E150" s="63"/>
      <c r="F150" s="31"/>
      <c r="G150" s="31"/>
      <c r="H150" s="31"/>
      <c r="I150" s="31">
        <f>SUM(I151:I170)</f>
        <v>208291.5</v>
      </c>
      <c r="J150" s="31">
        <f>J152+J154+J156+J158+J167</f>
        <v>1009140.2336489935</v>
      </c>
      <c r="K150" s="31">
        <f>SUM(K151:K170)</f>
        <v>1217431.7336489935</v>
      </c>
      <c r="L150" s="32">
        <f>SUM(L151:L170)</f>
        <v>208291.5</v>
      </c>
      <c r="M150" s="101" t="s">
        <v>230</v>
      </c>
      <c r="N150" s="6"/>
      <c r="O150" s="24"/>
      <c r="P150" s="25"/>
      <c r="Q150" s="26"/>
    </row>
    <row r="151" spans="3:17" x14ac:dyDescent="0.25">
      <c r="C151" s="33" t="s">
        <v>259</v>
      </c>
      <c r="D151" s="34" t="s">
        <v>21</v>
      </c>
      <c r="E151" s="35" t="s">
        <v>22</v>
      </c>
      <c r="F151" s="36">
        <v>1057.22</v>
      </c>
      <c r="G151" s="36">
        <v>25</v>
      </c>
      <c r="H151" s="36"/>
      <c r="I151" s="36">
        <f>F151*G151</f>
        <v>26430.5</v>
      </c>
      <c r="J151" s="36"/>
      <c r="K151" s="36">
        <f>J151+I151</f>
        <v>26430.5</v>
      </c>
      <c r="L151" s="37">
        <f>F151*25</f>
        <v>26430.5</v>
      </c>
      <c r="M151" s="38"/>
      <c r="N151" s="39"/>
      <c r="O151" s="40"/>
      <c r="P151" s="40"/>
      <c r="Q151" s="40"/>
    </row>
    <row r="152" spans="3:17" ht="31.5" x14ac:dyDescent="0.25">
      <c r="C152" s="33" t="s">
        <v>260</v>
      </c>
      <c r="D152" s="34" t="s">
        <v>24</v>
      </c>
      <c r="E152" s="35" t="s">
        <v>25</v>
      </c>
      <c r="F152" s="36">
        <v>52.86</v>
      </c>
      <c r="G152" s="36">
        <v>100</v>
      </c>
      <c r="H152" s="36">
        <f>J152/F152</f>
        <v>291.46750000000003</v>
      </c>
      <c r="I152" s="36">
        <f>G152*F152</f>
        <v>5286</v>
      </c>
      <c r="J152" s="36">
        <f>SUM(J153)</f>
        <v>15406.97205</v>
      </c>
      <c r="K152" s="36">
        <f>J152+I152</f>
        <v>20692.97205</v>
      </c>
      <c r="L152" s="37">
        <f>I152</f>
        <v>5286</v>
      </c>
      <c r="M152" s="38"/>
      <c r="N152" s="39"/>
      <c r="O152" s="40"/>
      <c r="P152" s="40"/>
      <c r="Q152" s="40"/>
    </row>
    <row r="153" spans="3:17" x14ac:dyDescent="0.25">
      <c r="C153" s="77"/>
      <c r="D153" s="78" t="s">
        <v>26</v>
      </c>
      <c r="E153" s="79" t="s">
        <v>27</v>
      </c>
      <c r="F153" s="80">
        <f>F152*1.15*1.37</f>
        <v>83.280929999999998</v>
      </c>
      <c r="G153" s="81"/>
      <c r="H153" s="80">
        <v>185</v>
      </c>
      <c r="I153" s="80"/>
      <c r="J153" s="80">
        <f>H153*F153</f>
        <v>15406.97205</v>
      </c>
      <c r="K153" s="82"/>
      <c r="L153" s="83"/>
      <c r="M153" s="79" t="s">
        <v>233</v>
      </c>
      <c r="N153" s="47"/>
      <c r="O153" s="48"/>
      <c r="P153" s="48"/>
      <c r="Q153" s="48"/>
    </row>
    <row r="154" spans="3:17" ht="31.5" x14ac:dyDescent="0.25">
      <c r="C154" s="33" t="s">
        <v>261</v>
      </c>
      <c r="D154" s="34" t="s">
        <v>102</v>
      </c>
      <c r="E154" s="35" t="s">
        <v>19</v>
      </c>
      <c r="F154" s="36">
        <v>951.5</v>
      </c>
      <c r="G154" s="36">
        <v>60</v>
      </c>
      <c r="H154" s="36">
        <f>J154/F154</f>
        <v>120.175</v>
      </c>
      <c r="I154" s="36">
        <f>G154*F154</f>
        <v>57090</v>
      </c>
      <c r="J154" s="36">
        <f>SUM(J155)</f>
        <v>114346.5125</v>
      </c>
      <c r="K154" s="36">
        <f>J154+I154</f>
        <v>171436.51250000001</v>
      </c>
      <c r="L154" s="37">
        <f>I154</f>
        <v>57090</v>
      </c>
      <c r="M154" s="38"/>
      <c r="N154" s="39"/>
      <c r="O154" s="40"/>
      <c r="P154" s="40"/>
      <c r="Q154" s="40"/>
    </row>
    <row r="155" spans="3:17" x14ac:dyDescent="0.25">
      <c r="C155" s="77"/>
      <c r="D155" s="78" t="s">
        <v>30</v>
      </c>
      <c r="E155" s="79" t="s">
        <v>27</v>
      </c>
      <c r="F155" s="80">
        <f>F154*1.15*1.1</f>
        <v>1203.6475</v>
      </c>
      <c r="G155" s="81"/>
      <c r="H155" s="80">
        <v>95</v>
      </c>
      <c r="I155" s="80"/>
      <c r="J155" s="80">
        <f>H155*F155</f>
        <v>114346.5125</v>
      </c>
      <c r="K155" s="82"/>
      <c r="L155" s="83"/>
      <c r="M155" s="79" t="s">
        <v>235</v>
      </c>
      <c r="N155" s="47"/>
      <c r="O155" s="48"/>
      <c r="P155" s="48"/>
      <c r="Q155" s="48"/>
    </row>
    <row r="156" spans="3:17" ht="18" x14ac:dyDescent="0.25">
      <c r="C156" s="33" t="s">
        <v>262</v>
      </c>
      <c r="D156" s="34" t="s">
        <v>32</v>
      </c>
      <c r="E156" s="35" t="s">
        <v>33</v>
      </c>
      <c r="F156" s="36">
        <v>93</v>
      </c>
      <c r="G156" s="36">
        <v>120</v>
      </c>
      <c r="H156" s="36">
        <f>J156/F156</f>
        <v>864.89726385542156</v>
      </c>
      <c r="I156" s="36">
        <f>F156*G156</f>
        <v>11160</v>
      </c>
      <c r="J156" s="36">
        <f>SUM(J157)</f>
        <v>80435.44553855421</v>
      </c>
      <c r="K156" s="36">
        <f>J156+I156</f>
        <v>91595.44553855421</v>
      </c>
      <c r="L156" s="37">
        <f>I156</f>
        <v>11160</v>
      </c>
      <c r="M156" s="38"/>
      <c r="N156" s="39"/>
      <c r="O156" s="40"/>
      <c r="P156" s="40"/>
      <c r="Q156" s="40"/>
    </row>
    <row r="157" spans="3:17" x14ac:dyDescent="0.25">
      <c r="C157" s="41"/>
      <c r="D157" s="42" t="s">
        <v>237</v>
      </c>
      <c r="E157" s="38" t="s">
        <v>89</v>
      </c>
      <c r="F157" s="43">
        <f>F156*1.02</f>
        <v>94.86</v>
      </c>
      <c r="G157" s="44"/>
      <c r="H157" s="43">
        <f>281515.58/332</f>
        <v>847.93849397590361</v>
      </c>
      <c r="I157" s="43"/>
      <c r="J157" s="43">
        <f>F157*H157</f>
        <v>80435.44553855421</v>
      </c>
      <c r="K157" s="45"/>
      <c r="L157" s="46"/>
      <c r="M157" s="38"/>
      <c r="N157" s="47"/>
      <c r="O157" s="48"/>
      <c r="P157" s="48"/>
      <c r="Q157" s="48"/>
    </row>
    <row r="158" spans="3:17" ht="47.25" x14ac:dyDescent="0.25">
      <c r="C158" s="89" t="s">
        <v>263</v>
      </c>
      <c r="D158" s="90" t="s">
        <v>90</v>
      </c>
      <c r="E158" s="91" t="s">
        <v>19</v>
      </c>
      <c r="F158" s="92">
        <v>360</v>
      </c>
      <c r="G158" s="92">
        <v>300</v>
      </c>
      <c r="H158" s="92"/>
      <c r="I158" s="92">
        <f>G158*F158</f>
        <v>108000</v>
      </c>
      <c r="J158" s="92">
        <f>SUM(J159:J166)</f>
        <v>796437.08971428557</v>
      </c>
      <c r="K158" s="92">
        <f>J158+I158</f>
        <v>904437.08971428557</v>
      </c>
      <c r="L158" s="93">
        <f>I158</f>
        <v>108000</v>
      </c>
      <c r="M158" s="94" t="s">
        <v>246</v>
      </c>
      <c r="N158" s="39"/>
      <c r="O158" s="40"/>
      <c r="P158" s="40"/>
      <c r="Q158" s="40"/>
    </row>
    <row r="159" spans="3:17" x14ac:dyDescent="0.25">
      <c r="C159" s="41"/>
      <c r="D159" s="42" t="s">
        <v>264</v>
      </c>
      <c r="E159" s="38" t="s">
        <v>89</v>
      </c>
      <c r="F159" s="43">
        <f>1.02*F158</f>
        <v>367.2</v>
      </c>
      <c r="G159" s="44"/>
      <c r="H159" s="43">
        <f>1247594.88/1246</f>
        <v>1001.2799999999999</v>
      </c>
      <c r="I159" s="43"/>
      <c r="J159" s="43">
        <f t="shared" ref="J159:J166" si="2">F159*H159</f>
        <v>367670.01599999995</v>
      </c>
      <c r="K159" s="45"/>
      <c r="L159" s="46"/>
      <c r="M159" s="38"/>
      <c r="N159" s="47"/>
      <c r="O159" s="48"/>
      <c r="P159" s="48"/>
      <c r="Q159" s="48"/>
    </row>
    <row r="160" spans="3:17" x14ac:dyDescent="0.25">
      <c r="C160" s="41"/>
      <c r="D160" s="42" t="s">
        <v>50</v>
      </c>
      <c r="E160" s="38" t="s">
        <v>27</v>
      </c>
      <c r="F160" s="51">
        <f>(742*1.05)/1000</f>
        <v>0.77910000000000001</v>
      </c>
      <c r="G160" s="44"/>
      <c r="H160" s="43">
        <v>12100</v>
      </c>
      <c r="I160" s="43"/>
      <c r="J160" s="43">
        <f t="shared" si="2"/>
        <v>9427.11</v>
      </c>
      <c r="K160" s="45"/>
      <c r="L160" s="46"/>
      <c r="M160" s="38"/>
      <c r="N160" s="47"/>
      <c r="O160" s="48"/>
      <c r="P160" s="48"/>
      <c r="Q160" s="48"/>
    </row>
    <row r="161" spans="3:17" x14ac:dyDescent="0.25">
      <c r="C161" s="41"/>
      <c r="D161" s="42" t="s">
        <v>51</v>
      </c>
      <c r="E161" s="38" t="s">
        <v>27</v>
      </c>
      <c r="F161" s="51">
        <v>16.494499999999999</v>
      </c>
      <c r="G161" s="44"/>
      <c r="H161" s="43">
        <v>12100</v>
      </c>
      <c r="I161" s="43"/>
      <c r="J161" s="43">
        <f t="shared" si="2"/>
        <v>199583.44999999998</v>
      </c>
      <c r="K161" s="45"/>
      <c r="L161" s="46"/>
      <c r="M161" s="38"/>
      <c r="N161" s="47"/>
      <c r="O161" s="48"/>
      <c r="P161" s="48"/>
      <c r="Q161" s="48"/>
    </row>
    <row r="162" spans="3:17" x14ac:dyDescent="0.25">
      <c r="C162" s="41"/>
      <c r="D162" s="42" t="s">
        <v>52</v>
      </c>
      <c r="E162" s="38" t="s">
        <v>27</v>
      </c>
      <c r="F162" s="51">
        <v>16.618400000000001</v>
      </c>
      <c r="G162" s="44"/>
      <c r="H162" s="43">
        <v>12100</v>
      </c>
      <c r="I162" s="43"/>
      <c r="J162" s="43">
        <f t="shared" si="2"/>
        <v>201082.64</v>
      </c>
      <c r="K162" s="45"/>
      <c r="L162" s="46"/>
      <c r="M162" s="38"/>
      <c r="N162" s="47"/>
      <c r="O162" s="48"/>
      <c r="P162" s="48"/>
      <c r="Q162" s="48"/>
    </row>
    <row r="163" spans="3:17" x14ac:dyDescent="0.25">
      <c r="C163" s="52"/>
      <c r="D163" s="53" t="s">
        <v>53</v>
      </c>
      <c r="E163" s="54" t="s">
        <v>54</v>
      </c>
      <c r="F163" s="55">
        <f>((8/1000)*(SUM(F160:F162)))/1.05</f>
        <v>0.2582247619047619</v>
      </c>
      <c r="G163" s="56"/>
      <c r="H163" s="58">
        <v>15900</v>
      </c>
      <c r="I163" s="58"/>
      <c r="J163" s="43">
        <f t="shared" si="2"/>
        <v>4105.773714285714</v>
      </c>
      <c r="K163" s="59"/>
      <c r="L163" s="60"/>
      <c r="M163" s="38"/>
      <c r="N163" s="47"/>
      <c r="O163" s="61"/>
      <c r="P163" s="61"/>
      <c r="Q163" s="61"/>
    </row>
    <row r="164" spans="3:17" x14ac:dyDescent="0.25">
      <c r="C164" s="41"/>
      <c r="D164" s="42" t="s">
        <v>56</v>
      </c>
      <c r="E164" s="38" t="s">
        <v>57</v>
      </c>
      <c r="F164" s="43">
        <v>1</v>
      </c>
      <c r="G164" s="44"/>
      <c r="H164" s="43">
        <v>13000</v>
      </c>
      <c r="I164" s="43"/>
      <c r="J164" s="43">
        <f t="shared" si="2"/>
        <v>13000</v>
      </c>
      <c r="K164" s="45"/>
      <c r="L164" s="46"/>
      <c r="M164" s="38"/>
      <c r="N164" s="47"/>
      <c r="O164" s="48"/>
      <c r="P164" s="48"/>
      <c r="Q164" s="48"/>
    </row>
    <row r="165" spans="3:17" x14ac:dyDescent="0.25">
      <c r="C165" s="52"/>
      <c r="D165" s="53" t="s">
        <v>55</v>
      </c>
      <c r="E165" s="54" t="s">
        <v>54</v>
      </c>
      <c r="F165" s="62">
        <f>4.54/1000</f>
        <v>4.5399999999999998E-3</v>
      </c>
      <c r="G165" s="56"/>
      <c r="H165" s="58">
        <v>15000</v>
      </c>
      <c r="I165" s="58"/>
      <c r="J165" s="43">
        <f t="shared" si="2"/>
        <v>68.099999999999994</v>
      </c>
      <c r="K165" s="59"/>
      <c r="L165" s="60"/>
      <c r="M165" s="38"/>
      <c r="N165" s="47"/>
      <c r="O165" s="61"/>
      <c r="P165" s="61"/>
      <c r="Q165" s="61"/>
    </row>
    <row r="166" spans="3:17" ht="63" x14ac:dyDescent="0.25">
      <c r="C166" s="52"/>
      <c r="D166" s="53" t="s">
        <v>58</v>
      </c>
      <c r="E166" s="38" t="s">
        <v>59</v>
      </c>
      <c r="F166" s="58">
        <f>1*6</f>
        <v>6</v>
      </c>
      <c r="G166" s="56"/>
      <c r="H166" s="58">
        <f>170+40+40</f>
        <v>250</v>
      </c>
      <c r="I166" s="58"/>
      <c r="J166" s="43">
        <f t="shared" si="2"/>
        <v>1500</v>
      </c>
      <c r="K166" s="59"/>
      <c r="L166" s="60"/>
      <c r="M166" s="38" t="s">
        <v>249</v>
      </c>
      <c r="N166" s="47"/>
      <c r="O166" s="61"/>
      <c r="P166" s="61"/>
      <c r="Q166" s="61"/>
    </row>
    <row r="167" spans="3:17" ht="31.5" x14ac:dyDescent="0.25">
      <c r="C167" s="84" t="s">
        <v>265</v>
      </c>
      <c r="D167" s="76" t="s">
        <v>61</v>
      </c>
      <c r="E167" s="85" t="s">
        <v>38</v>
      </c>
      <c r="F167" s="86">
        <v>13</v>
      </c>
      <c r="G167" s="86">
        <v>25</v>
      </c>
      <c r="H167" s="86"/>
      <c r="I167" s="86">
        <f>G167*F167</f>
        <v>325</v>
      </c>
      <c r="J167" s="86">
        <f>SUM(J168:J170)</f>
        <v>2514.2138461538461</v>
      </c>
      <c r="K167" s="86">
        <f>J167+I167</f>
        <v>2839.2138461538461</v>
      </c>
      <c r="L167" s="87">
        <f>I167</f>
        <v>325</v>
      </c>
      <c r="M167" s="79" t="s">
        <v>251</v>
      </c>
      <c r="N167" s="39"/>
      <c r="O167" s="40"/>
      <c r="P167" s="40"/>
      <c r="Q167" s="40"/>
    </row>
    <row r="168" spans="3:17" x14ac:dyDescent="0.25">
      <c r="C168" s="41"/>
      <c r="D168" s="42" t="s">
        <v>104</v>
      </c>
      <c r="E168" s="38" t="s">
        <v>38</v>
      </c>
      <c r="F168" s="43">
        <f>F167</f>
        <v>13</v>
      </c>
      <c r="G168" s="44"/>
      <c r="H168" s="43">
        <f>7711.2/60</f>
        <v>128.52000000000001</v>
      </c>
      <c r="I168" s="43"/>
      <c r="J168" s="43">
        <f>H168*F168</f>
        <v>1670.7600000000002</v>
      </c>
      <c r="K168" s="45"/>
      <c r="L168" s="46"/>
      <c r="M168" s="38"/>
      <c r="N168" s="47"/>
      <c r="O168" s="48"/>
      <c r="P168" s="48"/>
      <c r="Q168" s="48"/>
    </row>
    <row r="169" spans="3:17" x14ac:dyDescent="0.25">
      <c r="C169" s="41"/>
      <c r="D169" s="42" t="s">
        <v>105</v>
      </c>
      <c r="E169" s="38" t="s">
        <v>64</v>
      </c>
      <c r="F169" s="43">
        <v>3</v>
      </c>
      <c r="G169" s="44"/>
      <c r="H169" s="43">
        <f>2536.36/13</f>
        <v>195.10461538461539</v>
      </c>
      <c r="I169" s="43"/>
      <c r="J169" s="43">
        <f>H169*F169</f>
        <v>585.31384615384616</v>
      </c>
      <c r="K169" s="45"/>
      <c r="L169" s="46"/>
      <c r="M169" s="38"/>
      <c r="N169" s="47"/>
      <c r="O169" s="48"/>
      <c r="P169" s="48"/>
      <c r="Q169" s="48"/>
    </row>
    <row r="170" spans="3:17" x14ac:dyDescent="0.25">
      <c r="C170" s="41"/>
      <c r="D170" s="42" t="s">
        <v>106</v>
      </c>
      <c r="E170" s="38" t="s">
        <v>64</v>
      </c>
      <c r="F170" s="43">
        <v>1</v>
      </c>
      <c r="G170" s="44"/>
      <c r="H170" s="43">
        <f>1032.56/4</f>
        <v>258.14</v>
      </c>
      <c r="I170" s="43"/>
      <c r="J170" s="43">
        <f>H170*F170</f>
        <v>258.14</v>
      </c>
      <c r="K170" s="45"/>
      <c r="L170" s="46"/>
      <c r="M170" s="38"/>
      <c r="N170" s="47"/>
      <c r="O170" s="48"/>
      <c r="P170" s="48"/>
      <c r="Q170" s="48"/>
    </row>
    <row r="171" spans="3:17" ht="47.25" x14ac:dyDescent="0.25">
      <c r="C171" s="65"/>
      <c r="D171" s="66" t="s">
        <v>266</v>
      </c>
      <c r="E171" s="67"/>
      <c r="F171" s="68"/>
      <c r="G171" s="68"/>
      <c r="H171" s="68"/>
      <c r="I171" s="68">
        <f>I150+I131+I104</f>
        <v>603067.80000000005</v>
      </c>
      <c r="J171" s="68">
        <f>J150+J131+J104</f>
        <v>3236118.4841318838</v>
      </c>
      <c r="K171" s="68">
        <f>K150+K131+K104</f>
        <v>3839186.2841318846</v>
      </c>
      <c r="L171" s="69">
        <f>L150+L131+L104</f>
        <v>603067.80000000005</v>
      </c>
      <c r="M171" s="70"/>
    </row>
    <row r="172" spans="3:17" ht="5.25" customHeight="1" x14ac:dyDescent="0.25"/>
    <row r="173" spans="3:17" ht="31.5" x14ac:dyDescent="0.25">
      <c r="C173" s="18" t="s">
        <v>267</v>
      </c>
      <c r="D173" s="19" t="s">
        <v>268</v>
      </c>
      <c r="E173" s="20"/>
      <c r="F173" s="21" t="s">
        <v>109</v>
      </c>
      <c r="G173" s="21" t="s">
        <v>110</v>
      </c>
      <c r="H173" s="21"/>
      <c r="I173" s="21"/>
      <c r="J173" s="21"/>
      <c r="K173" s="21"/>
      <c r="L173" s="22"/>
      <c r="M173" s="23"/>
      <c r="N173" s="6"/>
      <c r="O173" s="24"/>
      <c r="P173" s="25"/>
      <c r="Q173" s="26"/>
    </row>
    <row r="174" spans="3:17" x14ac:dyDescent="0.25">
      <c r="C174" s="27" t="s">
        <v>269</v>
      </c>
      <c r="D174" s="28" t="s">
        <v>270</v>
      </c>
      <c r="E174" s="63"/>
      <c r="F174" s="31" t="s">
        <v>109</v>
      </c>
      <c r="G174" s="31" t="s">
        <v>110</v>
      </c>
      <c r="H174" s="31"/>
      <c r="I174" s="31">
        <f>SUM(I175:I177)</f>
        <v>103105.20000000001</v>
      </c>
      <c r="J174" s="31">
        <f>J176</f>
        <v>77088</v>
      </c>
      <c r="K174" s="31">
        <f>SUM(K175:K177)</f>
        <v>180193.2</v>
      </c>
      <c r="L174" s="32"/>
      <c r="M174" s="64"/>
      <c r="N174" s="6"/>
      <c r="O174" s="24"/>
      <c r="P174" s="25"/>
      <c r="Q174" s="26"/>
    </row>
    <row r="175" spans="3:17" ht="47.25" x14ac:dyDescent="0.25">
      <c r="C175" s="33" t="s">
        <v>271</v>
      </c>
      <c r="D175" s="76" t="s">
        <v>113</v>
      </c>
      <c r="E175" s="35" t="s">
        <v>114</v>
      </c>
      <c r="F175" s="36">
        <v>2409</v>
      </c>
      <c r="G175" s="36">
        <f>1.2*19</f>
        <v>22.8</v>
      </c>
      <c r="H175" s="36"/>
      <c r="I175" s="36">
        <f>G175*F175</f>
        <v>54925.200000000004</v>
      </c>
      <c r="J175" s="36"/>
      <c r="K175" s="36">
        <f>J175+I175</f>
        <v>54925.200000000004</v>
      </c>
      <c r="L175" s="37"/>
      <c r="M175" s="38"/>
      <c r="N175" s="39"/>
      <c r="O175" s="40"/>
      <c r="P175" s="40"/>
      <c r="Q175" s="40"/>
    </row>
    <row r="176" spans="3:17" ht="31.5" x14ac:dyDescent="0.25">
      <c r="C176" s="33" t="s">
        <v>272</v>
      </c>
      <c r="D176" s="34" t="s">
        <v>273</v>
      </c>
      <c r="E176" s="35" t="s">
        <v>114</v>
      </c>
      <c r="F176" s="36">
        <v>2409</v>
      </c>
      <c r="G176" s="86">
        <v>20</v>
      </c>
      <c r="H176" s="36"/>
      <c r="I176" s="36">
        <f>G176*F176</f>
        <v>48180</v>
      </c>
      <c r="J176" s="36">
        <f>SUM(J177)</f>
        <v>77088</v>
      </c>
      <c r="K176" s="36">
        <f>J176+I176</f>
        <v>125268</v>
      </c>
      <c r="L176" s="37"/>
      <c r="M176" s="79" t="s">
        <v>274</v>
      </c>
      <c r="N176" s="39"/>
      <c r="O176" s="40"/>
      <c r="P176" s="40"/>
      <c r="Q176" s="40"/>
    </row>
    <row r="177" spans="3:17" x14ac:dyDescent="0.25">
      <c r="C177" s="41"/>
      <c r="D177" s="42" t="s">
        <v>168</v>
      </c>
      <c r="E177" s="38" t="s">
        <v>19</v>
      </c>
      <c r="F177" s="43">
        <v>481.8</v>
      </c>
      <c r="G177" s="44"/>
      <c r="H177" s="43">
        <v>160</v>
      </c>
      <c r="I177" s="43"/>
      <c r="J177" s="43">
        <f>H177*F177</f>
        <v>77088</v>
      </c>
      <c r="K177" s="45"/>
      <c r="L177" s="46"/>
      <c r="M177" s="38"/>
      <c r="N177" s="47"/>
      <c r="O177" s="48"/>
      <c r="P177" s="48"/>
      <c r="Q177" s="48"/>
    </row>
    <row r="178" spans="3:17" x14ac:dyDescent="0.25">
      <c r="C178" s="27" t="s">
        <v>275</v>
      </c>
      <c r="D178" s="28" t="s">
        <v>108</v>
      </c>
      <c r="E178" s="63"/>
      <c r="F178" s="31" t="s">
        <v>109</v>
      </c>
      <c r="G178" s="31" t="s">
        <v>110</v>
      </c>
      <c r="H178" s="31"/>
      <c r="I178" s="31">
        <f>SUM(I179:I182)</f>
        <v>230659.19999999995</v>
      </c>
      <c r="J178" s="31">
        <f>J182</f>
        <v>0</v>
      </c>
      <c r="K178" s="31">
        <f>SUM(K179:K182)</f>
        <v>230659.19999999995</v>
      </c>
      <c r="L178" s="32"/>
      <c r="M178" s="64"/>
      <c r="N178" s="6"/>
      <c r="O178" s="24"/>
      <c r="P178" s="25"/>
      <c r="Q178" s="26"/>
    </row>
    <row r="179" spans="3:17" ht="47.25" x14ac:dyDescent="0.25">
      <c r="C179" s="33" t="s">
        <v>276</v>
      </c>
      <c r="D179" s="34" t="s">
        <v>111</v>
      </c>
      <c r="E179" s="35" t="s">
        <v>19</v>
      </c>
      <c r="F179" s="36">
        <f>4878.4*0.5</f>
        <v>2439.1999999999998</v>
      </c>
      <c r="G179" s="36">
        <f>1.2*31</f>
        <v>37.199999999999996</v>
      </c>
      <c r="H179" s="36"/>
      <c r="I179" s="36">
        <f>F179*G179</f>
        <v>90738.239999999976</v>
      </c>
      <c r="J179" s="36"/>
      <c r="K179" s="36">
        <f>J179+I179</f>
        <v>90738.239999999976</v>
      </c>
      <c r="L179" s="37"/>
      <c r="M179" s="38"/>
      <c r="N179" s="39"/>
      <c r="O179" s="40"/>
      <c r="P179" s="40"/>
      <c r="Q179" s="40"/>
    </row>
    <row r="180" spans="3:17" ht="31.5" x14ac:dyDescent="0.25">
      <c r="C180" s="33" t="s">
        <v>277</v>
      </c>
      <c r="D180" s="34" t="s">
        <v>278</v>
      </c>
      <c r="E180" s="35" t="s">
        <v>19</v>
      </c>
      <c r="F180" s="36">
        <f>4878.4*0.5</f>
        <v>2439.1999999999998</v>
      </c>
      <c r="G180" s="36">
        <f>1.2*24</f>
        <v>28.799999999999997</v>
      </c>
      <c r="H180" s="36"/>
      <c r="I180" s="36">
        <f>G180*F180</f>
        <v>70248.959999999992</v>
      </c>
      <c r="J180" s="36"/>
      <c r="K180" s="36">
        <f>J180+I180</f>
        <v>70248.959999999992</v>
      </c>
      <c r="L180" s="37"/>
      <c r="M180" s="38"/>
      <c r="N180" s="39"/>
      <c r="O180" s="40"/>
      <c r="P180" s="40"/>
      <c r="Q180" s="40"/>
    </row>
    <row r="181" spans="3:17" ht="78.75" x14ac:dyDescent="0.25">
      <c r="C181" s="33" t="s">
        <v>279</v>
      </c>
      <c r="D181" s="76" t="s">
        <v>112</v>
      </c>
      <c r="E181" s="35" t="s">
        <v>19</v>
      </c>
      <c r="F181" s="36">
        <f>F179</f>
        <v>2439.1999999999998</v>
      </c>
      <c r="G181" s="36">
        <f>1.2*10</f>
        <v>12</v>
      </c>
      <c r="H181" s="36"/>
      <c r="I181" s="36">
        <f>F181*G181</f>
        <v>29270.399999999998</v>
      </c>
      <c r="J181" s="36"/>
      <c r="K181" s="36">
        <f>J181+I181</f>
        <v>29270.399999999998</v>
      </c>
      <c r="L181" s="37"/>
      <c r="M181" s="38"/>
      <c r="N181" s="39"/>
      <c r="O181" s="40"/>
      <c r="P181" s="40"/>
      <c r="Q181" s="40"/>
    </row>
    <row r="182" spans="3:17" ht="47.25" x14ac:dyDescent="0.25">
      <c r="C182" s="33" t="s">
        <v>280</v>
      </c>
      <c r="D182" s="76" t="s">
        <v>113</v>
      </c>
      <c r="E182" s="35" t="s">
        <v>114</v>
      </c>
      <c r="F182" s="36">
        <v>1772</v>
      </c>
      <c r="G182" s="36">
        <f>1.2*19</f>
        <v>22.8</v>
      </c>
      <c r="H182" s="36"/>
      <c r="I182" s="36">
        <f>F182*G182</f>
        <v>40401.599999999999</v>
      </c>
      <c r="J182" s="36"/>
      <c r="K182" s="36">
        <f>J182+I182</f>
        <v>40401.599999999999</v>
      </c>
      <c r="L182" s="37"/>
      <c r="M182" s="38"/>
      <c r="N182" s="39"/>
      <c r="O182" s="40"/>
      <c r="P182" s="40"/>
      <c r="Q182" s="40"/>
    </row>
    <row r="183" spans="3:17" x14ac:dyDescent="0.25">
      <c r="C183" s="27" t="s">
        <v>281</v>
      </c>
      <c r="D183" s="28" t="s">
        <v>116</v>
      </c>
      <c r="E183" s="63"/>
      <c r="F183" s="31" t="s">
        <v>109</v>
      </c>
      <c r="G183" s="31" t="s">
        <v>110</v>
      </c>
      <c r="H183" s="31"/>
      <c r="I183" s="31">
        <f>SUM(I184:I187)</f>
        <v>201840.144</v>
      </c>
      <c r="J183" s="31">
        <f>SUM(J184:J187)</f>
        <v>0</v>
      </c>
      <c r="K183" s="31">
        <f>SUM(K184:K187)</f>
        <v>201840.144</v>
      </c>
      <c r="L183" s="32"/>
      <c r="M183" s="64"/>
      <c r="N183" s="6"/>
      <c r="O183" s="24"/>
      <c r="P183" s="25"/>
      <c r="Q183" s="26"/>
    </row>
    <row r="184" spans="3:17" ht="47.25" x14ac:dyDescent="0.25">
      <c r="C184" s="33" t="s">
        <v>282</v>
      </c>
      <c r="D184" s="34" t="s">
        <v>117</v>
      </c>
      <c r="E184" s="35" t="s">
        <v>19</v>
      </c>
      <c r="F184" s="36">
        <v>2545.63</v>
      </c>
      <c r="G184" s="36">
        <f>1.2*24</f>
        <v>28.799999999999997</v>
      </c>
      <c r="H184" s="36"/>
      <c r="I184" s="36">
        <f>F184*G184</f>
        <v>73314.144</v>
      </c>
      <c r="J184" s="36"/>
      <c r="K184" s="36">
        <f>I184+J184</f>
        <v>73314.144</v>
      </c>
      <c r="L184" s="37"/>
      <c r="M184" s="38"/>
      <c r="N184" s="39"/>
      <c r="O184" s="40"/>
      <c r="P184" s="40"/>
      <c r="Q184" s="40"/>
    </row>
    <row r="185" spans="3:17" ht="31.5" x14ac:dyDescent="0.25">
      <c r="C185" s="33" t="s">
        <v>283</v>
      </c>
      <c r="D185" s="34" t="s">
        <v>118</v>
      </c>
      <c r="E185" s="35" t="s">
        <v>19</v>
      </c>
      <c r="F185" s="36">
        <v>468</v>
      </c>
      <c r="G185" s="36">
        <f>1.2*125</f>
        <v>150</v>
      </c>
      <c r="H185" s="36"/>
      <c r="I185" s="36">
        <f>F185*G185</f>
        <v>70200</v>
      </c>
      <c r="J185" s="36"/>
      <c r="K185" s="36">
        <f>I185+J185</f>
        <v>70200</v>
      </c>
      <c r="L185" s="37"/>
      <c r="M185" s="38"/>
      <c r="N185" s="39"/>
      <c r="O185" s="40"/>
      <c r="P185" s="40"/>
      <c r="Q185" s="40"/>
    </row>
    <row r="186" spans="3:17" ht="110.25" x14ac:dyDescent="0.25">
      <c r="C186" s="33" t="s">
        <v>284</v>
      </c>
      <c r="D186" s="76" t="s">
        <v>119</v>
      </c>
      <c r="E186" s="35" t="s">
        <v>19</v>
      </c>
      <c r="F186" s="36">
        <v>2970</v>
      </c>
      <c r="G186" s="36">
        <f>1.2*10</f>
        <v>12</v>
      </c>
      <c r="H186" s="36"/>
      <c r="I186" s="36">
        <f>F186*G186</f>
        <v>35640</v>
      </c>
      <c r="J186" s="36"/>
      <c r="K186" s="36">
        <f>I186+J186</f>
        <v>35640</v>
      </c>
      <c r="L186" s="37"/>
      <c r="M186" s="38"/>
      <c r="N186" s="39"/>
      <c r="O186" s="40"/>
      <c r="P186" s="40"/>
      <c r="Q186" s="40"/>
    </row>
    <row r="187" spans="3:17" ht="47.25" x14ac:dyDescent="0.25">
      <c r="C187" s="33" t="s">
        <v>285</v>
      </c>
      <c r="D187" s="76" t="s">
        <v>113</v>
      </c>
      <c r="E187" s="35" t="s">
        <v>114</v>
      </c>
      <c r="F187" s="36">
        <v>995</v>
      </c>
      <c r="G187" s="36">
        <f>1.2*19</f>
        <v>22.8</v>
      </c>
      <c r="H187" s="36"/>
      <c r="I187" s="36">
        <f>F187*G187</f>
        <v>22686</v>
      </c>
      <c r="J187" s="36"/>
      <c r="K187" s="36">
        <f>I187+J187</f>
        <v>22686</v>
      </c>
      <c r="L187" s="37"/>
      <c r="M187" s="38"/>
      <c r="N187" s="39"/>
      <c r="O187" s="40"/>
      <c r="P187" s="40"/>
      <c r="Q187" s="40"/>
    </row>
    <row r="188" spans="3:17" x14ac:dyDescent="0.25">
      <c r="C188" s="27" t="s">
        <v>286</v>
      </c>
      <c r="D188" s="28" t="s">
        <v>120</v>
      </c>
      <c r="E188" s="63"/>
      <c r="F188" s="31" t="s">
        <v>109</v>
      </c>
      <c r="G188" s="31" t="s">
        <v>110</v>
      </c>
      <c r="H188" s="31"/>
      <c r="I188" s="31">
        <f>SUM(I189:I192)</f>
        <v>124954.98240000001</v>
      </c>
      <c r="J188" s="31">
        <f>SUM(J189:J192)</f>
        <v>0</v>
      </c>
      <c r="K188" s="31">
        <f>SUM(K189:K192)</f>
        <v>124954.98240000001</v>
      </c>
      <c r="L188" s="32"/>
      <c r="M188" s="64"/>
      <c r="N188" s="6"/>
      <c r="O188" s="24"/>
      <c r="P188" s="25"/>
      <c r="Q188" s="26"/>
    </row>
    <row r="189" spans="3:17" ht="47.25" x14ac:dyDescent="0.25">
      <c r="C189" s="33" t="s">
        <v>287</v>
      </c>
      <c r="D189" s="34" t="s">
        <v>121</v>
      </c>
      <c r="E189" s="35" t="s">
        <v>19</v>
      </c>
      <c r="F189" s="36">
        <f>2176.59*0.8</f>
        <v>1741.2720000000002</v>
      </c>
      <c r="G189" s="36">
        <f>1.2*35</f>
        <v>42</v>
      </c>
      <c r="H189" s="36"/>
      <c r="I189" s="36">
        <f>F189*G189</f>
        <v>73133.424000000014</v>
      </c>
      <c r="J189" s="36"/>
      <c r="K189" s="36">
        <f>J189+I189</f>
        <v>73133.424000000014</v>
      </c>
      <c r="L189" s="37"/>
      <c r="M189" s="38"/>
      <c r="N189" s="39"/>
      <c r="O189" s="40"/>
      <c r="P189" s="40"/>
      <c r="Q189" s="40"/>
    </row>
    <row r="190" spans="3:17" ht="31.5" x14ac:dyDescent="0.25">
      <c r="C190" s="33" t="s">
        <v>288</v>
      </c>
      <c r="D190" s="34" t="s">
        <v>289</v>
      </c>
      <c r="E190" s="35" t="s">
        <v>19</v>
      </c>
      <c r="F190" s="36">
        <f>2176.59*0.2</f>
        <v>435.31800000000004</v>
      </c>
      <c r="G190" s="36">
        <f>1.2*24</f>
        <v>28.799999999999997</v>
      </c>
      <c r="H190" s="36"/>
      <c r="I190" s="36">
        <f>G190*F190</f>
        <v>12537.1584</v>
      </c>
      <c r="J190" s="36"/>
      <c r="K190" s="36">
        <f>I190</f>
        <v>12537.1584</v>
      </c>
      <c r="L190" s="37"/>
      <c r="M190" s="38"/>
      <c r="N190" s="39"/>
      <c r="O190" s="40"/>
      <c r="P190" s="40"/>
      <c r="Q190" s="40"/>
    </row>
    <row r="191" spans="3:17" ht="78.75" x14ac:dyDescent="0.25">
      <c r="C191" s="33" t="s">
        <v>290</v>
      </c>
      <c r="D191" s="76" t="s">
        <v>112</v>
      </c>
      <c r="E191" s="35"/>
      <c r="F191" s="36">
        <v>1444</v>
      </c>
      <c r="G191" s="36">
        <f>1.2*10</f>
        <v>12</v>
      </c>
      <c r="H191" s="36"/>
      <c r="I191" s="36">
        <f>F191*G191</f>
        <v>17328</v>
      </c>
      <c r="J191" s="36"/>
      <c r="K191" s="36">
        <f>J191+I191</f>
        <v>17328</v>
      </c>
      <c r="L191" s="37"/>
      <c r="M191" s="38"/>
      <c r="N191" s="39"/>
      <c r="O191" s="40"/>
      <c r="P191" s="40"/>
      <c r="Q191" s="40"/>
    </row>
    <row r="192" spans="3:17" ht="47.25" x14ac:dyDescent="0.25">
      <c r="C192" s="33" t="s">
        <v>291</v>
      </c>
      <c r="D192" s="76" t="s">
        <v>113</v>
      </c>
      <c r="E192" s="35" t="s">
        <v>114</v>
      </c>
      <c r="F192" s="36">
        <v>963</v>
      </c>
      <c r="G192" s="36">
        <f>1.2*19</f>
        <v>22.8</v>
      </c>
      <c r="H192" s="36"/>
      <c r="I192" s="36">
        <f>F192*G192</f>
        <v>21956.400000000001</v>
      </c>
      <c r="J192" s="36"/>
      <c r="K192" s="36">
        <f>J192+I192</f>
        <v>21956.400000000001</v>
      </c>
      <c r="L192" s="37"/>
      <c r="M192" s="38"/>
      <c r="N192" s="39"/>
      <c r="O192" s="40"/>
      <c r="P192" s="40"/>
      <c r="Q192" s="40"/>
    </row>
    <row r="193" spans="3:17" ht="47.25" x14ac:dyDescent="0.25">
      <c r="C193" s="65"/>
      <c r="D193" s="66" t="s">
        <v>115</v>
      </c>
      <c r="E193" s="67"/>
      <c r="F193" s="68" t="s">
        <v>109</v>
      </c>
      <c r="G193" s="68" t="s">
        <v>110</v>
      </c>
      <c r="H193" s="68"/>
      <c r="I193" s="68">
        <f>I188+I183+I178+I174</f>
        <v>660559.52639999986</v>
      </c>
      <c r="J193" s="68">
        <f>J188+J183+J178+J174</f>
        <v>77088</v>
      </c>
      <c r="K193" s="68">
        <f>K188+K183+K178+K174</f>
        <v>737647.52639999986</v>
      </c>
      <c r="L193" s="69">
        <f>L188+L183+L178+L174</f>
        <v>0</v>
      </c>
      <c r="M193" s="70"/>
    </row>
    <row r="194" spans="3:17" ht="8.25" customHeight="1" x14ac:dyDescent="0.25"/>
    <row r="195" spans="3:17" x14ac:dyDescent="0.25">
      <c r="C195" s="18" t="s">
        <v>292</v>
      </c>
      <c r="D195" s="19" t="s">
        <v>67</v>
      </c>
      <c r="E195" s="20"/>
      <c r="F195" s="21"/>
      <c r="G195" s="21"/>
      <c r="H195" s="21"/>
      <c r="I195" s="21">
        <f>SUM(I196:I202)</f>
        <v>814530</v>
      </c>
      <c r="J195" s="21">
        <f>SUM(J196:J202)</f>
        <v>0</v>
      </c>
      <c r="K195" s="21">
        <f>SUM(K196:K202)</f>
        <v>814530</v>
      </c>
      <c r="L195" s="22">
        <f>SUM(L196:L202)</f>
        <v>339000</v>
      </c>
      <c r="M195" s="23"/>
      <c r="N195" s="6"/>
      <c r="O195" s="24"/>
      <c r="P195" s="25"/>
      <c r="Q195" s="26"/>
    </row>
    <row r="196" spans="3:17" s="39" customFormat="1" ht="32.25" customHeight="1" x14ac:dyDescent="0.25">
      <c r="C196" s="84" t="s">
        <v>293</v>
      </c>
      <c r="D196" s="76" t="s">
        <v>69</v>
      </c>
      <c r="E196" s="85" t="s">
        <v>70</v>
      </c>
      <c r="F196" s="86">
        <v>3</v>
      </c>
      <c r="G196" s="86">
        <v>103000</v>
      </c>
      <c r="H196" s="86"/>
      <c r="I196" s="86">
        <f t="shared" ref="I196:I201" si="3">G196*F196</f>
        <v>309000</v>
      </c>
      <c r="J196" s="86"/>
      <c r="K196" s="86">
        <f t="shared" ref="K196:K202" si="4">J196+I196</f>
        <v>309000</v>
      </c>
      <c r="L196" s="87">
        <f>I196</f>
        <v>309000</v>
      </c>
      <c r="M196" s="79" t="s">
        <v>294</v>
      </c>
      <c r="O196" s="40"/>
      <c r="P196" s="40"/>
      <c r="Q196" s="40"/>
    </row>
    <row r="197" spans="3:17" s="39" customFormat="1" ht="15.75" x14ac:dyDescent="0.25">
      <c r="C197" s="33" t="s">
        <v>295</v>
      </c>
      <c r="D197" s="34" t="s">
        <v>72</v>
      </c>
      <c r="E197" s="35" t="s">
        <v>70</v>
      </c>
      <c r="F197" s="36">
        <v>3</v>
      </c>
      <c r="G197" s="36">
        <v>36000</v>
      </c>
      <c r="H197" s="36"/>
      <c r="I197" s="36">
        <f t="shared" si="3"/>
        <v>108000</v>
      </c>
      <c r="J197" s="36"/>
      <c r="K197" s="36">
        <f t="shared" si="4"/>
        <v>108000</v>
      </c>
      <c r="L197" s="37"/>
      <c r="M197" s="38"/>
      <c r="O197" s="40"/>
      <c r="P197" s="40"/>
      <c r="Q197" s="40"/>
    </row>
    <row r="198" spans="3:17" s="39" customFormat="1" ht="15.75" x14ac:dyDescent="0.25">
      <c r="C198" s="33" t="s">
        <v>296</v>
      </c>
      <c r="D198" s="34" t="s">
        <v>74</v>
      </c>
      <c r="E198" s="35" t="s">
        <v>75</v>
      </c>
      <c r="F198" s="36">
        <v>3</v>
      </c>
      <c r="G198" s="36">
        <v>20000</v>
      </c>
      <c r="H198" s="36"/>
      <c r="I198" s="36">
        <f t="shared" si="3"/>
        <v>60000</v>
      </c>
      <c r="J198" s="36"/>
      <c r="K198" s="36">
        <f t="shared" si="4"/>
        <v>60000</v>
      </c>
      <c r="L198" s="37"/>
      <c r="M198" s="38"/>
      <c r="O198" s="40"/>
      <c r="P198" s="40"/>
      <c r="Q198" s="40"/>
    </row>
    <row r="199" spans="3:17" s="39" customFormat="1" ht="15.75" x14ac:dyDescent="0.25">
      <c r="C199" s="33" t="s">
        <v>297</v>
      </c>
      <c r="D199" s="34" t="s">
        <v>77</v>
      </c>
      <c r="E199" s="35" t="s">
        <v>75</v>
      </c>
      <c r="F199" s="36">
        <v>3</v>
      </c>
      <c r="G199" s="36">
        <v>20000</v>
      </c>
      <c r="H199" s="36"/>
      <c r="I199" s="36">
        <f t="shared" si="3"/>
        <v>60000</v>
      </c>
      <c r="J199" s="36"/>
      <c r="K199" s="36">
        <f t="shared" si="4"/>
        <v>60000</v>
      </c>
      <c r="L199" s="37"/>
      <c r="M199" s="38"/>
      <c r="O199" s="40"/>
      <c r="P199" s="40"/>
      <c r="Q199" s="40"/>
    </row>
    <row r="200" spans="3:17" s="39" customFormat="1" ht="94.5" x14ac:dyDescent="0.25">
      <c r="C200" s="89" t="s">
        <v>298</v>
      </c>
      <c r="D200" s="90" t="s">
        <v>79</v>
      </c>
      <c r="E200" s="91" t="s">
        <v>75</v>
      </c>
      <c r="F200" s="92">
        <f>F158+F137+F118</f>
        <v>1222</v>
      </c>
      <c r="G200" s="92">
        <v>115</v>
      </c>
      <c r="H200" s="92" t="s">
        <v>299</v>
      </c>
      <c r="I200" s="92">
        <f t="shared" si="3"/>
        <v>140530</v>
      </c>
      <c r="J200" s="92"/>
      <c r="K200" s="92">
        <f t="shared" si="4"/>
        <v>140530</v>
      </c>
      <c r="L200" s="93">
        <f>30000</f>
        <v>30000</v>
      </c>
      <c r="M200" s="94" t="s">
        <v>300</v>
      </c>
      <c r="O200" s="40" t="s">
        <v>301</v>
      </c>
      <c r="P200" s="40" t="s">
        <v>302</v>
      </c>
      <c r="Q200" s="40"/>
    </row>
    <row r="201" spans="3:17" s="39" customFormat="1" ht="168" customHeight="1" x14ac:dyDescent="0.25">
      <c r="C201" s="89" t="s">
        <v>303</v>
      </c>
      <c r="D201" s="90" t="s">
        <v>83</v>
      </c>
      <c r="E201" s="91" t="s">
        <v>57</v>
      </c>
      <c r="F201" s="92">
        <v>31</v>
      </c>
      <c r="G201" s="92">
        <v>3500</v>
      </c>
      <c r="H201" s="92" t="s">
        <v>304</v>
      </c>
      <c r="I201" s="92">
        <f t="shared" si="3"/>
        <v>108500</v>
      </c>
      <c r="J201" s="92"/>
      <c r="K201" s="92">
        <f t="shared" si="4"/>
        <v>108500</v>
      </c>
      <c r="L201" s="93"/>
      <c r="M201" s="94" t="s">
        <v>305</v>
      </c>
      <c r="O201" s="50" t="s">
        <v>306</v>
      </c>
      <c r="P201" s="40"/>
      <c r="Q201" s="40"/>
    </row>
    <row r="202" spans="3:17" s="39" customFormat="1" ht="126" x14ac:dyDescent="0.25">
      <c r="C202" s="89" t="s">
        <v>307</v>
      </c>
      <c r="D202" s="90" t="s">
        <v>85</v>
      </c>
      <c r="E202" s="91" t="s">
        <v>57</v>
      </c>
      <c r="F202" s="92">
        <v>31</v>
      </c>
      <c r="G202" s="92">
        <v>900</v>
      </c>
      <c r="H202" s="92" t="s">
        <v>308</v>
      </c>
      <c r="I202" s="92">
        <f>(G202*F202)+600</f>
        <v>28500</v>
      </c>
      <c r="J202" s="92"/>
      <c r="K202" s="92">
        <f t="shared" si="4"/>
        <v>28500</v>
      </c>
      <c r="L202" s="93"/>
      <c r="M202" s="94" t="s">
        <v>309</v>
      </c>
      <c r="O202" s="50" t="s">
        <v>310</v>
      </c>
      <c r="P202" s="40"/>
      <c r="Q202" s="40"/>
    </row>
    <row r="204" spans="3:17" ht="31.5" x14ac:dyDescent="0.25">
      <c r="C204" s="102"/>
      <c r="D204" s="103" t="s">
        <v>311</v>
      </c>
      <c r="E204" s="104"/>
      <c r="F204" s="105"/>
      <c r="G204" s="105"/>
      <c r="H204" s="105"/>
      <c r="I204" s="105">
        <f>I193+I171+I101+I195</f>
        <v>2252180.6415444631</v>
      </c>
      <c r="J204" s="105">
        <f>J193+J171+J101+J195</f>
        <v>3749951.8500335598</v>
      </c>
      <c r="K204" s="105">
        <f>K193+K171+K101+K195</f>
        <v>6002132.4915780239</v>
      </c>
      <c r="L204" s="106">
        <f>L193+L171+L101+L195</f>
        <v>1059891.1151444633</v>
      </c>
      <c r="M204" s="107"/>
    </row>
    <row r="205" spans="3:17" ht="6.75" customHeight="1" x14ac:dyDescent="0.25"/>
  </sheetData>
  <autoFilter ref="D6:D208" xr:uid="{00000000-0009-0000-0000-000006000000}"/>
  <mergeCells count="15">
    <mergeCell ref="O6:Q8"/>
    <mergeCell ref="G7:H7"/>
    <mergeCell ref="I7:J7"/>
    <mergeCell ref="K7:K8"/>
    <mergeCell ref="C2:M2"/>
    <mergeCell ref="C3:M3"/>
    <mergeCell ref="C4:M4"/>
    <mergeCell ref="C5:K5"/>
    <mergeCell ref="C6:C8"/>
    <mergeCell ref="D6:D8"/>
    <mergeCell ref="E6:E8"/>
    <mergeCell ref="F6:F8"/>
    <mergeCell ref="G6:K6"/>
    <mergeCell ref="L6:L8"/>
    <mergeCell ref="M6:M8"/>
  </mergeCells>
  <conditionalFormatting sqref="F6:F8">
    <cfRule type="cellIs" dxfId="3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8" firstPageNumber="0" fitToHeight="0" orientation="portrait" horizontalDpi="300" verticalDpi="300"/>
  <rowBreaks count="2" manualBreakCount="2">
    <brk id="73" max="16383" man="1"/>
    <brk id="1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MJ33"/>
  <sheetViews>
    <sheetView topLeftCell="A7" zoomScaleNormal="100" workbookViewId="0">
      <selection activeCell="G51" sqref="G51"/>
    </sheetView>
  </sheetViews>
  <sheetFormatPr defaultColWidth="9.140625" defaultRowHeight="18" x14ac:dyDescent="0.25"/>
  <cols>
    <col min="1" max="1" width="9.140625" style="108"/>
    <col min="2" max="2" width="0.85546875" style="108" customWidth="1"/>
    <col min="3" max="3" width="12.7109375" style="108" customWidth="1"/>
    <col min="4" max="5" width="9.140625" style="108"/>
    <col min="6" max="6" width="9.5703125" style="108" customWidth="1"/>
    <col min="7" max="8" width="9.140625" style="108"/>
    <col min="9" max="9" width="9.28515625" style="108" customWidth="1"/>
    <col min="10" max="10" width="17.42578125" style="108" customWidth="1"/>
    <col min="11" max="11" width="0.85546875" style="108" customWidth="1"/>
    <col min="12" max="1024" width="9.140625" style="108"/>
  </cols>
  <sheetData>
    <row r="2" spans="3:10" ht="18" customHeight="1" x14ac:dyDescent="0.25">
      <c r="C2" s="213" t="s">
        <v>312</v>
      </c>
      <c r="D2" s="213"/>
      <c r="E2" s="213"/>
      <c r="F2" s="213"/>
      <c r="I2" s="109">
        <v>111</v>
      </c>
    </row>
    <row r="3" spans="3:10" x14ac:dyDescent="0.25">
      <c r="C3" s="213"/>
      <c r="D3" s="213"/>
      <c r="E3" s="213"/>
      <c r="F3" s="213"/>
      <c r="I3" s="109" t="s">
        <v>313</v>
      </c>
    </row>
    <row r="4" spans="3:10" x14ac:dyDescent="0.25">
      <c r="C4" s="213"/>
      <c r="D4" s="213"/>
      <c r="E4" s="213"/>
      <c r="F4" s="213"/>
      <c r="I4" s="110" t="s">
        <v>314</v>
      </c>
    </row>
    <row r="5" spans="3:10" x14ac:dyDescent="0.25">
      <c r="C5" s="213"/>
      <c r="D5" s="213"/>
      <c r="E5" s="213"/>
      <c r="F5" s="213"/>
    </row>
    <row r="10" spans="3:10" ht="39.75" customHeight="1" x14ac:dyDescent="0.25"/>
    <row r="11" spans="3:10" x14ac:dyDescent="0.25">
      <c r="F11" s="111" t="s">
        <v>315</v>
      </c>
      <c r="G11" s="111"/>
      <c r="H11" s="111"/>
    </row>
    <row r="14" spans="3:10" s="112" customFormat="1" ht="15.75" customHeight="1" x14ac:dyDescent="0.25">
      <c r="C14" s="214" t="s">
        <v>316</v>
      </c>
      <c r="D14" s="214"/>
      <c r="E14" s="214"/>
      <c r="F14" s="214"/>
      <c r="G14" s="214"/>
      <c r="H14" s="214"/>
      <c r="I14" s="214"/>
      <c r="J14" s="214"/>
    </row>
    <row r="15" spans="3:10" s="112" customFormat="1" ht="15.75" x14ac:dyDescent="0.25">
      <c r="C15" s="214"/>
      <c r="D15" s="214"/>
      <c r="E15" s="214"/>
      <c r="F15" s="214"/>
      <c r="G15" s="214"/>
      <c r="H15" s="214"/>
      <c r="I15" s="214"/>
      <c r="J15" s="214"/>
    </row>
    <row r="16" spans="3:10" s="112" customFormat="1" ht="15.75" x14ac:dyDescent="0.25">
      <c r="C16" s="214"/>
      <c r="D16" s="214"/>
      <c r="E16" s="214"/>
      <c r="F16" s="214"/>
      <c r="G16" s="214"/>
      <c r="H16" s="214"/>
      <c r="I16" s="214"/>
      <c r="J16" s="214"/>
    </row>
    <row r="17" spans="3:10" s="112" customFormat="1" ht="15.75" x14ac:dyDescent="0.25">
      <c r="C17" s="214"/>
      <c r="D17" s="214"/>
      <c r="E17" s="214"/>
      <c r="F17" s="214"/>
      <c r="G17" s="214"/>
      <c r="H17" s="214"/>
      <c r="I17" s="214"/>
      <c r="J17" s="214"/>
    </row>
    <row r="18" spans="3:10" s="112" customFormat="1" ht="15.75" x14ac:dyDescent="0.25">
      <c r="C18" s="214"/>
      <c r="D18" s="214"/>
      <c r="E18" s="214"/>
      <c r="F18" s="214"/>
      <c r="G18" s="214"/>
      <c r="H18" s="214"/>
      <c r="I18" s="214"/>
      <c r="J18" s="214"/>
    </row>
    <row r="19" spans="3:10" x14ac:dyDescent="0.25">
      <c r="C19" s="214"/>
      <c r="D19" s="214"/>
      <c r="E19" s="214"/>
      <c r="F19" s="214"/>
      <c r="G19" s="214"/>
      <c r="H19" s="214"/>
      <c r="I19" s="214"/>
      <c r="J19" s="214"/>
    </row>
    <row r="20" spans="3:10" s="112" customFormat="1" ht="15.75" x14ac:dyDescent="0.25">
      <c r="C20" s="214"/>
      <c r="D20" s="214"/>
      <c r="E20" s="214"/>
      <c r="F20" s="214"/>
      <c r="G20" s="214"/>
      <c r="H20" s="214"/>
      <c r="I20" s="214"/>
      <c r="J20" s="214"/>
    </row>
    <row r="21" spans="3:10" x14ac:dyDescent="0.25">
      <c r="C21" s="214"/>
      <c r="D21" s="214"/>
      <c r="E21" s="214"/>
      <c r="F21" s="214"/>
      <c r="G21" s="214"/>
      <c r="H21" s="214"/>
      <c r="I21" s="214"/>
      <c r="J21" s="214"/>
    </row>
    <row r="22" spans="3:10" s="112" customFormat="1" ht="15.75" x14ac:dyDescent="0.25">
      <c r="C22" s="214"/>
      <c r="D22" s="214"/>
      <c r="E22" s="214"/>
      <c r="F22" s="214"/>
      <c r="G22" s="214"/>
      <c r="H22" s="214"/>
      <c r="I22" s="214"/>
      <c r="J22" s="214"/>
    </row>
    <row r="23" spans="3:10" x14ac:dyDescent="0.25">
      <c r="C23" s="214"/>
      <c r="D23" s="214"/>
      <c r="E23" s="214"/>
      <c r="F23" s="214"/>
      <c r="G23" s="214"/>
      <c r="H23" s="214"/>
      <c r="I23" s="214"/>
      <c r="J23" s="214"/>
    </row>
    <row r="24" spans="3:10" s="112" customFormat="1" ht="15.75" x14ac:dyDescent="0.25">
      <c r="C24" s="215"/>
      <c r="D24" s="215"/>
      <c r="E24" s="215"/>
      <c r="F24" s="215"/>
      <c r="G24" s="215"/>
      <c r="H24" s="215"/>
      <c r="I24" s="215"/>
      <c r="J24" s="215"/>
    </row>
    <row r="33" spans="3:6" x14ac:dyDescent="0.25">
      <c r="C33" s="113" t="s">
        <v>317</v>
      </c>
      <c r="F33" s="108" t="s">
        <v>318</v>
      </c>
    </row>
  </sheetData>
  <mergeCells count="3">
    <mergeCell ref="C2:F5"/>
    <mergeCell ref="C14:J23"/>
    <mergeCell ref="C24:J2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MJ41"/>
  <sheetViews>
    <sheetView zoomScale="67" zoomScaleNormal="67" workbookViewId="0">
      <pane ySplit="13" topLeftCell="A14" activePane="bottomLeft" state="frozen"/>
      <selection pane="bottomLeft" activeCell="G17" sqref="G17"/>
    </sheetView>
  </sheetViews>
  <sheetFormatPr defaultColWidth="9.140625" defaultRowHeight="16.5" x14ac:dyDescent="0.25"/>
  <cols>
    <col min="1" max="1" width="9.140625" style="5"/>
    <col min="2" max="2" width="0.7109375" style="5" customWidth="1"/>
    <col min="3" max="3" width="7.7109375" style="6" customWidth="1"/>
    <col min="4" max="4" width="49.7109375" style="5" customWidth="1"/>
    <col min="5" max="5" width="6.7109375" style="5" customWidth="1"/>
    <col min="6" max="6" width="17.42578125" style="6" customWidth="1"/>
    <col min="7" max="7" width="17.42578125" style="7" customWidth="1"/>
    <col min="8" max="8" width="14.140625" style="7" customWidth="1"/>
    <col min="9" max="9" width="13.28515625" style="7" customWidth="1"/>
    <col min="10" max="10" width="16" style="7" customWidth="1"/>
    <col min="11" max="11" width="11.140625" style="7" customWidth="1"/>
    <col min="12" max="12" width="12.42578125" style="8" customWidth="1"/>
    <col min="13" max="13" width="11.140625" style="9" customWidth="1"/>
    <col min="14" max="14" width="0.85546875" style="5" customWidth="1"/>
    <col min="15" max="15" width="13.5703125" style="11" customWidth="1"/>
    <col min="16" max="1024" width="9.140625" style="5"/>
  </cols>
  <sheetData>
    <row r="2" spans="3:15" x14ac:dyDescent="0.25">
      <c r="J2" s="114" t="s">
        <v>319</v>
      </c>
      <c r="K2" s="115"/>
    </row>
    <row r="3" spans="3:15" x14ac:dyDescent="0.25">
      <c r="J3" s="114" t="s">
        <v>320</v>
      </c>
      <c r="K3" s="115"/>
    </row>
    <row r="4" spans="3:15" x14ac:dyDescent="0.25">
      <c r="J4" s="114"/>
      <c r="K4" s="115"/>
    </row>
    <row r="5" spans="3:15" x14ac:dyDescent="0.25">
      <c r="J5" s="114"/>
      <c r="K5" s="115"/>
    </row>
    <row r="6" spans="3:15" x14ac:dyDescent="0.25">
      <c r="J6" s="114"/>
      <c r="K6" s="115"/>
    </row>
    <row r="7" spans="3:15" x14ac:dyDescent="0.25">
      <c r="J7" s="114"/>
      <c r="K7" s="115"/>
    </row>
    <row r="8" spans="3:15" ht="18" x14ac:dyDescent="0.25">
      <c r="F8" s="116" t="s">
        <v>321</v>
      </c>
    </row>
    <row r="9" spans="3:15" ht="35.25" customHeight="1" x14ac:dyDescent="0.25">
      <c r="C9" s="208" t="s">
        <v>322</v>
      </c>
      <c r="D9" s="208"/>
      <c r="E9" s="208"/>
      <c r="F9" s="208"/>
      <c r="G9" s="208"/>
      <c r="H9" s="208"/>
      <c r="I9" s="208"/>
      <c r="J9" s="208"/>
      <c r="K9" s="208"/>
      <c r="L9" s="208"/>
      <c r="M9" s="208"/>
    </row>
    <row r="10" spans="3:15" ht="35.25" customHeight="1" x14ac:dyDescent="0.25"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3:15" s="6" customFormat="1" ht="18" customHeight="1" x14ac:dyDescent="0.25">
      <c r="C11" s="209" t="s">
        <v>3</v>
      </c>
      <c r="D11" s="209" t="s">
        <v>4</v>
      </c>
      <c r="E11" s="209" t="s">
        <v>5</v>
      </c>
      <c r="F11" s="210" t="s">
        <v>6</v>
      </c>
      <c r="G11" s="206" t="s">
        <v>7</v>
      </c>
      <c r="H11" s="206"/>
      <c r="I11" s="206"/>
      <c r="J11" s="206"/>
      <c r="K11" s="206"/>
      <c r="L11" s="211" t="s">
        <v>8</v>
      </c>
      <c r="M11" s="212" t="s">
        <v>9</v>
      </c>
      <c r="O11" s="11"/>
    </row>
    <row r="12" spans="3:15" s="6" customFormat="1" ht="18" customHeight="1" x14ac:dyDescent="0.25">
      <c r="C12" s="209"/>
      <c r="D12" s="209"/>
      <c r="E12" s="209"/>
      <c r="F12" s="210"/>
      <c r="G12" s="206" t="s">
        <v>11</v>
      </c>
      <c r="H12" s="206"/>
      <c r="I12" s="206" t="s">
        <v>12</v>
      </c>
      <c r="J12" s="206"/>
      <c r="K12" s="206" t="s">
        <v>13</v>
      </c>
      <c r="L12" s="211"/>
      <c r="M12" s="212"/>
      <c r="O12" s="11"/>
    </row>
    <row r="13" spans="3:15" s="6" customFormat="1" ht="36" customHeight="1" x14ac:dyDescent="0.25">
      <c r="C13" s="209"/>
      <c r="D13" s="209"/>
      <c r="E13" s="209"/>
      <c r="F13" s="210"/>
      <c r="G13" s="2" t="s">
        <v>14</v>
      </c>
      <c r="H13" s="2" t="s">
        <v>15</v>
      </c>
      <c r="I13" s="2" t="s">
        <v>14</v>
      </c>
      <c r="J13" s="2" t="s">
        <v>15</v>
      </c>
      <c r="K13" s="206"/>
      <c r="L13" s="211"/>
      <c r="M13" s="212"/>
      <c r="O13" s="11"/>
    </row>
    <row r="14" spans="3:15" s="11" customFormat="1" x14ac:dyDescent="0.25">
      <c r="C14" s="12">
        <v>1</v>
      </c>
      <c r="D14" s="12">
        <v>2</v>
      </c>
      <c r="E14" s="12">
        <v>3</v>
      </c>
      <c r="F14" s="13">
        <v>4</v>
      </c>
      <c r="G14" s="13">
        <v>5</v>
      </c>
      <c r="H14" s="13">
        <v>6</v>
      </c>
      <c r="I14" s="13">
        <v>7</v>
      </c>
      <c r="J14" s="13">
        <v>8</v>
      </c>
      <c r="K14" s="14">
        <v>9</v>
      </c>
      <c r="L14" s="15">
        <v>10</v>
      </c>
      <c r="M14" s="14">
        <v>11</v>
      </c>
    </row>
    <row r="15" spans="3:15" ht="31.5" x14ac:dyDescent="0.25">
      <c r="C15" s="27" t="s">
        <v>18</v>
      </c>
      <c r="D15" s="28" t="s">
        <v>108</v>
      </c>
      <c r="E15" s="63"/>
      <c r="F15" s="31" t="s">
        <v>109</v>
      </c>
      <c r="G15" s="31" t="s">
        <v>110</v>
      </c>
      <c r="H15" s="31"/>
      <c r="I15" s="31">
        <f>SUM(I16:I18)</f>
        <v>233682.4</v>
      </c>
      <c r="J15" s="31">
        <f>J18</f>
        <v>0</v>
      </c>
      <c r="K15" s="31">
        <f>SUM(K16:K18)</f>
        <v>233682.4</v>
      </c>
      <c r="L15" s="32"/>
      <c r="M15" s="64"/>
      <c r="N15" s="6"/>
    </row>
    <row r="16" spans="3:15" ht="47.25" x14ac:dyDescent="0.25">
      <c r="C16" s="33" t="s">
        <v>20</v>
      </c>
      <c r="D16" s="34" t="s">
        <v>111</v>
      </c>
      <c r="E16" s="35" t="s">
        <v>19</v>
      </c>
      <c r="F16" s="36">
        <f>4878.4</f>
        <v>4878.3999999999996</v>
      </c>
      <c r="G16" s="36">
        <f>31</f>
        <v>31</v>
      </c>
      <c r="H16" s="36"/>
      <c r="I16" s="36">
        <f>F16*G16</f>
        <v>151230.39999999999</v>
      </c>
      <c r="J16" s="36"/>
      <c r="K16" s="36">
        <f>J16+I16</f>
        <v>151230.39999999999</v>
      </c>
      <c r="L16" s="37"/>
      <c r="M16" s="38"/>
      <c r="N16" s="39"/>
    </row>
    <row r="17" spans="3:15" ht="94.5" x14ac:dyDescent="0.25">
      <c r="C17" s="33" t="s">
        <v>23</v>
      </c>
      <c r="D17" s="117" t="s">
        <v>112</v>
      </c>
      <c r="E17" s="35" t="s">
        <v>19</v>
      </c>
      <c r="F17" s="36">
        <f>F16</f>
        <v>4878.3999999999996</v>
      </c>
      <c r="G17" s="36">
        <f>10</f>
        <v>10</v>
      </c>
      <c r="H17" s="36"/>
      <c r="I17" s="36">
        <f>F17*G17</f>
        <v>48784</v>
      </c>
      <c r="J17" s="36"/>
      <c r="K17" s="36">
        <f>J17+I17</f>
        <v>48784</v>
      </c>
      <c r="L17" s="37"/>
      <c r="M17" s="38"/>
      <c r="N17" s="39"/>
    </row>
    <row r="18" spans="3:15" ht="47.25" x14ac:dyDescent="0.25">
      <c r="C18" s="33" t="s">
        <v>28</v>
      </c>
      <c r="D18" s="117" t="s">
        <v>113</v>
      </c>
      <c r="E18" s="35" t="s">
        <v>114</v>
      </c>
      <c r="F18" s="36">
        <v>1772</v>
      </c>
      <c r="G18" s="36">
        <f>19</f>
        <v>19</v>
      </c>
      <c r="H18" s="36"/>
      <c r="I18" s="36">
        <f>F18*G18</f>
        <v>33668</v>
      </c>
      <c r="J18" s="36"/>
      <c r="K18" s="36">
        <f>J18+I18</f>
        <v>33668</v>
      </c>
      <c r="L18" s="37"/>
      <c r="M18" s="38"/>
      <c r="N18" s="39"/>
    </row>
    <row r="19" spans="3:15" ht="31.5" x14ac:dyDescent="0.25">
      <c r="C19" s="27" t="s">
        <v>66</v>
      </c>
      <c r="D19" s="28" t="s">
        <v>116</v>
      </c>
      <c r="E19" s="63"/>
      <c r="F19" s="31" t="s">
        <v>109</v>
      </c>
      <c r="G19" s="31" t="s">
        <v>110</v>
      </c>
      <c r="H19" s="31"/>
      <c r="I19" s="31">
        <f>SUM(I20:I23)</f>
        <v>163956.41999999998</v>
      </c>
      <c r="J19" s="31">
        <f>SUM(J20:J23)</f>
        <v>0</v>
      </c>
      <c r="K19" s="31">
        <f>SUM(K20:K23)</f>
        <v>163956.41999999998</v>
      </c>
      <c r="L19" s="32"/>
      <c r="M19" s="64"/>
    </row>
    <row r="20" spans="3:15" ht="47.25" x14ac:dyDescent="0.25">
      <c r="C20" s="33" t="s">
        <v>68</v>
      </c>
      <c r="D20" s="34" t="s">
        <v>117</v>
      </c>
      <c r="E20" s="35" t="s">
        <v>19</v>
      </c>
      <c r="F20" s="36">
        <v>2545.63</v>
      </c>
      <c r="G20" s="36">
        <f>24</f>
        <v>24</v>
      </c>
      <c r="H20" s="36"/>
      <c r="I20" s="36">
        <f>F20*G20</f>
        <v>61095.12</v>
      </c>
      <c r="J20" s="36"/>
      <c r="K20" s="36">
        <f>I20+J20</f>
        <v>61095.12</v>
      </c>
      <c r="L20" s="37"/>
      <c r="M20" s="38"/>
    </row>
    <row r="21" spans="3:15" ht="31.5" x14ac:dyDescent="0.25">
      <c r="C21" s="33" t="s">
        <v>71</v>
      </c>
      <c r="D21" s="34" t="s">
        <v>118</v>
      </c>
      <c r="E21" s="35" t="s">
        <v>19</v>
      </c>
      <c r="F21" s="36">
        <v>468</v>
      </c>
      <c r="G21" s="36">
        <f>125</f>
        <v>125</v>
      </c>
      <c r="H21" s="36"/>
      <c r="I21" s="36">
        <f>F21*G21</f>
        <v>58500</v>
      </c>
      <c r="J21" s="36"/>
      <c r="K21" s="36">
        <f>I21+J21</f>
        <v>58500</v>
      </c>
      <c r="L21" s="37"/>
      <c r="M21" s="38"/>
    </row>
    <row r="22" spans="3:15" ht="126" x14ac:dyDescent="0.25">
      <c r="C22" s="33" t="s">
        <v>73</v>
      </c>
      <c r="D22" s="76" t="s">
        <v>119</v>
      </c>
      <c r="E22" s="35" t="s">
        <v>19</v>
      </c>
      <c r="F22" s="36">
        <f>F20</f>
        <v>2545.63</v>
      </c>
      <c r="G22" s="36">
        <f>10</f>
        <v>10</v>
      </c>
      <c r="H22" s="36"/>
      <c r="I22" s="36">
        <f>F22*G22</f>
        <v>25456.300000000003</v>
      </c>
      <c r="J22" s="36"/>
      <c r="K22" s="36">
        <f>I22+J22</f>
        <v>25456.300000000003</v>
      </c>
      <c r="L22" s="37"/>
      <c r="M22" s="38"/>
    </row>
    <row r="23" spans="3:15" ht="47.25" x14ac:dyDescent="0.25">
      <c r="C23" s="33" t="s">
        <v>76</v>
      </c>
      <c r="D23" s="76" t="s">
        <v>113</v>
      </c>
      <c r="E23" s="35" t="s">
        <v>114</v>
      </c>
      <c r="F23" s="36">
        <v>995</v>
      </c>
      <c r="G23" s="36">
        <f>19</f>
        <v>19</v>
      </c>
      <c r="H23" s="36"/>
      <c r="I23" s="36">
        <f>F23*G23</f>
        <v>18905</v>
      </c>
      <c r="J23" s="36"/>
      <c r="K23" s="36">
        <f>I23+J23</f>
        <v>18905</v>
      </c>
      <c r="L23" s="37"/>
      <c r="M23" s="38"/>
    </row>
    <row r="24" spans="3:15" ht="31.5" x14ac:dyDescent="0.25">
      <c r="C24" s="27" t="s">
        <v>267</v>
      </c>
      <c r="D24" s="28" t="s">
        <v>120</v>
      </c>
      <c r="E24" s="63"/>
      <c r="F24" s="31" t="s">
        <v>109</v>
      </c>
      <c r="G24" s="31" t="s">
        <v>110</v>
      </c>
      <c r="H24" s="31"/>
      <c r="I24" s="31">
        <f>SUM(I25:I27)</f>
        <v>116243.55000000002</v>
      </c>
      <c r="J24" s="31">
        <f>SUM(J25:J27)</f>
        <v>0</v>
      </c>
      <c r="K24" s="31">
        <f>SUM(K25:K27)</f>
        <v>116243.55000000002</v>
      </c>
      <c r="L24" s="32"/>
      <c r="M24" s="64"/>
    </row>
    <row r="25" spans="3:15" ht="47.25" x14ac:dyDescent="0.25">
      <c r="C25" s="33" t="s">
        <v>269</v>
      </c>
      <c r="D25" s="34" t="s">
        <v>121</v>
      </c>
      <c r="E25" s="35" t="s">
        <v>19</v>
      </c>
      <c r="F25" s="36">
        <f>2176.59</f>
        <v>2176.59</v>
      </c>
      <c r="G25" s="36">
        <f>35</f>
        <v>35</v>
      </c>
      <c r="H25" s="36"/>
      <c r="I25" s="36">
        <f>F25*G25</f>
        <v>76180.650000000009</v>
      </c>
      <c r="J25" s="36"/>
      <c r="K25" s="36">
        <f>J25+I25</f>
        <v>76180.650000000009</v>
      </c>
      <c r="L25" s="37"/>
      <c r="M25" s="38"/>
    </row>
    <row r="26" spans="3:15" ht="94.5" x14ac:dyDescent="0.25">
      <c r="C26" s="33" t="s">
        <v>275</v>
      </c>
      <c r="D26" s="76" t="s">
        <v>112</v>
      </c>
      <c r="E26" s="35"/>
      <c r="F26" s="36">
        <f>F25</f>
        <v>2176.59</v>
      </c>
      <c r="G26" s="36">
        <f>10</f>
        <v>10</v>
      </c>
      <c r="H26" s="36"/>
      <c r="I26" s="36">
        <f>F26*G26</f>
        <v>21765.9</v>
      </c>
      <c r="J26" s="36"/>
      <c r="K26" s="36">
        <f>J26+I26</f>
        <v>21765.9</v>
      </c>
      <c r="L26" s="37"/>
      <c r="M26" s="38"/>
    </row>
    <row r="27" spans="3:15" ht="47.25" x14ac:dyDescent="0.25">
      <c r="C27" s="33" t="s">
        <v>281</v>
      </c>
      <c r="D27" s="76" t="s">
        <v>113</v>
      </c>
      <c r="E27" s="35" t="s">
        <v>114</v>
      </c>
      <c r="F27" s="36">
        <v>963</v>
      </c>
      <c r="G27" s="36">
        <f>19</f>
        <v>19</v>
      </c>
      <c r="H27" s="36"/>
      <c r="I27" s="36">
        <f>F27*G27</f>
        <v>18297</v>
      </c>
      <c r="J27" s="36"/>
      <c r="K27" s="36">
        <f>J27+I27</f>
        <v>18297</v>
      </c>
      <c r="L27" s="37"/>
      <c r="M27" s="38"/>
    </row>
    <row r="28" spans="3:15" x14ac:dyDescent="0.25">
      <c r="C28" s="65"/>
      <c r="D28" s="118" t="s">
        <v>323</v>
      </c>
      <c r="E28" s="67"/>
      <c r="F28" s="68"/>
      <c r="G28" s="68"/>
      <c r="H28" s="68"/>
      <c r="I28" s="68"/>
      <c r="J28" s="68"/>
      <c r="K28" s="68">
        <f>K24+K19+K15</f>
        <v>513882.37</v>
      </c>
      <c r="L28" s="69"/>
      <c r="M28" s="70"/>
      <c r="O28" s="11" t="s">
        <v>324</v>
      </c>
    </row>
    <row r="29" spans="3:15" x14ac:dyDescent="0.25">
      <c r="C29" s="65"/>
      <c r="D29" s="118" t="s">
        <v>325</v>
      </c>
      <c r="E29" s="67"/>
      <c r="F29" s="68"/>
      <c r="G29" s="68"/>
      <c r="H29" s="68"/>
      <c r="I29" s="68"/>
      <c r="J29" s="68"/>
      <c r="K29" s="68">
        <f>K30-K28</f>
        <v>102776.47399999993</v>
      </c>
      <c r="L29" s="69"/>
      <c r="M29" s="70"/>
    </row>
    <row r="30" spans="3:15" x14ac:dyDescent="0.25">
      <c r="C30" s="65"/>
      <c r="D30" s="118" t="s">
        <v>326</v>
      </c>
      <c r="E30" s="67"/>
      <c r="F30" s="68"/>
      <c r="G30" s="68"/>
      <c r="H30" s="68"/>
      <c r="I30" s="68"/>
      <c r="J30" s="68"/>
      <c r="K30" s="68">
        <f>1.2*K28</f>
        <v>616658.84399999992</v>
      </c>
      <c r="L30" s="69"/>
      <c r="M30" s="70"/>
      <c r="O30" s="119">
        <f>K30/2</f>
        <v>308329.42199999996</v>
      </c>
    </row>
    <row r="36" spans="4:11" ht="18" x14ac:dyDescent="0.25">
      <c r="D36" s="116" t="s">
        <v>327</v>
      </c>
      <c r="J36" s="120" t="s">
        <v>328</v>
      </c>
      <c r="K36" s="120"/>
    </row>
    <row r="37" spans="4:11" ht="18" x14ac:dyDescent="0.25">
      <c r="D37" s="116" t="s">
        <v>329</v>
      </c>
      <c r="J37" s="120" t="s">
        <v>110</v>
      </c>
      <c r="K37" s="120"/>
    </row>
    <row r="38" spans="4:11" ht="18" x14ac:dyDescent="0.25">
      <c r="D38" s="116" t="s">
        <v>330</v>
      </c>
      <c r="J38" s="120" t="s">
        <v>331</v>
      </c>
      <c r="K38" s="120"/>
    </row>
    <row r="39" spans="4:11" ht="18" x14ac:dyDescent="0.25">
      <c r="D39" s="121"/>
      <c r="J39" s="122"/>
      <c r="K39" s="120"/>
    </row>
    <row r="40" spans="4:11" ht="18" x14ac:dyDescent="0.25">
      <c r="D40" s="116" t="s">
        <v>332</v>
      </c>
      <c r="E40" s="123"/>
      <c r="F40" s="123"/>
      <c r="G40" s="123"/>
      <c r="J40" s="120" t="s">
        <v>333</v>
      </c>
      <c r="K40" s="120"/>
    </row>
    <row r="41" spans="4:11" ht="18" x14ac:dyDescent="0.25">
      <c r="J41" s="120"/>
      <c r="K41" s="120"/>
    </row>
  </sheetData>
  <autoFilter ref="D11:D18" xr:uid="{00000000-0009-0000-0000-000008000000}"/>
  <mergeCells count="11">
    <mergeCell ref="C9:M9"/>
    <mergeCell ref="C11:C13"/>
    <mergeCell ref="D11:D13"/>
    <mergeCell ref="E11:E13"/>
    <mergeCell ref="F11:F13"/>
    <mergeCell ref="G11:K11"/>
    <mergeCell ref="L11:L13"/>
    <mergeCell ref="M11:M13"/>
    <mergeCell ref="G12:H12"/>
    <mergeCell ref="I12:J12"/>
    <mergeCell ref="K12:K13"/>
  </mergeCells>
  <conditionalFormatting sqref="F11:F13">
    <cfRule type="cellIs" dxfId="2" priority="2" operator="equal">
      <formula>0</formula>
    </cfRule>
  </conditionalFormatting>
  <printOptions horizontalCentered="1"/>
  <pageMargins left="0.25" right="0.25" top="0.75" bottom="0.75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39</vt:i4>
      </vt:variant>
    </vt:vector>
  </HeadingPairs>
  <TitlesOfParts>
    <vt:vector size="51" baseType="lpstr">
      <vt:lpstr>ФУНД_Б№2</vt:lpstr>
      <vt:lpstr>ФУНД_БУД№3</vt:lpstr>
      <vt:lpstr>ФУНД_БУД№4</vt:lpstr>
      <vt:lpstr>КОТЛОВАН_Б№2</vt:lpstr>
      <vt:lpstr>КОТЛОВАН_Б№3</vt:lpstr>
      <vt:lpstr>КОТЛОВАН_№4</vt:lpstr>
      <vt:lpstr>ОБЩИЙ БЮДЖЕТ</vt:lpstr>
      <vt:lpstr>СЛУЖБОВА</vt:lpstr>
      <vt:lpstr>СУ630</vt:lpstr>
      <vt:lpstr>материалы</vt:lpstr>
      <vt:lpstr>БЮДЖЕТ_ГАТНЕ (замечания)</vt:lpstr>
      <vt:lpstr>кошторис </vt:lpstr>
      <vt:lpstr>КОТЛОВАН_№4!_ФільтрБазиДаних</vt:lpstr>
      <vt:lpstr>КОТЛОВАН_Б№2!_ФільтрБазиДаних</vt:lpstr>
      <vt:lpstr>КОТЛОВАН_Б№3!_ФільтрБазиДаних</vt:lpstr>
      <vt:lpstr>'кошторис '!_ФільтрБазиДаних</vt:lpstr>
      <vt:lpstr>ФУНД_Б№2!_ФільтрБазиДаних</vt:lpstr>
      <vt:lpstr>ФУНД_БУД№3!_ФільтрБазиДаних</vt:lpstr>
      <vt:lpstr>ФУНД_БУД№4!_ФільтрБазиДаних</vt:lpstr>
      <vt:lpstr>'БЮДЖЕТ_ГАТНЕ (замечания)'!Z_99585AE0_310A_443B_AA88_42ECDEB16C11_.wvu.FilterData</vt:lpstr>
      <vt:lpstr>КОТЛОВАН_№4!Z_99585AE0_310A_443B_AA88_42ECDEB16C11_.wvu.FilterData</vt:lpstr>
      <vt:lpstr>КОТЛОВАН_Б№2!Z_99585AE0_310A_443B_AA88_42ECDEB16C11_.wvu.FilterData</vt:lpstr>
      <vt:lpstr>КОТЛОВАН_Б№3!Z_99585AE0_310A_443B_AA88_42ECDEB16C11_.wvu.FilterData</vt:lpstr>
      <vt:lpstr>материалы!Z_99585AE0_310A_443B_AA88_42ECDEB16C11_.wvu.FilterData</vt:lpstr>
      <vt:lpstr>'ОБЩИЙ БЮДЖЕТ'!Z_99585AE0_310A_443B_AA88_42ECDEB16C11_.wvu.FilterData</vt:lpstr>
      <vt:lpstr>СУ630!Z_99585AE0_310A_443B_AA88_42ECDEB16C11_.wvu.FilterData</vt:lpstr>
      <vt:lpstr>ФУНД_Б№2!Z_99585AE0_310A_443B_AA88_42ECDEB16C11_.wvu.FilterData</vt:lpstr>
      <vt:lpstr>ФУНД_БУД№3!Z_99585AE0_310A_443B_AA88_42ECDEB16C11_.wvu.FilterData</vt:lpstr>
      <vt:lpstr>ФУНД_БУД№4!Z_99585AE0_310A_443B_AA88_42ECDEB16C11_.wvu.FilterData</vt:lpstr>
      <vt:lpstr>'БЮДЖЕТ_ГАТНЕ (замечания)'!Z_99585AE0_310A_443B_AA88_42ECDEB16C11_.wvu.PrintArea</vt:lpstr>
      <vt:lpstr>КОТЛОВАН_№4!Z_99585AE0_310A_443B_AA88_42ECDEB16C11_.wvu.PrintArea</vt:lpstr>
      <vt:lpstr>КОТЛОВАН_Б№2!Z_99585AE0_310A_443B_AA88_42ECDEB16C11_.wvu.PrintArea</vt:lpstr>
      <vt:lpstr>КОТЛОВАН_Б№3!Z_99585AE0_310A_443B_AA88_42ECDEB16C11_.wvu.PrintArea</vt:lpstr>
      <vt:lpstr>материалы!Z_99585AE0_310A_443B_AA88_42ECDEB16C11_.wvu.PrintArea</vt:lpstr>
      <vt:lpstr>'ОБЩИЙ БЮДЖЕТ'!Z_99585AE0_310A_443B_AA88_42ECDEB16C11_.wvu.PrintArea</vt:lpstr>
      <vt:lpstr>СУ630!Z_99585AE0_310A_443B_AA88_42ECDEB16C11_.wvu.PrintArea</vt:lpstr>
      <vt:lpstr>ФУНД_Б№2!Z_99585AE0_310A_443B_AA88_42ECDEB16C11_.wvu.PrintArea</vt:lpstr>
      <vt:lpstr>ФУНД_БУД№3!Z_99585AE0_310A_443B_AA88_42ECDEB16C11_.wvu.PrintArea</vt:lpstr>
      <vt:lpstr>ФУНД_БУД№4!Z_99585AE0_310A_443B_AA88_42ECDEB16C11_.wvu.PrintArea</vt:lpstr>
      <vt:lpstr>'БЮДЖЕТ_ГАТНЕ (замечания)'!Область_друку</vt:lpstr>
      <vt:lpstr>КОТЛОВАН_№4!Область_друку</vt:lpstr>
      <vt:lpstr>КОТЛОВАН_Б№2!Область_друку</vt:lpstr>
      <vt:lpstr>КОТЛОВАН_Б№3!Область_друку</vt:lpstr>
      <vt:lpstr>'кошторис '!Область_друку</vt:lpstr>
      <vt:lpstr>материалы!Область_друку</vt:lpstr>
      <vt:lpstr>'ОБЩИЙ БЮДЖЕТ'!Область_друку</vt:lpstr>
      <vt:lpstr>СЛУЖБОВА!Область_друку</vt:lpstr>
      <vt:lpstr>СУ630!Область_друку</vt:lpstr>
      <vt:lpstr>ФУНД_Б№2!Область_друку</vt:lpstr>
      <vt:lpstr>ФУНД_БУД№3!Область_друку</vt:lpstr>
      <vt:lpstr>ФУНД_БУД№4!Область_друку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s.fytysenko@intergal-bud.com.ua</cp:lastModifiedBy>
  <cp:revision>3</cp:revision>
  <cp:lastPrinted>2024-03-15T13:35:42Z</cp:lastPrinted>
  <dcterms:created xsi:type="dcterms:W3CDTF">2006-09-28T05:33:49Z</dcterms:created>
  <dcterms:modified xsi:type="dcterms:W3CDTF">2026-06-25T08:45:57Z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