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АГРОБУДСЕРВИС\ЛЬВОВ\"/>
    </mc:Choice>
  </mc:AlternateContent>
  <xr:revisionPtr revIDLastSave="0" documentId="13_ncr:1_{37DBE87A-E735-4A5C-B6A0-D2363A0E5A1B}" xr6:coauthVersionLast="47" xr6:coauthVersionMax="47" xr10:uidLastSave="{00000000-0000-0000-0000-000000000000}"/>
  <bookViews>
    <workbookView xWindow="28680" yWindow="-120" windowWidth="29040" windowHeight="15720" tabRatio="923" xr2:uid="{00000000-000D-0000-FFFF-FFFF00000000}"/>
  </bookViews>
  <sheets>
    <sheet name="загально-будівель. роб" sheetId="18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8" l="1"/>
  <c r="D74" i="18" s="1"/>
  <c r="D70" i="18"/>
  <c r="D71" i="18" s="1"/>
  <c r="D73" i="18" l="1"/>
  <c r="D72" i="18"/>
  <c r="D93" i="18" l="1"/>
  <c r="D92" i="18"/>
  <c r="D91" i="18"/>
  <c r="D90" i="18"/>
  <c r="D89" i="18"/>
  <c r="D76" i="18" l="1"/>
  <c r="D42" i="18"/>
  <c r="D40" i="18"/>
  <c r="D38" i="18"/>
  <c r="D36" i="18"/>
  <c r="D35" i="18"/>
  <c r="D77" i="18" l="1"/>
  <c r="D79" i="18" s="1"/>
  <c r="D75" i="18"/>
  <c r="D39" i="18"/>
  <c r="D41" i="18"/>
  <c r="D78" i="18" l="1"/>
  <c r="D69" i="18"/>
  <c r="D68" i="18"/>
  <c r="D66" i="18"/>
  <c r="D63" i="18"/>
  <c r="D62" i="18"/>
  <c r="D61" i="18"/>
  <c r="D60" i="18"/>
  <c r="D65" i="18"/>
  <c r="D67" i="18"/>
  <c r="D64" i="18"/>
  <c r="D53" i="18" l="1"/>
  <c r="D84" i="18"/>
  <c r="D83" i="18"/>
  <c r="D82" i="18"/>
  <c r="D81" i="18"/>
  <c r="D108" i="18"/>
  <c r="D107" i="18"/>
  <c r="D106" i="18"/>
  <c r="D105" i="18"/>
  <c r="D104" i="18"/>
  <c r="D103" i="18" l="1"/>
  <c r="D110" i="18" l="1"/>
  <c r="D109" i="18"/>
  <c r="D100" i="18" l="1"/>
  <c r="D87" i="18"/>
  <c r="D86" i="18"/>
  <c r="D33" i="18"/>
  <c r="D56" i="18" l="1"/>
  <c r="D55" i="18"/>
  <c r="D24" i="18"/>
  <c r="D85" i="18"/>
  <c r="D28" i="18"/>
  <c r="D23" i="18"/>
  <c r="D20" i="18"/>
  <c r="D22" i="18" s="1"/>
  <c r="D18" i="18"/>
  <c r="D16" i="18"/>
  <c r="D26" i="18" l="1"/>
  <c r="D21" i="18"/>
  <c r="D25" i="18" s="1"/>
  <c r="F111" i="18" l="1"/>
</calcChain>
</file>

<file path=xl/sharedStrings.xml><?xml version="1.0" encoding="utf-8"?>
<sst xmlns="http://schemas.openxmlformats.org/spreadsheetml/2006/main" count="292" uniqueCount="190">
  <si>
    <t>№ п/п</t>
  </si>
  <si>
    <t>Найменування робiт</t>
  </si>
  <si>
    <t>Од. вим.</t>
  </si>
  <si>
    <t xml:space="preserve">Обсяг </t>
  </si>
  <si>
    <t>Вартість робіт та матеріалів, грн без ПДВ</t>
  </si>
  <si>
    <t>за одиницю виміру</t>
  </si>
  <si>
    <t>ВСЬОГО</t>
  </si>
  <si>
    <t>м3</t>
  </si>
  <si>
    <t>м2</t>
  </si>
  <si>
    <t>Замовник</t>
  </si>
  <si>
    <t>мп</t>
  </si>
  <si>
    <t>кг</t>
  </si>
  <si>
    <t>шт</t>
  </si>
  <si>
    <t>Разом вартість робіт без ПДВ, грн.</t>
  </si>
  <si>
    <t>Всього вартість матеріалів та обладнання без ПДВ, грн.</t>
  </si>
  <si>
    <t>Податок на додану вартість  20%, грн</t>
  </si>
  <si>
    <t>Всього за кошторисом без ПДВ, грн.</t>
  </si>
  <si>
    <t>Всього за кошторисом  з урахуванням ПДВ, грн</t>
  </si>
  <si>
    <t>Підрядник</t>
  </si>
  <si>
    <t>Приготування розчинів цементних М150</t>
  </si>
  <si>
    <t>100м3</t>
  </si>
  <si>
    <t>т</t>
  </si>
  <si>
    <t>Пісок природний, збагачений</t>
  </si>
  <si>
    <t>9.1</t>
  </si>
  <si>
    <t>л</t>
  </si>
  <si>
    <t>"_____"_________________2026р.</t>
  </si>
  <si>
    <t>Маяк штукатурний 6/18, (0,2) 3м ЕКО</t>
  </si>
  <si>
    <t>Sika BV 3 M UA Ka 10KG добавка до бетону, canister/каністра, 10 кг</t>
  </si>
  <si>
    <t>Фібра поліпропіленова 12мм (0,9 кг.уп)</t>
  </si>
  <si>
    <t>м</t>
  </si>
  <si>
    <t>Підлога на відм 0.000</t>
  </si>
  <si>
    <t>Мастика гідроізоляційна Ceresit CL 51, 14 кг</t>
  </si>
  <si>
    <t>Улаштування стяжок цементних товщиною 100 мм</t>
  </si>
  <si>
    <r>
      <t xml:space="preserve">Сітка композитна </t>
    </r>
    <r>
      <rPr>
        <sz val="10"/>
        <color theme="1"/>
        <rFont val="Arial"/>
        <family val="2"/>
        <charset val="204"/>
      </rPr>
      <t>d-4</t>
    </r>
    <r>
      <rPr>
        <sz val="10"/>
        <color indexed="8"/>
        <rFont val="Arial"/>
        <family val="2"/>
        <charset val="204"/>
      </rPr>
      <t xml:space="preserve"> мм 100*100 (25кв.м)</t>
    </r>
  </si>
  <si>
    <t>100м2</t>
  </si>
  <si>
    <t>1 м3</t>
  </si>
  <si>
    <t>Розбирання цементних стяжок</t>
  </si>
  <si>
    <t>Навантаження сміття вручну</t>
  </si>
  <si>
    <t>1 т</t>
  </si>
  <si>
    <t>Перевезення сміття до 30 км</t>
  </si>
  <si>
    <t xml:space="preserve">Улаштування гідроізоляції в два шари товщ.2 мм </t>
  </si>
  <si>
    <t>8.1</t>
  </si>
  <si>
    <t>Грунтування підлоги</t>
  </si>
  <si>
    <t>Грунтовка</t>
  </si>
  <si>
    <t>Цемент ПЦ ІІ/А-Ш-500, 25 кг</t>
  </si>
  <si>
    <t>Демпферна стрічка</t>
  </si>
  <si>
    <t>11.1</t>
  </si>
  <si>
    <t>11.2</t>
  </si>
  <si>
    <t>11.3</t>
  </si>
  <si>
    <t>11.4</t>
  </si>
  <si>
    <t>11.5</t>
  </si>
  <si>
    <t>11.6</t>
  </si>
  <si>
    <t>12.1</t>
  </si>
  <si>
    <t xml:space="preserve"> Стелі</t>
  </si>
  <si>
    <t>Дюбель забивний 6х40мм</t>
  </si>
  <si>
    <t>Саморізи 3,5х9,5</t>
  </si>
  <si>
    <t>Підвіс</t>
  </si>
  <si>
    <t>Однорівневий з'єднувач профілів "краб"</t>
  </si>
  <si>
    <t>Тяга підвісу</t>
  </si>
  <si>
    <t>Профіль UD-27</t>
  </si>
  <si>
    <t>Профіль CD-60</t>
  </si>
  <si>
    <t>Дюбель</t>
  </si>
  <si>
    <t>Профільований лист С10</t>
  </si>
  <si>
    <t>Саморіз покрівельний</t>
  </si>
  <si>
    <t>13.1</t>
  </si>
  <si>
    <t>Однорівневий подовжувач профілів 60/27</t>
  </si>
  <si>
    <t>Стіни та перегородки</t>
  </si>
  <si>
    <t>Дюбель 6х40</t>
  </si>
  <si>
    <t>Саморізи 3,5*25 мм</t>
  </si>
  <si>
    <t>Профіль направляючий UW 100</t>
  </si>
  <si>
    <t>Профіль стояковий CW 100</t>
  </si>
  <si>
    <t>14.1</t>
  </si>
  <si>
    <t>14.2</t>
  </si>
  <si>
    <t>Базальтова вата BauGut Universell THERMOWOOL LIGHT EXTRA 30 100 мм 2,88 кв.м</t>
  </si>
  <si>
    <t>15.1</t>
  </si>
  <si>
    <t>Саморізи 3,5х25мм</t>
  </si>
  <si>
    <t>Улаштування обшивки стін профільованим листом з улаштуванням металевого каркасу з утепленням</t>
  </si>
  <si>
    <t>16.1</t>
  </si>
  <si>
    <t>16.2</t>
  </si>
  <si>
    <t>16.3</t>
  </si>
  <si>
    <t>16.4</t>
  </si>
  <si>
    <t>16.5</t>
  </si>
  <si>
    <t>Прорізи</t>
  </si>
  <si>
    <t>Монтаж металевих дверей</t>
  </si>
  <si>
    <t>Улаштування каркасу однорівневих підвісних стель із металевих профілів  з підшивкою стелі профільним листом</t>
  </si>
  <si>
    <t xml:space="preserve">Двері металеві </t>
  </si>
  <si>
    <t>Монтаж м/пл вітражів</t>
  </si>
  <si>
    <t>Вітражі</t>
  </si>
  <si>
    <t>Підлога на відм +2,900</t>
  </si>
  <si>
    <t>Бруски обрізні з хвойних порід</t>
  </si>
  <si>
    <t>Улаштування покриттів дощатих товщиною 36 мм</t>
  </si>
  <si>
    <t>Дошки для покриття підлог антисептовані, тип ДП-35, товщина 35 мм, ширина без гребеня 68 мм</t>
  </si>
  <si>
    <t>Цвяхи будівельні 3,5х90 мм</t>
  </si>
  <si>
    <t>Фарба олійна та алкідна, готова до застосування, для внутрішніх робіт</t>
  </si>
  <si>
    <t>17.1</t>
  </si>
  <si>
    <t>17.2</t>
  </si>
  <si>
    <t>17.3</t>
  </si>
  <si>
    <t>17.4</t>
  </si>
  <si>
    <t>17.5</t>
  </si>
  <si>
    <t>17.6</t>
  </si>
  <si>
    <t>17.7</t>
  </si>
  <si>
    <t>19.1</t>
  </si>
  <si>
    <t>20.1</t>
  </si>
  <si>
    <t xml:space="preserve">Замовник: </t>
  </si>
  <si>
    <t>Виготовлення металоконструкцій (з витратним інструментом: бури, круги відрізні та зачисні, кисень, пропан та інші)</t>
  </si>
  <si>
    <t>Лист просічно-витяжної ПВЛ (406) 5 х 1000 х 2000 мм</t>
  </si>
  <si>
    <t>Грунтування та фарбування</t>
  </si>
  <si>
    <t>Монтаж металоконструкцій</t>
  </si>
  <si>
    <t>21.1</t>
  </si>
  <si>
    <t>21.2</t>
  </si>
  <si>
    <t>___________________________________</t>
  </si>
  <si>
    <t xml:space="preserve">    _________________ </t>
  </si>
  <si>
    <t>Сходи (2шт)</t>
  </si>
  <si>
    <t xml:space="preserve">Розбирання покриттів підлог з лінолеуму </t>
  </si>
  <si>
    <t>Розбирання підстильного шару бетонного</t>
  </si>
  <si>
    <t>Розбирання покриттів підлог з керамічних плиток</t>
  </si>
  <si>
    <t>Укладання демпферної стрічки по периметру приміщень</t>
  </si>
  <si>
    <t>Швелер №12 (14м.п. на 1 сходовий марш)</t>
  </si>
  <si>
    <t>Профільна труба 60х60х3м (12 м.п. на 1 сходовий марш)</t>
  </si>
  <si>
    <t>Кут 40х40х4м (25м.п. на 1 сходовий марш)</t>
  </si>
  <si>
    <t>Профільна труба 40х20х2м перила (12 м.п. на 1 сходовий марш)</t>
  </si>
  <si>
    <t>Гіпсокартон Knauf 1200х3000х12, 5 мм, стіновий (3,6 м.кв)</t>
  </si>
  <si>
    <t>Стрічка-сітка армуюча для швів зі скловолокна 50 мм</t>
  </si>
  <si>
    <t>Ґрунтовка глибокого проникнення</t>
  </si>
  <si>
    <t>Шпаклівка Knauf FUGENFULLER</t>
  </si>
  <si>
    <t>17.8</t>
  </si>
  <si>
    <t>17.9</t>
  </si>
  <si>
    <t>17.10</t>
  </si>
  <si>
    <t>Шпаклiвка ACRYL-PUTZ 2в1</t>
  </si>
  <si>
    <t>Фарба</t>
  </si>
  <si>
    <t>Всього</t>
  </si>
  <si>
    <t>Фарбування колером олійним підлог по дереву (прим.№10,11,12,13)</t>
  </si>
  <si>
    <t>Укладання лаг (прим.10)</t>
  </si>
  <si>
    <t>Клеюча суміш для керамограніту Ceresit СМ 11</t>
  </si>
  <si>
    <t>Кольоровий шов 2-5мм Ceresit СЕ 33 СУПЕР</t>
  </si>
  <si>
    <t>Плитка керамогранітна для підлоги 600х600х11</t>
  </si>
  <si>
    <t>Хрестики</t>
  </si>
  <si>
    <t>17.11</t>
  </si>
  <si>
    <t>17.12</t>
  </si>
  <si>
    <t>Двері металопластикові</t>
  </si>
  <si>
    <t>Облицювання стін керамічними плитками на розчині із сухої клеючої суміші,  кількість плиток в 1 м2 до 7 шт</t>
  </si>
  <si>
    <t>19.2</t>
  </si>
  <si>
    <t>20.2</t>
  </si>
  <si>
    <t>22.1</t>
  </si>
  <si>
    <t>22.2</t>
  </si>
  <si>
    <t>Грунтовка KNAUF Grundiermittel 10л</t>
  </si>
  <si>
    <t xml:space="preserve">Штукатурка гіпсова ЄС-75 Premium 30кг </t>
  </si>
  <si>
    <t>Кутник ПВХ штукатурний 3,0 м</t>
  </si>
  <si>
    <t>Влаштування штукатурки стін товщ.20 мм (другий поверх)</t>
  </si>
  <si>
    <t>Розбирання цегляних перегородок</t>
  </si>
  <si>
    <t>19.3</t>
  </si>
  <si>
    <t>19.4</t>
  </si>
  <si>
    <t>19.5</t>
  </si>
  <si>
    <t>19.6</t>
  </si>
  <si>
    <t>19.7</t>
  </si>
  <si>
    <t>19.8</t>
  </si>
  <si>
    <t>19.9</t>
  </si>
  <si>
    <t>19.10</t>
  </si>
  <si>
    <t>20.3</t>
  </si>
  <si>
    <t>23.1</t>
  </si>
  <si>
    <t>23.2</t>
  </si>
  <si>
    <t>23.3</t>
  </si>
  <si>
    <t>23.4</t>
  </si>
  <si>
    <t>23.5</t>
  </si>
  <si>
    <t>23.6</t>
  </si>
  <si>
    <t>23.7</t>
  </si>
  <si>
    <t>24.1</t>
  </si>
  <si>
    <t>24.2</t>
  </si>
  <si>
    <t>24.3</t>
  </si>
  <si>
    <t>24.4</t>
  </si>
  <si>
    <t>24.5</t>
  </si>
  <si>
    <t>26.1</t>
  </si>
  <si>
    <t>27.1</t>
  </si>
  <si>
    <t xml:space="preserve">Плитка керамогранітна </t>
  </si>
  <si>
    <t>Демонтаж металевих дверей</t>
  </si>
  <si>
    <t>28.1</t>
  </si>
  <si>
    <t>29.1</t>
  </si>
  <si>
    <t>29.2</t>
  </si>
  <si>
    <t>29.3</t>
  </si>
  <si>
    <t>29.4</t>
  </si>
  <si>
    <t>29.5</t>
  </si>
  <si>
    <t>Монтаж м/пл дверей (5 шт)</t>
  </si>
  <si>
    <t>Безпіщане накриття поверхонь стін розчином із клейового гіпсу при нанесенні за 2 рази</t>
  </si>
  <si>
    <t>Поліпшене фарбування полівінілацетатними водоемульсійними сумішами стін та укосів</t>
  </si>
  <si>
    <t xml:space="preserve">Улаштування перегородок на металевому однорядному каркасі з обшивкою гіпсокартонними листами в 2 шари з ізоляцією </t>
  </si>
  <si>
    <t>Улаштування покриттів з керамічних плиток на розчині із сухої клеючої суміші</t>
  </si>
  <si>
    <t>Обсяги до Кошторису на Ремонт внутрішніх приміщень.Загальнобудівельні роботи</t>
  </si>
  <si>
    <t>Сума прописом:</t>
  </si>
  <si>
    <t xml:space="preserve">Підрядник: </t>
  </si>
  <si>
    <t xml:space="preserve"> 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</si>
</sst>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\ _₽"/>
    <numFmt numFmtId="165" formatCode="0.000"/>
    <numFmt numFmtId="166" formatCode="0.0000"/>
    <numFmt numFmtId="167" formatCode="0.00000"/>
    <numFmt numFmtId="168" formatCode="#,##0.0000"/>
    <numFmt numFmtId="169" formatCode="#,##0.0000\ _₽"/>
    <numFmt numFmtId="170" formatCode="_-* #,##0.00\ _₽_-;\-* #,##0.00\ _₽_-;_-* &quot;-&quot;??\ _₽_-;_-@_-"/>
    <numFmt numFmtId="171" formatCode="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 Black"/>
      <family val="2"/>
      <charset val="204"/>
    </font>
    <font>
      <b/>
      <sz val="10"/>
      <color theme="1"/>
      <name val="Arial Black"/>
      <family val="2"/>
      <charset val="204"/>
    </font>
    <font>
      <sz val="11"/>
      <color theme="1"/>
      <name val="Calibri"/>
      <family val="2"/>
      <charset val="1"/>
      <scheme val="minor"/>
    </font>
    <font>
      <sz val="10"/>
      <color indexed="8"/>
      <name val="Arial Cy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Arial Cyr"/>
      <charset val="204"/>
    </font>
    <font>
      <sz val="8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u/>
      <sz val="10"/>
      <color indexed="8"/>
      <name val="Arial Cyr"/>
      <charset val="204"/>
    </font>
    <font>
      <b/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0C0C0"/>
      </patternFill>
    </fill>
    <fill>
      <patternFill patternType="solid">
        <fgColor theme="4" tint="0.79998168889431442"/>
        <bgColor rgb="FFFFFFFF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0" fontId="18" fillId="0" borderId="0"/>
    <xf numFmtId="0" fontId="5" fillId="0" borderId="0"/>
    <xf numFmtId="0" fontId="1" fillId="0" borderId="0"/>
  </cellStyleXfs>
  <cellXfs count="19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0" fillId="0" borderId="0" xfId="0" applyNumberFormat="1"/>
    <xf numFmtId="4" fontId="2" fillId="0" borderId="0" xfId="0" applyNumberFormat="1" applyFont="1"/>
    <xf numFmtId="0" fontId="3" fillId="0" borderId="0" xfId="0" applyFont="1"/>
    <xf numFmtId="0" fontId="4" fillId="0" borderId="0" xfId="0" applyFont="1"/>
    <xf numFmtId="2" fontId="0" fillId="0" borderId="0" xfId="0" applyNumberFormat="1"/>
    <xf numFmtId="0" fontId="10" fillId="0" borderId="0" xfId="0" applyFont="1"/>
    <xf numFmtId="0" fontId="9" fillId="0" borderId="0" xfId="0" applyFont="1"/>
    <xf numFmtId="0" fontId="11" fillId="0" borderId="0" xfId="0" applyFont="1"/>
    <xf numFmtId="1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4" fontId="10" fillId="0" borderId="8" xfId="1" applyNumberFormat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right"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13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10" fillId="0" borderId="15" xfId="1" applyFont="1" applyBorder="1" applyAlignment="1">
      <alignment horizontal="left" vertical="center"/>
    </xf>
    <xf numFmtId="4" fontId="10" fillId="5" borderId="16" xfId="1" applyNumberFormat="1" applyFont="1" applyFill="1" applyBorder="1" applyAlignment="1">
      <alignment horizontal="right" vertical="center"/>
    </xf>
    <xf numFmtId="4" fontId="10" fillId="5" borderId="20" xfId="1" applyNumberFormat="1" applyFont="1" applyFill="1" applyBorder="1" applyAlignment="1">
      <alignment horizontal="right" vertical="center"/>
    </xf>
    <xf numFmtId="0" fontId="10" fillId="0" borderId="21" xfId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4" fontId="10" fillId="5" borderId="23" xfId="1" applyNumberFormat="1" applyFont="1" applyFill="1" applyBorder="1" applyAlignment="1">
      <alignment horizontal="right" vertical="center"/>
    </xf>
    <xf numFmtId="1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10" fillId="3" borderId="0" xfId="0" applyFont="1" applyFill="1"/>
    <xf numFmtId="0" fontId="16" fillId="0" borderId="0" xfId="0" applyFont="1"/>
    <xf numFmtId="0" fontId="17" fillId="0" borderId="0" xfId="0" applyFont="1"/>
    <xf numFmtId="0" fontId="10" fillId="6" borderId="29" xfId="0" applyFont="1" applyFill="1" applyBorder="1" applyAlignment="1">
      <alignment horizontal="center" vertical="top" wrapText="1"/>
    </xf>
    <xf numFmtId="49" fontId="9" fillId="3" borderId="24" xfId="0" applyNumberFormat="1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top"/>
    </xf>
    <xf numFmtId="2" fontId="9" fillId="3" borderId="1" xfId="0" applyNumberFormat="1" applyFont="1" applyFill="1" applyBorder="1" applyAlignment="1">
      <alignment horizontal="right" vertical="top"/>
    </xf>
    <xf numFmtId="0" fontId="10" fillId="6" borderId="26" xfId="0" applyFont="1" applyFill="1" applyBorder="1" applyAlignment="1">
      <alignment horizontal="center" vertical="top"/>
    </xf>
    <xf numFmtId="0" fontId="10" fillId="6" borderId="27" xfId="0" applyFont="1" applyFill="1" applyBorder="1" applyAlignment="1">
      <alignment horizontal="center" vertical="top" wrapText="1"/>
    </xf>
    <xf numFmtId="0" fontId="10" fillId="6" borderId="30" xfId="0" applyFont="1" applyFill="1" applyBorder="1" applyAlignment="1">
      <alignment horizontal="right" vertical="top" wrapText="1"/>
    </xf>
    <xf numFmtId="1" fontId="10" fillId="2" borderId="2" xfId="1" applyNumberFormat="1" applyFont="1" applyFill="1" applyBorder="1" applyAlignment="1">
      <alignment horizontal="center" vertical="center"/>
    </xf>
    <xf numFmtId="0" fontId="13" fillId="3" borderId="31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 wrapText="1"/>
    </xf>
    <xf numFmtId="164" fontId="10" fillId="4" borderId="3" xfId="1" applyNumberFormat="1" applyFont="1" applyFill="1" applyBorder="1" applyAlignment="1">
      <alignment horizontal="center" vertical="center" wrapText="1"/>
    </xf>
    <xf numFmtId="1" fontId="10" fillId="4" borderId="3" xfId="1" applyNumberFormat="1" applyFont="1" applyFill="1" applyBorder="1" applyAlignment="1">
      <alignment horizontal="center" vertical="center" wrapText="1"/>
    </xf>
    <xf numFmtId="3" fontId="10" fillId="4" borderId="32" xfId="1" applyNumberFormat="1" applyFont="1" applyFill="1" applyBorder="1" applyAlignment="1">
      <alignment horizontal="center" vertical="center" wrapText="1"/>
    </xf>
    <xf numFmtId="0" fontId="9" fillId="0" borderId="0" xfId="1" applyFont="1"/>
    <xf numFmtId="0" fontId="10" fillId="0" borderId="17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9" fillId="0" borderId="18" xfId="8" applyFont="1" applyBorder="1" applyAlignment="1">
      <alignment horizontal="left" vertical="top" wrapText="1"/>
    </xf>
    <xf numFmtId="0" fontId="19" fillId="0" borderId="25" xfId="8" applyFont="1" applyBorder="1" applyAlignment="1">
      <alignment horizontal="center" vertical="top" wrapText="1"/>
    </xf>
    <xf numFmtId="165" fontId="19" fillId="0" borderId="1" xfId="8" applyNumberFormat="1" applyFont="1" applyBorder="1" applyAlignment="1">
      <alignment horizontal="right" vertical="top" wrapText="1"/>
    </xf>
    <xf numFmtId="1" fontId="20" fillId="0" borderId="0" xfId="1" applyNumberFormat="1" applyFont="1" applyAlignment="1">
      <alignment horizontal="center" vertical="center"/>
    </xf>
    <xf numFmtId="0" fontId="21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2" fontId="21" fillId="0" borderId="0" xfId="1" applyNumberFormat="1" applyFont="1" applyAlignment="1">
      <alignment horizontal="center" vertical="center"/>
    </xf>
    <xf numFmtId="4" fontId="21" fillId="0" borderId="0" xfId="1" applyNumberFormat="1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2" fontId="9" fillId="0" borderId="1" xfId="0" applyNumberFormat="1" applyFont="1" applyBorder="1" applyAlignment="1">
      <alignment horizontal="right" vertical="top" wrapText="1"/>
    </xf>
    <xf numFmtId="49" fontId="12" fillId="0" borderId="24" xfId="0" applyNumberFormat="1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right" vertical="center" wrapText="1"/>
    </xf>
    <xf numFmtId="0" fontId="24" fillId="7" borderId="1" xfId="0" applyFont="1" applyFill="1" applyBorder="1" applyAlignment="1">
      <alignment horizontal="center" vertical="top" wrapText="1"/>
    </xf>
    <xf numFmtId="0" fontId="24" fillId="7" borderId="1" xfId="0" applyFont="1" applyFill="1" applyBorder="1" applyAlignment="1">
      <alignment horizontal="left" vertical="top" wrapText="1"/>
    </xf>
    <xf numFmtId="166" fontId="24" fillId="7" borderId="1" xfId="0" applyNumberFormat="1" applyFont="1" applyFill="1" applyBorder="1" applyAlignment="1">
      <alignment horizontal="right" vertical="top" wrapText="1"/>
    </xf>
    <xf numFmtId="2" fontId="24" fillId="7" borderId="1" xfId="0" applyNumberFormat="1" applyFont="1" applyFill="1" applyBorder="1" applyAlignment="1">
      <alignment horizontal="right" vertical="top" wrapText="1"/>
    </xf>
    <xf numFmtId="0" fontId="9" fillId="3" borderId="1" xfId="0" applyFont="1" applyFill="1" applyBorder="1" applyAlignment="1">
      <alignment horizontal="center" vertical="top" wrapText="1"/>
    </xf>
    <xf numFmtId="2" fontId="9" fillId="3" borderId="1" xfId="0" applyNumberFormat="1" applyFont="1" applyFill="1" applyBorder="1" applyAlignment="1">
      <alignment horizontal="right" vertical="top" wrapText="1"/>
    </xf>
    <xf numFmtId="0" fontId="24" fillId="0" borderId="1" xfId="0" applyFont="1" applyBorder="1" applyAlignment="1">
      <alignment horizontal="right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center" vertical="top" wrapText="1"/>
    </xf>
    <xf numFmtId="165" fontId="24" fillId="0" borderId="1" xfId="0" applyNumberFormat="1" applyFont="1" applyBorder="1" applyAlignment="1">
      <alignment horizontal="right" vertical="top" wrapText="1"/>
    </xf>
    <xf numFmtId="2" fontId="24" fillId="0" borderId="1" xfId="0" applyNumberFormat="1" applyFont="1" applyBorder="1" applyAlignment="1">
      <alignment horizontal="right" vertical="top" wrapText="1"/>
    </xf>
    <xf numFmtId="167" fontId="24" fillId="0" borderId="1" xfId="0" applyNumberFormat="1" applyFont="1" applyBorder="1" applyAlignment="1">
      <alignment horizontal="right" vertical="top" wrapText="1"/>
    </xf>
    <xf numFmtId="0" fontId="10" fillId="6" borderId="18" xfId="0" applyFont="1" applyFill="1" applyBorder="1" applyAlignment="1">
      <alignment horizontal="center" vertical="top" wrapText="1"/>
    </xf>
    <xf numFmtId="0" fontId="10" fillId="6" borderId="24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center" vertical="top" wrapText="1"/>
    </xf>
    <xf numFmtId="0" fontId="10" fillId="6" borderId="19" xfId="0" applyFont="1" applyFill="1" applyBorder="1" applyAlignment="1">
      <alignment horizontal="right" vertical="top" wrapText="1"/>
    </xf>
    <xf numFmtId="0" fontId="10" fillId="6" borderId="18" xfId="0" applyFont="1" applyFill="1" applyBorder="1" applyAlignment="1">
      <alignment horizontal="right" vertical="top" wrapText="1"/>
    </xf>
    <xf numFmtId="4" fontId="10" fillId="6" borderId="20" xfId="0" applyNumberFormat="1" applyFont="1" applyFill="1" applyBorder="1" applyAlignment="1">
      <alignment horizontal="right" vertical="top" wrapText="1"/>
    </xf>
    <xf numFmtId="1" fontId="24" fillId="0" borderId="1" xfId="0" applyNumberFormat="1" applyFont="1" applyBorder="1" applyAlignment="1">
      <alignment horizontal="right" vertical="top" wrapText="1"/>
    </xf>
    <xf numFmtId="0" fontId="12" fillId="7" borderId="26" xfId="0" applyFont="1" applyFill="1" applyBorder="1" applyAlignment="1">
      <alignment horizontal="center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right" vertical="center" wrapText="1"/>
    </xf>
    <xf numFmtId="0" fontId="12" fillId="7" borderId="24" xfId="0" applyFont="1" applyFill="1" applyBorder="1" applyAlignment="1">
      <alignment horizontal="center" vertical="top" wrapText="1"/>
    </xf>
    <xf numFmtId="0" fontId="12" fillId="7" borderId="18" xfId="0" applyFont="1" applyFill="1" applyBorder="1" applyAlignment="1">
      <alignment horizontal="left" vertical="top" wrapText="1"/>
    </xf>
    <xf numFmtId="0" fontId="12" fillId="7" borderId="25" xfId="0" applyFont="1" applyFill="1" applyBorder="1" applyAlignment="1">
      <alignment horizontal="center" vertical="top" wrapText="1"/>
    </xf>
    <xf numFmtId="2" fontId="12" fillId="7" borderId="1" xfId="0" applyNumberFormat="1" applyFont="1" applyFill="1" applyBorder="1" applyAlignment="1">
      <alignment horizontal="right" vertical="top" wrapText="1"/>
    </xf>
    <xf numFmtId="166" fontId="12" fillId="7" borderId="1" xfId="0" applyNumberFormat="1" applyFont="1" applyFill="1" applyBorder="1" applyAlignment="1">
      <alignment horizontal="right" vertical="top" wrapText="1"/>
    </xf>
    <xf numFmtId="43" fontId="24" fillId="7" borderId="1" xfId="10" applyFont="1" applyFill="1" applyBorder="1" applyAlignment="1">
      <alignment horizontal="right" vertical="top" wrapText="1"/>
    </xf>
    <xf numFmtId="43" fontId="12" fillId="0" borderId="20" xfId="10" applyFont="1" applyBorder="1" applyAlignment="1">
      <alignment horizontal="right" vertical="top" wrapText="1"/>
    </xf>
    <xf numFmtId="43" fontId="19" fillId="0" borderId="20" xfId="10" applyFont="1" applyBorder="1" applyAlignment="1">
      <alignment horizontal="right" vertical="top" wrapText="1"/>
    </xf>
    <xf numFmtId="43" fontId="9" fillId="3" borderId="20" xfId="10" applyFont="1" applyFill="1" applyBorder="1" applyAlignment="1">
      <alignment horizontal="right" vertical="top"/>
    </xf>
    <xf numFmtId="43" fontId="10" fillId="6" borderId="28" xfId="10" applyFont="1" applyFill="1" applyBorder="1" applyAlignment="1">
      <alignment horizontal="right" vertical="top" wrapText="1"/>
    </xf>
    <xf numFmtId="43" fontId="9" fillId="7" borderId="27" xfId="10" applyFont="1" applyFill="1" applyBorder="1" applyAlignment="1">
      <alignment horizontal="right" vertical="center" wrapText="1"/>
    </xf>
    <xf numFmtId="43" fontId="9" fillId="7" borderId="28" xfId="10" applyFont="1" applyFill="1" applyBorder="1" applyAlignment="1">
      <alignment horizontal="right" vertical="center" wrapText="1"/>
    </xf>
    <xf numFmtId="43" fontId="9" fillId="3" borderId="1" xfId="10" applyFont="1" applyFill="1" applyBorder="1" applyAlignment="1">
      <alignment horizontal="right" vertical="top" wrapText="1"/>
    </xf>
    <xf numFmtId="43" fontId="9" fillId="3" borderId="20" xfId="10" applyFont="1" applyFill="1" applyBorder="1" applyAlignment="1">
      <alignment horizontal="right" vertical="top" wrapText="1"/>
    </xf>
    <xf numFmtId="43" fontId="9" fillId="3" borderId="1" xfId="10" applyFont="1" applyFill="1" applyBorder="1" applyAlignment="1">
      <alignment horizontal="right" vertical="center" wrapText="1"/>
    </xf>
    <xf numFmtId="43" fontId="9" fillId="3" borderId="20" xfId="10" applyFont="1" applyFill="1" applyBorder="1" applyAlignment="1">
      <alignment horizontal="right" vertical="center" wrapText="1"/>
    </xf>
    <xf numFmtId="43" fontId="24" fillId="0" borderId="1" xfId="10" applyFont="1" applyBorder="1" applyAlignment="1">
      <alignment horizontal="right" vertical="top" wrapText="1"/>
    </xf>
    <xf numFmtId="43" fontId="12" fillId="7" borderId="1" xfId="10" applyFont="1" applyFill="1" applyBorder="1" applyAlignment="1">
      <alignment horizontal="right" vertical="top" wrapText="1"/>
    </xf>
    <xf numFmtId="43" fontId="12" fillId="7" borderId="20" xfId="10" applyFont="1" applyFill="1" applyBorder="1" applyAlignment="1">
      <alignment horizontal="right" vertical="top" wrapText="1"/>
    </xf>
    <xf numFmtId="43" fontId="9" fillId="7" borderId="1" xfId="10" applyFont="1" applyFill="1" applyBorder="1" applyAlignment="1">
      <alignment horizontal="right" vertical="top" wrapText="1"/>
    </xf>
    <xf numFmtId="43" fontId="22" fillId="3" borderId="1" xfId="10" applyFont="1" applyFill="1" applyBorder="1" applyAlignment="1">
      <alignment horizontal="right" vertical="top" wrapText="1"/>
    </xf>
    <xf numFmtId="43" fontId="9" fillId="3" borderId="1" xfId="10" applyFont="1" applyFill="1" applyBorder="1" applyAlignment="1">
      <alignment horizontal="right" vertical="top"/>
    </xf>
    <xf numFmtId="1" fontId="24" fillId="7" borderId="1" xfId="0" applyNumberFormat="1" applyFont="1" applyFill="1" applyBorder="1" applyAlignment="1">
      <alignment horizontal="right" vertical="top" wrapText="1"/>
    </xf>
    <xf numFmtId="0" fontId="25" fillId="6" borderId="1" xfId="0" applyFont="1" applyFill="1" applyBorder="1" applyAlignment="1">
      <alignment horizontal="center" vertical="top" wrapText="1"/>
    </xf>
    <xf numFmtId="0" fontId="26" fillId="6" borderId="1" xfId="0" applyFont="1" applyFill="1" applyBorder="1" applyAlignment="1">
      <alignment horizontal="center" vertical="top" wrapText="1"/>
    </xf>
    <xf numFmtId="0" fontId="26" fillId="6" borderId="1" xfId="0" applyFont="1" applyFill="1" applyBorder="1" applyAlignment="1">
      <alignment horizontal="right" vertical="top" wrapText="1"/>
    </xf>
    <xf numFmtId="4" fontId="9" fillId="8" borderId="34" xfId="1" applyNumberFormat="1" applyFont="1" applyFill="1" applyBorder="1" applyAlignment="1">
      <alignment vertical="top" wrapText="1"/>
    </xf>
    <xf numFmtId="0" fontId="14" fillId="7" borderId="1" xfId="6" applyFont="1" applyFill="1" applyBorder="1" applyAlignment="1">
      <alignment horizontal="center" vertical="top" wrapText="1"/>
    </xf>
    <xf numFmtId="168" fontId="14" fillId="7" borderId="1" xfId="6" applyNumberFormat="1" applyFont="1" applyFill="1" applyBorder="1" applyAlignment="1">
      <alignment horizontal="right" vertical="top" wrapText="1"/>
    </xf>
    <xf numFmtId="4" fontId="12" fillId="7" borderId="1" xfId="6" applyNumberFormat="1" applyFont="1" applyFill="1" applyBorder="1" applyAlignment="1">
      <alignment horizontal="right" vertical="top" wrapText="1"/>
    </xf>
    <xf numFmtId="4" fontId="14" fillId="7" borderId="20" xfId="6" applyNumberFormat="1" applyFont="1" applyFill="1" applyBorder="1" applyAlignment="1">
      <alignment horizontal="right" vertical="top" wrapText="1"/>
    </xf>
    <xf numFmtId="4" fontId="14" fillId="7" borderId="1" xfId="6" applyNumberFormat="1" applyFont="1" applyFill="1" applyBorder="1" applyAlignment="1">
      <alignment vertical="top" wrapText="1"/>
    </xf>
    <xf numFmtId="4" fontId="14" fillId="7" borderId="20" xfId="6" applyNumberFormat="1" applyFont="1" applyFill="1" applyBorder="1" applyAlignment="1">
      <alignment horizontal="right" vertical="center" wrapText="1"/>
    </xf>
    <xf numFmtId="4" fontId="14" fillId="7" borderId="33" xfId="6" applyNumberFormat="1" applyFont="1" applyFill="1" applyBorder="1" applyAlignment="1">
      <alignment vertical="top" wrapText="1"/>
    </xf>
    <xf numFmtId="0" fontId="14" fillId="7" borderId="33" xfId="6" applyFont="1" applyFill="1" applyBorder="1" applyAlignment="1">
      <alignment horizontal="center" vertical="top" wrapText="1"/>
    </xf>
    <xf numFmtId="4" fontId="14" fillId="7" borderId="35" xfId="6" applyNumberFormat="1" applyFont="1" applyFill="1" applyBorder="1" applyAlignment="1">
      <alignment horizontal="right" vertical="center" wrapText="1"/>
    </xf>
    <xf numFmtId="0" fontId="24" fillId="7" borderId="24" xfId="0" applyFont="1" applyFill="1" applyBorder="1" applyAlignment="1">
      <alignment horizontal="center" vertical="top" wrapText="1"/>
    </xf>
    <xf numFmtId="43" fontId="24" fillId="7" borderId="20" xfId="10" applyFont="1" applyFill="1" applyBorder="1" applyAlignment="1">
      <alignment horizontal="right" vertical="top" wrapText="1"/>
    </xf>
    <xf numFmtId="43" fontId="24" fillId="3" borderId="20" xfId="10" applyFont="1" applyFill="1" applyBorder="1" applyAlignment="1">
      <alignment horizontal="right" vertical="top" wrapText="1"/>
    </xf>
    <xf numFmtId="49" fontId="24" fillId="0" borderId="24" xfId="0" applyNumberFormat="1" applyFont="1" applyBorder="1" applyAlignment="1">
      <alignment horizontal="right" vertical="top" wrapText="1"/>
    </xf>
    <xf numFmtId="0" fontId="25" fillId="6" borderId="24" xfId="0" applyFont="1" applyFill="1" applyBorder="1" applyAlignment="1">
      <alignment horizontal="center" vertical="top" wrapText="1"/>
    </xf>
    <xf numFmtId="0" fontId="26" fillId="6" borderId="20" xfId="0" applyFont="1" applyFill="1" applyBorder="1" applyAlignment="1">
      <alignment horizontal="right" vertical="top" wrapText="1"/>
    </xf>
    <xf numFmtId="2" fontId="24" fillId="0" borderId="20" xfId="0" applyNumberFormat="1" applyFont="1" applyBorder="1" applyAlignment="1">
      <alignment horizontal="right" vertical="top" wrapText="1"/>
    </xf>
    <xf numFmtId="170" fontId="0" fillId="0" borderId="0" xfId="0" applyNumberFormat="1"/>
    <xf numFmtId="4" fontId="10" fillId="5" borderId="5" xfId="1" applyNumberFormat="1" applyFont="1" applyFill="1" applyBorder="1" applyAlignment="1">
      <alignment horizontal="right" vertical="top"/>
    </xf>
    <xf numFmtId="0" fontId="10" fillId="0" borderId="0" xfId="1" applyFont="1" applyAlignment="1">
      <alignment horizontal="left" vertical="center"/>
    </xf>
    <xf numFmtId="4" fontId="10" fillId="5" borderId="0" xfId="1" applyNumberFormat="1" applyFont="1" applyFill="1" applyAlignment="1">
      <alignment horizontal="right" vertical="center"/>
    </xf>
    <xf numFmtId="170" fontId="0" fillId="3" borderId="0" xfId="0" applyNumberFormat="1" applyFill="1"/>
    <xf numFmtId="0" fontId="24" fillId="3" borderId="36" xfId="0" applyFont="1" applyFill="1" applyBorder="1" applyAlignment="1">
      <alignment horizontal="center" vertical="top" wrapText="1"/>
    </xf>
    <xf numFmtId="0" fontId="14" fillId="3" borderId="29" xfId="6" applyFont="1" applyFill="1" applyBorder="1" applyAlignment="1">
      <alignment horizontal="center" vertical="top" wrapText="1"/>
    </xf>
    <xf numFmtId="168" fontId="14" fillId="3" borderId="29" xfId="6" applyNumberFormat="1" applyFont="1" applyFill="1" applyBorder="1" applyAlignment="1">
      <alignment horizontal="right" vertical="top" wrapText="1"/>
    </xf>
    <xf numFmtId="4" fontId="12" fillId="3" borderId="30" xfId="6" applyNumberFormat="1" applyFont="1" applyFill="1" applyBorder="1" applyAlignment="1">
      <alignment horizontal="right" vertical="top" wrapText="1"/>
    </xf>
    <xf numFmtId="4" fontId="14" fillId="3" borderId="37" xfId="6" applyNumberFormat="1" applyFont="1" applyFill="1" applyBorder="1" applyAlignment="1">
      <alignment horizontal="right" vertical="top" wrapText="1"/>
    </xf>
    <xf numFmtId="43" fontId="0" fillId="0" borderId="0" xfId="10" applyFont="1"/>
    <xf numFmtId="171" fontId="24" fillId="7" borderId="1" xfId="0" applyNumberFormat="1" applyFont="1" applyFill="1" applyBorder="1" applyAlignment="1">
      <alignment horizontal="right" vertical="top" wrapText="1"/>
    </xf>
    <xf numFmtId="43" fontId="24" fillId="0" borderId="20" xfId="10" applyFont="1" applyBorder="1" applyAlignment="1">
      <alignment horizontal="right" vertical="top" wrapText="1"/>
    </xf>
    <xf numFmtId="2" fontId="9" fillId="7" borderId="27" xfId="0" applyNumberFormat="1" applyFont="1" applyFill="1" applyBorder="1" applyAlignment="1">
      <alignment horizontal="right" vertical="center" wrapText="1"/>
    </xf>
    <xf numFmtId="49" fontId="9" fillId="3" borderId="17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14" fillId="0" borderId="19" xfId="3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right" vertical="top"/>
    </xf>
    <xf numFmtId="43" fontId="9" fillId="3" borderId="1" xfId="10" applyFont="1" applyFill="1" applyBorder="1" applyAlignment="1">
      <alignment vertical="top"/>
    </xf>
    <xf numFmtId="4" fontId="9" fillId="0" borderId="20" xfId="10" applyNumberFormat="1" applyFont="1" applyBorder="1" applyAlignment="1">
      <alignment horizontal="right" vertical="top"/>
    </xf>
    <xf numFmtId="0" fontId="9" fillId="3" borderId="19" xfId="0" applyFont="1" applyFill="1" applyBorder="1" applyAlignment="1">
      <alignment horizontal="center" vertical="top"/>
    </xf>
    <xf numFmtId="4" fontId="9" fillId="3" borderId="20" xfId="0" applyNumberFormat="1" applyFont="1" applyFill="1" applyBorder="1" applyAlignment="1">
      <alignment horizontal="right" vertical="top"/>
    </xf>
    <xf numFmtId="0" fontId="9" fillId="3" borderId="15" xfId="0" applyFont="1" applyFill="1" applyBorder="1" applyAlignment="1">
      <alignment horizontal="center" vertical="top"/>
    </xf>
    <xf numFmtId="2" fontId="9" fillId="3" borderId="33" xfId="0" applyNumberFormat="1" applyFont="1" applyFill="1" applyBorder="1" applyAlignment="1">
      <alignment horizontal="right" vertical="top"/>
    </xf>
    <xf numFmtId="4" fontId="9" fillId="3" borderId="35" xfId="0" applyNumberFormat="1" applyFont="1" applyFill="1" applyBorder="1" applyAlignment="1">
      <alignment horizontal="right" vertical="top"/>
    </xf>
    <xf numFmtId="0" fontId="9" fillId="7" borderId="17" xfId="0" applyFont="1" applyFill="1" applyBorder="1" applyAlignment="1">
      <alignment horizontal="center" vertical="top"/>
    </xf>
    <xf numFmtId="0" fontId="9" fillId="7" borderId="1" xfId="0" applyFont="1" applyFill="1" applyBorder="1" applyAlignment="1">
      <alignment horizontal="left" vertical="top" wrapText="1"/>
    </xf>
    <xf numFmtId="0" fontId="9" fillId="7" borderId="19" xfId="0" applyFont="1" applyFill="1" applyBorder="1" applyAlignment="1">
      <alignment horizontal="center" vertical="top"/>
    </xf>
    <xf numFmtId="2" fontId="9" fillId="7" borderId="1" xfId="0" applyNumberFormat="1" applyFont="1" applyFill="1" applyBorder="1" applyAlignment="1">
      <alignment horizontal="right" vertical="top"/>
    </xf>
    <xf numFmtId="4" fontId="9" fillId="7" borderId="20" xfId="0" applyNumberFormat="1" applyFont="1" applyFill="1" applyBorder="1" applyAlignment="1">
      <alignment horizontal="right" vertical="top"/>
    </xf>
    <xf numFmtId="165" fontId="24" fillId="7" borderId="1" xfId="0" applyNumberFormat="1" applyFont="1" applyFill="1" applyBorder="1" applyAlignment="1">
      <alignment horizontal="right" vertical="top" wrapText="1"/>
    </xf>
    <xf numFmtId="0" fontId="10" fillId="0" borderId="0" xfId="1" applyFont="1" applyAlignment="1">
      <alignment horizontal="center" vertical="top" wrapText="1"/>
    </xf>
    <xf numFmtId="1" fontId="9" fillId="9" borderId="38" xfId="1" applyNumberFormat="1" applyFont="1" applyFill="1" applyBorder="1" applyAlignment="1">
      <alignment horizontal="center" vertical="center"/>
    </xf>
    <xf numFmtId="168" fontId="14" fillId="7" borderId="33" xfId="6" applyNumberFormat="1" applyFont="1" applyFill="1" applyBorder="1" applyAlignment="1">
      <alignment horizontal="right" vertical="center" wrapText="1"/>
    </xf>
    <xf numFmtId="4" fontId="14" fillId="7" borderId="33" xfId="6" applyNumberFormat="1" applyFont="1" applyFill="1" applyBorder="1" applyAlignment="1">
      <alignment horizontal="right" vertical="top" wrapText="1"/>
    </xf>
    <xf numFmtId="169" fontId="14" fillId="7" borderId="1" xfId="6" applyNumberFormat="1" applyFont="1" applyFill="1" applyBorder="1" applyAlignment="1">
      <alignment horizontal="right" vertical="center" wrapText="1"/>
    </xf>
    <xf numFmtId="0" fontId="10" fillId="6" borderId="0" xfId="0" applyFont="1" applyFill="1" applyAlignment="1">
      <alignment horizontal="right" vertical="top" wrapText="1"/>
    </xf>
    <xf numFmtId="4" fontId="0" fillId="0" borderId="0" xfId="0" applyNumberFormat="1" applyAlignment="1">
      <alignment vertical="center"/>
    </xf>
    <xf numFmtId="1" fontId="9" fillId="9" borderId="39" xfId="1" applyNumberFormat="1" applyFont="1" applyFill="1" applyBorder="1" applyAlignment="1">
      <alignment horizontal="center" vertical="center"/>
    </xf>
    <xf numFmtId="4" fontId="9" fillId="4" borderId="0" xfId="1" applyNumberFormat="1" applyFont="1" applyFill="1" applyAlignment="1">
      <alignment vertical="top" wrapText="1"/>
    </xf>
    <xf numFmtId="0" fontId="10" fillId="0" borderId="10" xfId="1" applyFont="1" applyBorder="1" applyAlignment="1">
      <alignment horizontal="left" vertical="top"/>
    </xf>
    <xf numFmtId="0" fontId="10" fillId="0" borderId="11" xfId="1" applyFont="1" applyBorder="1" applyAlignment="1">
      <alignment horizontal="left" vertical="top"/>
    </xf>
    <xf numFmtId="0" fontId="10" fillId="0" borderId="12" xfId="1" applyFont="1" applyBorder="1" applyAlignment="1">
      <alignment horizontal="left" vertical="top"/>
    </xf>
    <xf numFmtId="0" fontId="10" fillId="0" borderId="17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19" xfId="1" applyFont="1" applyBorder="1" applyAlignment="1">
      <alignment horizontal="left" vertical="center"/>
    </xf>
    <xf numFmtId="0" fontId="10" fillId="0" borderId="0" xfId="1" applyFont="1" applyAlignment="1">
      <alignment horizontal="center" vertical="top" wrapText="1"/>
    </xf>
    <xf numFmtId="0" fontId="9" fillId="0" borderId="0" xfId="1" applyFont="1" applyAlignment="1">
      <alignment horizontal="center" vertical="center"/>
    </xf>
    <xf numFmtId="0" fontId="9" fillId="0" borderId="0" xfId="1" applyFont="1"/>
    <xf numFmtId="2" fontId="9" fillId="0" borderId="0" xfId="1" applyNumberFormat="1" applyFont="1" applyAlignment="1">
      <alignment horizontal="left" vertical="center" wrapText="1"/>
    </xf>
    <xf numFmtId="0" fontId="9" fillId="0" borderId="0" xfId="1" applyFont="1" applyAlignment="1">
      <alignment horizontal="left"/>
    </xf>
    <xf numFmtId="0" fontId="27" fillId="3" borderId="0" xfId="0" applyFont="1" applyFill="1" applyAlignment="1">
      <alignment horizontal="center" vertical="top" wrapText="1"/>
    </xf>
    <xf numFmtId="0" fontId="12" fillId="3" borderId="0" xfId="0" applyFont="1" applyFill="1" applyAlignment="1">
      <alignment horizontal="center" vertical="top" wrapText="1"/>
    </xf>
    <xf numFmtId="1" fontId="10" fillId="0" borderId="2" xfId="1" applyNumberFormat="1" applyFont="1" applyBorder="1" applyAlignment="1">
      <alignment horizontal="center" vertical="center" wrapText="1"/>
    </xf>
    <xf numFmtId="0" fontId="13" fillId="0" borderId="6" xfId="1" applyFont="1" applyBorder="1"/>
    <xf numFmtId="0" fontId="10" fillId="0" borderId="3" xfId="1" applyFont="1" applyBorder="1" applyAlignment="1">
      <alignment horizontal="center" vertical="center"/>
    </xf>
    <xf numFmtId="0" fontId="13" fillId="0" borderId="7" xfId="1" applyFont="1" applyBorder="1"/>
    <xf numFmtId="0" fontId="10" fillId="0" borderId="3" xfId="1" applyFont="1" applyBorder="1" applyAlignment="1">
      <alignment horizontal="center" vertical="center" wrapText="1"/>
    </xf>
    <xf numFmtId="4" fontId="10" fillId="0" borderId="4" xfId="1" applyNumberFormat="1" applyFont="1" applyBorder="1" applyAlignment="1">
      <alignment horizontal="center" vertical="center" wrapText="1"/>
    </xf>
    <xf numFmtId="0" fontId="13" fillId="0" borderId="5" xfId="1" applyFont="1" applyBorder="1"/>
  </cellXfs>
  <cellStyles count="14">
    <cellStyle name="Excel Built-in Normal" xfId="6" xr:uid="{00000000-0005-0000-0000-000000000000}"/>
    <cellStyle name="Звичайний 2" xfId="9" xr:uid="{00000000-0005-0000-0000-000001000000}"/>
    <cellStyle name="Звичайний 2 2" xfId="12" xr:uid="{00000000-0005-0000-0000-000002000000}"/>
    <cellStyle name="Обычный" xfId="0" builtinId="0"/>
    <cellStyle name="Обычный 12" xfId="5" xr:uid="{00000000-0005-0000-0000-000004000000}"/>
    <cellStyle name="Обычный 2" xfId="1" xr:uid="{00000000-0005-0000-0000-000005000000}"/>
    <cellStyle name="Обычный 2 2" xfId="13" xr:uid="{6B3A103E-EC1C-4F34-99AC-5AC53CFB87C9}"/>
    <cellStyle name="Обычный 2 2 2" xfId="8" xr:uid="{00000000-0005-0000-0000-000006000000}"/>
    <cellStyle name="Обычный 3" xfId="2" xr:uid="{00000000-0005-0000-0000-000007000000}"/>
    <cellStyle name="Обычный 3 2" xfId="7" xr:uid="{00000000-0005-0000-0000-000008000000}"/>
    <cellStyle name="Обычный 4" xfId="3" xr:uid="{00000000-0005-0000-0000-000009000000}"/>
    <cellStyle name="Обычный 5" xfId="4" xr:uid="{00000000-0005-0000-0000-00000A000000}"/>
    <cellStyle name="Обычный 6" xfId="11" xr:uid="{00000000-0005-0000-0000-00000B000000}"/>
    <cellStyle name="Финансовый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C96D-709D-42E7-BEBA-08119F4080F2}">
  <dimension ref="A1:J134"/>
  <sheetViews>
    <sheetView tabSelected="1" workbookViewId="0">
      <selection activeCell="C126" sqref="C126"/>
    </sheetView>
  </sheetViews>
  <sheetFormatPr defaultRowHeight="14.4" x14ac:dyDescent="0.3"/>
  <cols>
    <col min="1" max="1" width="6" customWidth="1"/>
    <col min="2" max="2" width="46.33203125" customWidth="1"/>
    <col min="3" max="3" width="6.6640625" customWidth="1"/>
    <col min="4" max="4" width="9.6640625" customWidth="1"/>
    <col min="5" max="5" width="12.33203125" customWidth="1"/>
    <col min="6" max="6" width="14.5546875" customWidth="1"/>
    <col min="7" max="7" width="15.6640625" customWidth="1"/>
    <col min="8" max="8" width="17.44140625" bestFit="1" customWidth="1"/>
    <col min="9" max="9" width="0" hidden="1" customWidth="1"/>
    <col min="10" max="11" width="9.88671875" bestFit="1" customWidth="1"/>
  </cols>
  <sheetData>
    <row r="1" spans="1:10" x14ac:dyDescent="0.3">
      <c r="A1" s="14"/>
      <c r="B1" s="49"/>
      <c r="C1" s="15"/>
      <c r="D1" s="182" t="s">
        <v>25</v>
      </c>
      <c r="E1" s="183"/>
      <c r="F1" s="183"/>
    </row>
    <row r="2" spans="1:10" x14ac:dyDescent="0.3">
      <c r="A2" s="184" t="s">
        <v>103</v>
      </c>
      <c r="B2" s="184"/>
      <c r="C2" s="49"/>
      <c r="D2" s="49"/>
      <c r="E2" s="49"/>
      <c r="F2" s="49"/>
    </row>
    <row r="3" spans="1:10" x14ac:dyDescent="0.3">
      <c r="A3" s="185" t="s">
        <v>188</v>
      </c>
      <c r="B3" s="185"/>
      <c r="C3" s="49"/>
      <c r="D3" s="49"/>
      <c r="E3" s="49"/>
      <c r="F3" s="49"/>
    </row>
    <row r="4" spans="1:10" ht="19.2" customHeight="1" thickBot="1" x14ac:dyDescent="0.35">
      <c r="A4" s="186" t="s">
        <v>186</v>
      </c>
      <c r="B4" s="187"/>
      <c r="C4" s="187"/>
      <c r="D4" s="187"/>
      <c r="E4" s="187"/>
      <c r="F4" s="187"/>
    </row>
    <row r="5" spans="1:10" ht="28.8" customHeight="1" x14ac:dyDescent="0.3">
      <c r="A5" s="188" t="s">
        <v>0</v>
      </c>
      <c r="B5" s="190" t="s">
        <v>1</v>
      </c>
      <c r="C5" s="192" t="s">
        <v>2</v>
      </c>
      <c r="D5" s="192" t="s">
        <v>3</v>
      </c>
      <c r="E5" s="193" t="s">
        <v>4</v>
      </c>
      <c r="F5" s="194"/>
      <c r="H5" s="10"/>
    </row>
    <row r="6" spans="1:10" ht="30" customHeight="1" thickBot="1" x14ac:dyDescent="0.35">
      <c r="A6" s="189"/>
      <c r="B6" s="191"/>
      <c r="C6" s="191"/>
      <c r="D6" s="191"/>
      <c r="E6" s="16" t="s">
        <v>5</v>
      </c>
      <c r="F6" s="17" t="s">
        <v>6</v>
      </c>
      <c r="G6" s="13"/>
      <c r="I6" s="5"/>
      <c r="J6" s="6"/>
    </row>
    <row r="7" spans="1:10" x14ac:dyDescent="0.3">
      <c r="A7" s="43">
        <v>1</v>
      </c>
      <c r="B7" s="44">
        <v>2</v>
      </c>
      <c r="C7" s="45">
        <v>3</v>
      </c>
      <c r="D7" s="46">
        <v>4</v>
      </c>
      <c r="E7" s="47">
        <v>5</v>
      </c>
      <c r="F7" s="48">
        <v>6</v>
      </c>
    </row>
    <row r="8" spans="1:10" x14ac:dyDescent="0.3">
      <c r="A8" s="82"/>
      <c r="B8" s="81" t="s">
        <v>30</v>
      </c>
      <c r="C8" s="83"/>
      <c r="D8" s="84"/>
      <c r="E8" s="85"/>
      <c r="F8" s="86"/>
    </row>
    <row r="9" spans="1:10" x14ac:dyDescent="0.3">
      <c r="A9" s="128">
        <v>1</v>
      </c>
      <c r="B9" s="70" t="s">
        <v>115</v>
      </c>
      <c r="C9" s="69" t="s">
        <v>34</v>
      </c>
      <c r="D9" s="71">
        <v>0.69220000000000004</v>
      </c>
      <c r="E9" s="97"/>
      <c r="F9" s="129"/>
      <c r="G9" s="135"/>
    </row>
    <row r="10" spans="1:10" x14ac:dyDescent="0.3">
      <c r="A10" s="128">
        <v>2</v>
      </c>
      <c r="B10" s="70" t="s">
        <v>113</v>
      </c>
      <c r="C10" s="69" t="s">
        <v>34</v>
      </c>
      <c r="D10" s="71">
        <v>0.89770000000000005</v>
      </c>
      <c r="E10" s="97"/>
      <c r="F10" s="129"/>
      <c r="G10" s="135"/>
      <c r="H10" s="62"/>
    </row>
    <row r="11" spans="1:10" x14ac:dyDescent="0.3">
      <c r="A11" s="128">
        <v>3</v>
      </c>
      <c r="B11" s="70" t="s">
        <v>114</v>
      </c>
      <c r="C11" s="69" t="s">
        <v>35</v>
      </c>
      <c r="D11" s="72">
        <v>2.98</v>
      </c>
      <c r="E11" s="97"/>
      <c r="F11" s="129"/>
      <c r="G11" s="135"/>
      <c r="H11" s="63"/>
    </row>
    <row r="12" spans="1:10" ht="15.6" customHeight="1" x14ac:dyDescent="0.3">
      <c r="A12" s="128">
        <v>4</v>
      </c>
      <c r="B12" s="70" t="s">
        <v>36</v>
      </c>
      <c r="C12" s="69" t="s">
        <v>8</v>
      </c>
      <c r="D12" s="72">
        <v>278.22000000000003</v>
      </c>
      <c r="E12" s="97"/>
      <c r="F12" s="129"/>
      <c r="G12" s="135"/>
      <c r="H12" s="64"/>
    </row>
    <row r="13" spans="1:10" x14ac:dyDescent="0.3">
      <c r="A13" s="128">
        <v>6</v>
      </c>
      <c r="B13" s="70" t="s">
        <v>37</v>
      </c>
      <c r="C13" s="69" t="s">
        <v>38</v>
      </c>
      <c r="D13" s="165">
        <v>23.423999999999999</v>
      </c>
      <c r="E13" s="97"/>
      <c r="F13" s="129"/>
      <c r="G13" s="135"/>
      <c r="H13" s="64"/>
    </row>
    <row r="14" spans="1:10" x14ac:dyDescent="0.3">
      <c r="A14" s="128">
        <v>7</v>
      </c>
      <c r="B14" s="70" t="s">
        <v>39</v>
      </c>
      <c r="C14" s="69" t="s">
        <v>21</v>
      </c>
      <c r="D14" s="165">
        <v>23.423999999999999</v>
      </c>
      <c r="E14" s="97"/>
      <c r="F14" s="129"/>
      <c r="G14" s="135"/>
      <c r="H14" s="64"/>
    </row>
    <row r="15" spans="1:10" x14ac:dyDescent="0.3">
      <c r="A15" s="88">
        <v>8</v>
      </c>
      <c r="B15" s="89" t="s">
        <v>40</v>
      </c>
      <c r="C15" s="90" t="s">
        <v>8</v>
      </c>
      <c r="D15" s="91">
        <v>278.22000000000003</v>
      </c>
      <c r="E15" s="102"/>
      <c r="F15" s="103"/>
      <c r="G15" s="135"/>
      <c r="H15" s="60"/>
    </row>
    <row r="16" spans="1:10" x14ac:dyDescent="0.3">
      <c r="A16" s="66" t="s">
        <v>41</v>
      </c>
      <c r="B16" s="21" t="s">
        <v>31</v>
      </c>
      <c r="C16" s="73" t="s">
        <v>11</v>
      </c>
      <c r="D16" s="74">
        <f>2*D15</f>
        <v>556.44000000000005</v>
      </c>
      <c r="E16" s="104"/>
      <c r="F16" s="105"/>
      <c r="G16" s="135"/>
      <c r="H16" s="61"/>
    </row>
    <row r="17" spans="1:8" x14ac:dyDescent="0.3">
      <c r="A17" s="128">
        <v>9</v>
      </c>
      <c r="B17" s="70" t="s">
        <v>42</v>
      </c>
      <c r="C17" s="69" t="s">
        <v>8</v>
      </c>
      <c r="D17" s="72">
        <v>278.22000000000003</v>
      </c>
      <c r="E17" s="97"/>
      <c r="F17" s="129"/>
      <c r="G17" s="135"/>
      <c r="H17" s="62"/>
    </row>
    <row r="18" spans="1:8" x14ac:dyDescent="0.3">
      <c r="A18" s="66" t="s">
        <v>23</v>
      </c>
      <c r="B18" s="76" t="s">
        <v>43</v>
      </c>
      <c r="C18" s="77" t="s">
        <v>11</v>
      </c>
      <c r="D18" s="78">
        <f>0.2*D17</f>
        <v>55.644000000000005</v>
      </c>
      <c r="E18" s="108"/>
      <c r="F18" s="130"/>
      <c r="G18" s="135"/>
      <c r="H18" s="63"/>
    </row>
    <row r="19" spans="1:8" ht="15.6" customHeight="1" x14ac:dyDescent="0.3">
      <c r="A19" s="92">
        <v>10</v>
      </c>
      <c r="B19" s="93" t="s">
        <v>32</v>
      </c>
      <c r="C19" s="94" t="s">
        <v>8</v>
      </c>
      <c r="D19" s="95">
        <v>278.22000000000003</v>
      </c>
      <c r="E19" s="109"/>
      <c r="F19" s="110"/>
      <c r="G19" s="135"/>
      <c r="H19" s="64"/>
    </row>
    <row r="20" spans="1:8" x14ac:dyDescent="0.3">
      <c r="A20" s="92">
        <v>11</v>
      </c>
      <c r="B20" s="93" t="s">
        <v>19</v>
      </c>
      <c r="C20" s="94" t="s">
        <v>20</v>
      </c>
      <c r="D20" s="96">
        <f>D19*0.102/100</f>
        <v>0.28378439999999999</v>
      </c>
      <c r="E20" s="111"/>
      <c r="F20" s="110"/>
      <c r="G20" s="135"/>
      <c r="H20" s="64"/>
    </row>
    <row r="21" spans="1:8" x14ac:dyDescent="0.3">
      <c r="A21" s="37" t="s">
        <v>46</v>
      </c>
      <c r="B21" s="52" t="s">
        <v>44</v>
      </c>
      <c r="C21" s="53" t="s">
        <v>21</v>
      </c>
      <c r="D21" s="54">
        <f>41.6*D20*0.9</f>
        <v>10.624887936</v>
      </c>
      <c r="E21" s="112"/>
      <c r="F21" s="99"/>
      <c r="G21" s="135"/>
      <c r="H21" s="64"/>
    </row>
    <row r="22" spans="1:8" x14ac:dyDescent="0.3">
      <c r="A22" s="37" t="s">
        <v>47</v>
      </c>
      <c r="B22" s="52" t="s">
        <v>22</v>
      </c>
      <c r="C22" s="53" t="s">
        <v>7</v>
      </c>
      <c r="D22" s="54">
        <f>116*D20</f>
        <v>32.918990399999998</v>
      </c>
      <c r="E22" s="112"/>
      <c r="F22" s="99"/>
      <c r="G22" s="135"/>
      <c r="H22" s="64"/>
    </row>
    <row r="23" spans="1:8" x14ac:dyDescent="0.3">
      <c r="A23" s="37" t="s">
        <v>48</v>
      </c>
      <c r="B23" s="21" t="s">
        <v>26</v>
      </c>
      <c r="C23" s="38" t="s">
        <v>10</v>
      </c>
      <c r="D23" s="39">
        <f>0.856*D19</f>
        <v>238.15632000000002</v>
      </c>
      <c r="E23" s="113"/>
      <c r="F23" s="100"/>
      <c r="G23" s="135"/>
      <c r="H23" s="61"/>
    </row>
    <row r="24" spans="1:8" x14ac:dyDescent="0.3">
      <c r="A24" s="37" t="s">
        <v>49</v>
      </c>
      <c r="B24" s="18" t="s">
        <v>33</v>
      </c>
      <c r="C24" s="19" t="s">
        <v>8</v>
      </c>
      <c r="D24" s="65">
        <f>1.1*D19</f>
        <v>306.04200000000003</v>
      </c>
      <c r="E24" s="113"/>
      <c r="F24" s="98"/>
      <c r="G24" s="135"/>
      <c r="H24" s="62"/>
    </row>
    <row r="25" spans="1:8" ht="26.4" x14ac:dyDescent="0.3">
      <c r="A25" s="37" t="s">
        <v>50</v>
      </c>
      <c r="B25" s="18" t="s">
        <v>27</v>
      </c>
      <c r="C25" s="19" t="s">
        <v>24</v>
      </c>
      <c r="D25" s="20">
        <f>0.17*D21*1000/25</f>
        <v>72.249237964800002</v>
      </c>
      <c r="E25" s="113"/>
      <c r="F25" s="100"/>
      <c r="G25" s="135"/>
      <c r="H25" s="60"/>
    </row>
    <row r="26" spans="1:8" x14ac:dyDescent="0.3">
      <c r="A26" s="37" t="s">
        <v>51</v>
      </c>
      <c r="B26" s="18" t="s">
        <v>28</v>
      </c>
      <c r="C26" s="19" t="s">
        <v>12</v>
      </c>
      <c r="D26" s="20">
        <f>D20*100</f>
        <v>28.378439999999998</v>
      </c>
      <c r="E26" s="104"/>
      <c r="F26" s="98"/>
      <c r="G26" s="135"/>
      <c r="H26" s="61"/>
    </row>
    <row r="27" spans="1:8" ht="26.4" x14ac:dyDescent="0.3">
      <c r="A27" s="128">
        <v>12</v>
      </c>
      <c r="B27" s="70" t="s">
        <v>116</v>
      </c>
      <c r="C27" s="69" t="s">
        <v>29</v>
      </c>
      <c r="D27" s="72">
        <v>138.22</v>
      </c>
      <c r="E27" s="97"/>
      <c r="F27" s="129"/>
      <c r="G27" s="135"/>
      <c r="H27" s="60"/>
    </row>
    <row r="28" spans="1:8" x14ac:dyDescent="0.3">
      <c r="A28" s="37" t="s">
        <v>52</v>
      </c>
      <c r="B28" s="76" t="s">
        <v>45</v>
      </c>
      <c r="C28" s="77" t="s">
        <v>29</v>
      </c>
      <c r="D28" s="79">
        <f>1.05*D27</f>
        <v>145.131</v>
      </c>
      <c r="E28" s="108"/>
      <c r="F28" s="130"/>
      <c r="G28" s="135"/>
      <c r="H28" s="60"/>
    </row>
    <row r="29" spans="1:8" x14ac:dyDescent="0.3">
      <c r="A29" s="82"/>
      <c r="B29" s="81" t="s">
        <v>88</v>
      </c>
      <c r="C29" s="83"/>
      <c r="D29" s="84"/>
      <c r="E29" s="85"/>
      <c r="F29" s="86"/>
      <c r="G29" s="135"/>
      <c r="H29" s="61"/>
    </row>
    <row r="30" spans="1:8" x14ac:dyDescent="0.3">
      <c r="A30" s="128">
        <v>13</v>
      </c>
      <c r="B30" s="70" t="s">
        <v>132</v>
      </c>
      <c r="C30" s="69" t="s">
        <v>8</v>
      </c>
      <c r="D30" s="72">
        <v>24</v>
      </c>
      <c r="E30" s="97"/>
      <c r="F30" s="129"/>
      <c r="G30" s="135"/>
      <c r="H30" s="60"/>
    </row>
    <row r="31" spans="1:8" x14ac:dyDescent="0.3">
      <c r="A31" s="66" t="s">
        <v>64</v>
      </c>
      <c r="B31" s="21" t="s">
        <v>89</v>
      </c>
      <c r="C31" s="73" t="s">
        <v>7</v>
      </c>
      <c r="D31" s="74">
        <v>0.31</v>
      </c>
      <c r="E31" s="104"/>
      <c r="F31" s="105"/>
      <c r="G31" s="135"/>
    </row>
    <row r="32" spans="1:8" x14ac:dyDescent="0.3">
      <c r="A32" s="88">
        <v>14</v>
      </c>
      <c r="B32" s="89" t="s">
        <v>90</v>
      </c>
      <c r="C32" s="90" t="s">
        <v>8</v>
      </c>
      <c r="D32" s="148">
        <v>24</v>
      </c>
      <c r="E32" s="102"/>
      <c r="F32" s="103"/>
      <c r="G32" s="135"/>
    </row>
    <row r="33" spans="1:7" ht="26.4" x14ac:dyDescent="0.3">
      <c r="A33" s="66" t="s">
        <v>71</v>
      </c>
      <c r="B33" s="21" t="s">
        <v>91</v>
      </c>
      <c r="C33" s="73" t="s">
        <v>8</v>
      </c>
      <c r="D33" s="74">
        <f>D32*1.05</f>
        <v>25.200000000000003</v>
      </c>
      <c r="E33" s="104"/>
      <c r="F33" s="105"/>
      <c r="G33" s="135"/>
    </row>
    <row r="34" spans="1:7" x14ac:dyDescent="0.3">
      <c r="A34" s="66" t="s">
        <v>72</v>
      </c>
      <c r="B34" s="21" t="s">
        <v>92</v>
      </c>
      <c r="C34" s="67" t="s">
        <v>11</v>
      </c>
      <c r="D34" s="68">
        <v>6.29</v>
      </c>
      <c r="E34" s="106"/>
      <c r="F34" s="107"/>
      <c r="G34" s="135"/>
    </row>
    <row r="35" spans="1:7" ht="26.4" x14ac:dyDescent="0.3">
      <c r="A35" s="88">
        <v>15</v>
      </c>
      <c r="B35" s="89" t="s">
        <v>131</v>
      </c>
      <c r="C35" s="90" t="s">
        <v>8</v>
      </c>
      <c r="D35" s="91">
        <f>24+3.76+16.17+11.39</f>
        <v>55.32</v>
      </c>
      <c r="E35" s="102"/>
      <c r="F35" s="103"/>
      <c r="G35" s="135"/>
    </row>
    <row r="36" spans="1:7" ht="26.4" x14ac:dyDescent="0.3">
      <c r="A36" s="66" t="s">
        <v>74</v>
      </c>
      <c r="B36" s="21" t="s">
        <v>93</v>
      </c>
      <c r="C36" s="73" t="s">
        <v>11</v>
      </c>
      <c r="D36" s="74">
        <f>20.63</f>
        <v>20.63</v>
      </c>
      <c r="E36" s="104"/>
      <c r="F36" s="105"/>
      <c r="G36" s="135"/>
    </row>
    <row r="37" spans="1:7" ht="26.4" x14ac:dyDescent="0.3">
      <c r="A37" s="88">
        <v>16</v>
      </c>
      <c r="B37" s="89" t="s">
        <v>185</v>
      </c>
      <c r="C37" s="90" t="s">
        <v>8</v>
      </c>
      <c r="D37" s="91">
        <v>7.36</v>
      </c>
      <c r="E37" s="102"/>
      <c r="F37" s="103"/>
      <c r="G37" s="135"/>
    </row>
    <row r="38" spans="1:7" x14ac:dyDescent="0.3">
      <c r="A38" s="66" t="s">
        <v>77</v>
      </c>
      <c r="B38" s="76" t="s">
        <v>123</v>
      </c>
      <c r="C38" s="77" t="s">
        <v>24</v>
      </c>
      <c r="D38" s="79">
        <f>0.2*D34</f>
        <v>1.258</v>
      </c>
      <c r="E38" s="108"/>
      <c r="F38" s="130"/>
      <c r="G38" s="135"/>
    </row>
    <row r="39" spans="1:7" x14ac:dyDescent="0.3">
      <c r="A39" s="66" t="s">
        <v>78</v>
      </c>
      <c r="B39" s="76" t="s">
        <v>133</v>
      </c>
      <c r="C39" s="77" t="s">
        <v>11</v>
      </c>
      <c r="D39" s="79">
        <f>6.5*D35</f>
        <v>359.58</v>
      </c>
      <c r="E39" s="108"/>
      <c r="F39" s="130"/>
      <c r="G39" s="135"/>
    </row>
    <row r="40" spans="1:7" x14ac:dyDescent="0.3">
      <c r="A40" s="66" t="s">
        <v>79</v>
      </c>
      <c r="B40" s="76" t="s">
        <v>134</v>
      </c>
      <c r="C40" s="77" t="s">
        <v>11</v>
      </c>
      <c r="D40" s="79">
        <f>0.406*D37</f>
        <v>2.9881600000000001</v>
      </c>
      <c r="E40" s="108"/>
      <c r="F40" s="130"/>
      <c r="G40" s="135"/>
    </row>
    <row r="41" spans="1:7" x14ac:dyDescent="0.3">
      <c r="A41" s="66" t="s">
        <v>80</v>
      </c>
      <c r="B41" s="76" t="s">
        <v>135</v>
      </c>
      <c r="C41" s="77" t="s">
        <v>8</v>
      </c>
      <c r="D41" s="79">
        <f>1.12*D36</f>
        <v>23.105600000000003</v>
      </c>
      <c r="E41" s="108"/>
      <c r="F41" s="130"/>
      <c r="G41" s="135"/>
    </row>
    <row r="42" spans="1:7" x14ac:dyDescent="0.3">
      <c r="A42" s="66" t="s">
        <v>81</v>
      </c>
      <c r="B42" s="76" t="s">
        <v>136</v>
      </c>
      <c r="C42" s="77" t="s">
        <v>12</v>
      </c>
      <c r="D42" s="79">
        <f>4.24*D37</f>
        <v>31.206400000000002</v>
      </c>
      <c r="E42" s="108"/>
      <c r="F42" s="130"/>
      <c r="G42" s="135"/>
    </row>
    <row r="43" spans="1:7" x14ac:dyDescent="0.3">
      <c r="A43" s="82"/>
      <c r="B43" s="81" t="s">
        <v>53</v>
      </c>
      <c r="C43" s="83"/>
      <c r="D43" s="84"/>
      <c r="E43" s="85"/>
      <c r="F43" s="86"/>
      <c r="G43" s="135"/>
    </row>
    <row r="44" spans="1:7" ht="39.6" x14ac:dyDescent="0.3">
      <c r="A44" s="128">
        <v>17</v>
      </c>
      <c r="B44" s="70" t="s">
        <v>84</v>
      </c>
      <c r="C44" s="69" t="s">
        <v>8</v>
      </c>
      <c r="D44" s="72">
        <v>374.83</v>
      </c>
      <c r="E44" s="72"/>
      <c r="F44" s="129"/>
      <c r="G44" s="135"/>
    </row>
    <row r="45" spans="1:7" x14ac:dyDescent="0.3">
      <c r="A45" s="131" t="s">
        <v>94</v>
      </c>
      <c r="B45" s="76" t="s">
        <v>54</v>
      </c>
      <c r="C45" s="77" t="s">
        <v>12</v>
      </c>
      <c r="D45" s="87">
        <v>262</v>
      </c>
      <c r="E45" s="79"/>
      <c r="F45" s="130"/>
      <c r="G45" s="135"/>
    </row>
    <row r="46" spans="1:7" x14ac:dyDescent="0.3">
      <c r="A46" s="131" t="s">
        <v>95</v>
      </c>
      <c r="B46" s="76" t="s">
        <v>55</v>
      </c>
      <c r="C46" s="77" t="s">
        <v>12</v>
      </c>
      <c r="D46" s="87">
        <v>5847</v>
      </c>
      <c r="E46" s="79"/>
      <c r="F46" s="130"/>
      <c r="G46" s="135"/>
    </row>
    <row r="47" spans="1:7" x14ac:dyDescent="0.3">
      <c r="A47" s="131" t="s">
        <v>96</v>
      </c>
      <c r="B47" s="76" t="s">
        <v>56</v>
      </c>
      <c r="C47" s="77" t="s">
        <v>12</v>
      </c>
      <c r="D47" s="87">
        <v>262</v>
      </c>
      <c r="E47" s="79"/>
      <c r="F47" s="130"/>
      <c r="G47" s="135"/>
    </row>
    <row r="48" spans="1:7" x14ac:dyDescent="0.3">
      <c r="A48" s="131" t="s">
        <v>97</v>
      </c>
      <c r="B48" s="76" t="s">
        <v>57</v>
      </c>
      <c r="C48" s="77" t="s">
        <v>12</v>
      </c>
      <c r="D48" s="87">
        <v>637</v>
      </c>
      <c r="E48" s="79"/>
      <c r="F48" s="130"/>
      <c r="G48" s="135"/>
    </row>
    <row r="49" spans="1:7" x14ac:dyDescent="0.3">
      <c r="A49" s="131" t="s">
        <v>98</v>
      </c>
      <c r="B49" s="76" t="s">
        <v>65</v>
      </c>
      <c r="C49" s="77" t="s">
        <v>12</v>
      </c>
      <c r="D49" s="87">
        <v>112</v>
      </c>
      <c r="E49" s="79"/>
      <c r="F49" s="130"/>
      <c r="G49" s="135"/>
    </row>
    <row r="50" spans="1:7" x14ac:dyDescent="0.3">
      <c r="A50" s="131" t="s">
        <v>99</v>
      </c>
      <c r="B50" s="76" t="s">
        <v>58</v>
      </c>
      <c r="C50" s="77" t="s">
        <v>12</v>
      </c>
      <c r="D50" s="87">
        <v>262</v>
      </c>
      <c r="E50" s="79"/>
      <c r="F50" s="130"/>
      <c r="G50" s="135"/>
    </row>
    <row r="51" spans="1:7" x14ac:dyDescent="0.3">
      <c r="A51" s="131" t="s">
        <v>100</v>
      </c>
      <c r="B51" s="76" t="s">
        <v>59</v>
      </c>
      <c r="C51" s="77" t="s">
        <v>29</v>
      </c>
      <c r="D51" s="79">
        <v>337.34249999999997</v>
      </c>
      <c r="E51" s="79"/>
      <c r="F51" s="130"/>
      <c r="G51" s="135"/>
    </row>
    <row r="52" spans="1:7" x14ac:dyDescent="0.3">
      <c r="A52" s="131" t="s">
        <v>125</v>
      </c>
      <c r="B52" s="76" t="s">
        <v>60</v>
      </c>
      <c r="C52" s="77" t="s">
        <v>29</v>
      </c>
      <c r="D52" s="79">
        <v>955.80375000000004</v>
      </c>
      <c r="E52" s="79"/>
      <c r="F52" s="130"/>
      <c r="G52" s="139"/>
    </row>
    <row r="53" spans="1:7" ht="26.4" x14ac:dyDescent="0.3">
      <c r="A53" s="131" t="s">
        <v>126</v>
      </c>
      <c r="B53" s="76" t="s">
        <v>73</v>
      </c>
      <c r="C53" s="77" t="s">
        <v>8</v>
      </c>
      <c r="D53" s="79">
        <f>1.05*D44</f>
        <v>393.57150000000001</v>
      </c>
      <c r="E53" s="108"/>
      <c r="F53" s="130"/>
      <c r="G53" s="135"/>
    </row>
    <row r="54" spans="1:7" x14ac:dyDescent="0.3">
      <c r="A54" s="131" t="s">
        <v>127</v>
      </c>
      <c r="B54" s="76" t="s">
        <v>61</v>
      </c>
      <c r="C54" s="77" t="s">
        <v>12</v>
      </c>
      <c r="D54" s="87">
        <v>629.70600000000002</v>
      </c>
      <c r="E54" s="79"/>
      <c r="F54" s="130"/>
      <c r="G54" s="135"/>
    </row>
    <row r="55" spans="1:7" x14ac:dyDescent="0.3">
      <c r="A55" s="131" t="s">
        <v>137</v>
      </c>
      <c r="B55" s="76" t="s">
        <v>62</v>
      </c>
      <c r="C55" s="77" t="s">
        <v>8</v>
      </c>
      <c r="D55" s="79">
        <f>1.1*D44</f>
        <v>412.31299999999999</v>
      </c>
      <c r="E55" s="79"/>
      <c r="F55" s="130"/>
      <c r="G55" s="135"/>
    </row>
    <row r="56" spans="1:7" x14ac:dyDescent="0.3">
      <c r="A56" s="131" t="s">
        <v>138</v>
      </c>
      <c r="B56" s="76" t="s">
        <v>63</v>
      </c>
      <c r="C56" s="77" t="s">
        <v>12</v>
      </c>
      <c r="D56" s="87">
        <f>8*D44</f>
        <v>2998.64</v>
      </c>
      <c r="E56" s="79"/>
      <c r="F56" s="130"/>
      <c r="G56" s="135"/>
    </row>
    <row r="57" spans="1:7" x14ac:dyDescent="0.3">
      <c r="A57" s="40"/>
      <c r="B57" s="36" t="s">
        <v>66</v>
      </c>
      <c r="C57" s="41"/>
      <c r="D57" s="42"/>
      <c r="E57" s="171"/>
      <c r="F57" s="101"/>
      <c r="G57" s="135"/>
    </row>
    <row r="58" spans="1:7" x14ac:dyDescent="0.3">
      <c r="A58" s="128">
        <v>18</v>
      </c>
      <c r="B58" s="70" t="s">
        <v>149</v>
      </c>
      <c r="C58" s="69" t="s">
        <v>7</v>
      </c>
      <c r="D58" s="72">
        <v>0.3</v>
      </c>
      <c r="E58" s="97"/>
      <c r="F58" s="129"/>
      <c r="G58" s="135"/>
    </row>
    <row r="59" spans="1:7" ht="39.6" x14ac:dyDescent="0.3">
      <c r="A59" s="128">
        <v>19</v>
      </c>
      <c r="B59" s="70" t="s">
        <v>184</v>
      </c>
      <c r="C59" s="69" t="s">
        <v>8</v>
      </c>
      <c r="D59" s="72">
        <f>46.3+17</f>
        <v>63.3</v>
      </c>
      <c r="E59" s="97"/>
      <c r="F59" s="129"/>
      <c r="G59" s="135"/>
    </row>
    <row r="60" spans="1:7" x14ac:dyDescent="0.3">
      <c r="A60" s="131" t="s">
        <v>101</v>
      </c>
      <c r="B60" s="76" t="s">
        <v>67</v>
      </c>
      <c r="C60" s="77" t="s">
        <v>12</v>
      </c>
      <c r="D60" s="87">
        <f>5*D59</f>
        <v>316.5</v>
      </c>
      <c r="E60" s="108"/>
      <c r="F60" s="130"/>
      <c r="G60" s="135"/>
    </row>
    <row r="61" spans="1:7" x14ac:dyDescent="0.3">
      <c r="A61" s="131" t="s">
        <v>141</v>
      </c>
      <c r="B61" s="76" t="s">
        <v>68</v>
      </c>
      <c r="C61" s="77" t="s">
        <v>12</v>
      </c>
      <c r="D61" s="87">
        <f>62.4*D59</f>
        <v>3949.9199999999996</v>
      </c>
      <c r="E61" s="108"/>
      <c r="F61" s="130"/>
      <c r="G61" s="135"/>
    </row>
    <row r="62" spans="1:7" x14ac:dyDescent="0.3">
      <c r="A62" s="131" t="s">
        <v>150</v>
      </c>
      <c r="B62" s="76" t="s">
        <v>69</v>
      </c>
      <c r="C62" s="77" t="s">
        <v>29</v>
      </c>
      <c r="D62" s="79">
        <f>1.66*D59</f>
        <v>105.07799999999999</v>
      </c>
      <c r="E62" s="108"/>
      <c r="F62" s="130"/>
      <c r="G62" s="139"/>
    </row>
    <row r="63" spans="1:7" x14ac:dyDescent="0.3">
      <c r="A63" s="131" t="s">
        <v>151</v>
      </c>
      <c r="B63" s="76" t="s">
        <v>70</v>
      </c>
      <c r="C63" s="77" t="s">
        <v>29</v>
      </c>
      <c r="D63" s="79">
        <f>4.82*D59</f>
        <v>305.10599999999999</v>
      </c>
      <c r="E63" s="108"/>
      <c r="F63" s="130"/>
      <c r="G63" s="135"/>
    </row>
    <row r="64" spans="1:7" ht="26.4" x14ac:dyDescent="0.3">
      <c r="A64" s="131" t="s">
        <v>152</v>
      </c>
      <c r="B64" s="76" t="s">
        <v>73</v>
      </c>
      <c r="C64" s="77" t="s">
        <v>8</v>
      </c>
      <c r="D64" s="79">
        <f>1.05*D59</f>
        <v>66.465000000000003</v>
      </c>
      <c r="E64" s="108"/>
      <c r="F64" s="130"/>
      <c r="G64" s="135"/>
    </row>
    <row r="65" spans="1:8" ht="26.4" x14ac:dyDescent="0.3">
      <c r="A65" s="131" t="s">
        <v>153</v>
      </c>
      <c r="B65" s="76" t="s">
        <v>121</v>
      </c>
      <c r="C65" s="77" t="s">
        <v>8</v>
      </c>
      <c r="D65" s="79">
        <f>4.2*D59</f>
        <v>265.86</v>
      </c>
      <c r="E65" s="108"/>
      <c r="F65" s="130"/>
      <c r="G65" s="135"/>
    </row>
    <row r="66" spans="1:8" x14ac:dyDescent="0.3">
      <c r="A66" s="131" t="s">
        <v>154</v>
      </c>
      <c r="B66" s="76" t="s">
        <v>55</v>
      </c>
      <c r="C66" s="77" t="s">
        <v>12</v>
      </c>
      <c r="D66" s="79">
        <f>12.14*D59</f>
        <v>768.46199999999999</v>
      </c>
      <c r="E66" s="79"/>
      <c r="F66" s="130"/>
      <c r="G66" s="135"/>
    </row>
    <row r="67" spans="1:8" x14ac:dyDescent="0.3">
      <c r="A67" s="131" t="s">
        <v>155</v>
      </c>
      <c r="B67" s="76" t="s">
        <v>123</v>
      </c>
      <c r="C67" s="77" t="s">
        <v>24</v>
      </c>
      <c r="D67" s="79">
        <f>3.4/100*D59</f>
        <v>2.1522000000000001</v>
      </c>
      <c r="E67" s="108"/>
      <c r="F67" s="130"/>
      <c r="G67" s="135"/>
    </row>
    <row r="68" spans="1:8" x14ac:dyDescent="0.3">
      <c r="A68" s="131" t="s">
        <v>156</v>
      </c>
      <c r="B68" s="76" t="s">
        <v>124</v>
      </c>
      <c r="C68" s="77" t="s">
        <v>11</v>
      </c>
      <c r="D68" s="79">
        <f>0.12*D59</f>
        <v>7.5959999999999992</v>
      </c>
      <c r="E68" s="79"/>
      <c r="F68" s="130"/>
      <c r="G68" s="135"/>
    </row>
    <row r="69" spans="1:8" ht="18" customHeight="1" x14ac:dyDescent="0.3">
      <c r="A69" s="131" t="s">
        <v>157</v>
      </c>
      <c r="B69" s="76" t="s">
        <v>122</v>
      </c>
      <c r="C69" s="77" t="s">
        <v>29</v>
      </c>
      <c r="D69" s="79">
        <f>3.4*D59</f>
        <v>215.22</v>
      </c>
      <c r="E69" s="79"/>
      <c r="F69" s="130"/>
      <c r="G69" s="135"/>
    </row>
    <row r="70" spans="1:8" ht="26.4" x14ac:dyDescent="0.3">
      <c r="A70" s="160">
        <v>20</v>
      </c>
      <c r="B70" s="161" t="s">
        <v>148</v>
      </c>
      <c r="C70" s="162" t="s">
        <v>8</v>
      </c>
      <c r="D70" s="163">
        <f>5.76+29.85+32.9</f>
        <v>68.509999999999991</v>
      </c>
      <c r="E70" s="163"/>
      <c r="F70" s="164"/>
      <c r="G70" s="135"/>
    </row>
    <row r="71" spans="1:8" x14ac:dyDescent="0.3">
      <c r="A71" s="149" t="s">
        <v>102</v>
      </c>
      <c r="B71" s="150" t="s">
        <v>145</v>
      </c>
      <c r="C71" s="151" t="s">
        <v>24</v>
      </c>
      <c r="D71" s="152">
        <f>0.14*D70/3</f>
        <v>3.1971333333333334</v>
      </c>
      <c r="E71" s="153"/>
      <c r="F71" s="154"/>
      <c r="G71" s="135"/>
    </row>
    <row r="72" spans="1:8" x14ac:dyDescent="0.3">
      <c r="A72" s="149" t="s">
        <v>142</v>
      </c>
      <c r="B72" s="21" t="s">
        <v>146</v>
      </c>
      <c r="C72" s="155" t="s">
        <v>11</v>
      </c>
      <c r="D72" s="39">
        <f>1.4*20*D70</f>
        <v>1918.2799999999997</v>
      </c>
      <c r="E72" s="39"/>
      <c r="F72" s="156"/>
      <c r="G72" s="135"/>
    </row>
    <row r="73" spans="1:8" x14ac:dyDescent="0.3">
      <c r="A73" s="149" t="s">
        <v>158</v>
      </c>
      <c r="B73" s="21" t="s">
        <v>147</v>
      </c>
      <c r="C73" s="157" t="s">
        <v>10</v>
      </c>
      <c r="D73" s="158">
        <f>0.56*D70</f>
        <v>38.365600000000001</v>
      </c>
      <c r="E73" s="39"/>
      <c r="F73" s="159"/>
      <c r="G73" s="135"/>
    </row>
    <row r="74" spans="1:8" ht="26.4" x14ac:dyDescent="0.3">
      <c r="A74" s="128">
        <v>21</v>
      </c>
      <c r="B74" s="70" t="s">
        <v>182</v>
      </c>
      <c r="C74" s="69" t="s">
        <v>8</v>
      </c>
      <c r="D74" s="72">
        <f>D59*2+D70</f>
        <v>195.10999999999999</v>
      </c>
      <c r="E74" s="97"/>
      <c r="F74" s="129"/>
      <c r="G74" s="135"/>
    </row>
    <row r="75" spans="1:8" x14ac:dyDescent="0.3">
      <c r="A75" s="131" t="s">
        <v>108</v>
      </c>
      <c r="B75" s="76" t="s">
        <v>123</v>
      </c>
      <c r="C75" s="77" t="s">
        <v>24</v>
      </c>
      <c r="D75" s="87">
        <f>0.2*D74</f>
        <v>39.021999999999998</v>
      </c>
      <c r="E75" s="108"/>
      <c r="F75" s="130"/>
      <c r="G75" s="135"/>
      <c r="H75" s="135"/>
    </row>
    <row r="76" spans="1:8" x14ac:dyDescent="0.3">
      <c r="A76" s="131" t="s">
        <v>109</v>
      </c>
      <c r="B76" s="76" t="s">
        <v>128</v>
      </c>
      <c r="C76" s="77" t="s">
        <v>11</v>
      </c>
      <c r="D76" s="87">
        <f>2*D74</f>
        <v>390.21999999999997</v>
      </c>
      <c r="E76" s="108"/>
      <c r="F76" s="130"/>
      <c r="G76" s="135"/>
      <c r="H76" s="135"/>
    </row>
    <row r="77" spans="1:8" ht="26.4" x14ac:dyDescent="0.3">
      <c r="A77" s="128">
        <v>22</v>
      </c>
      <c r="B77" s="70" t="s">
        <v>183</v>
      </c>
      <c r="C77" s="69" t="s">
        <v>8</v>
      </c>
      <c r="D77" s="72">
        <f>D74</f>
        <v>195.10999999999999</v>
      </c>
      <c r="E77" s="97"/>
      <c r="F77" s="129"/>
      <c r="G77" s="135"/>
      <c r="H77" s="135"/>
    </row>
    <row r="78" spans="1:8" x14ac:dyDescent="0.3">
      <c r="A78" s="131" t="s">
        <v>143</v>
      </c>
      <c r="B78" s="76" t="s">
        <v>123</v>
      </c>
      <c r="C78" s="77" t="s">
        <v>24</v>
      </c>
      <c r="D78" s="79">
        <f>0.2*D77</f>
        <v>39.021999999999998</v>
      </c>
      <c r="E78" s="108"/>
      <c r="F78" s="130"/>
    </row>
    <row r="79" spans="1:8" x14ac:dyDescent="0.3">
      <c r="A79" s="131" t="s">
        <v>144</v>
      </c>
      <c r="B79" s="76" t="s">
        <v>129</v>
      </c>
      <c r="C79" s="77" t="s">
        <v>11</v>
      </c>
      <c r="D79" s="79">
        <f>0.5*D77</f>
        <v>97.554999999999993</v>
      </c>
      <c r="E79" s="108"/>
      <c r="F79" s="130"/>
      <c r="G79" s="6"/>
    </row>
    <row r="80" spans="1:8" ht="31.2" customHeight="1" x14ac:dyDescent="0.3">
      <c r="A80" s="128">
        <v>23</v>
      </c>
      <c r="B80" s="70" t="s">
        <v>76</v>
      </c>
      <c r="C80" s="69" t="s">
        <v>34</v>
      </c>
      <c r="D80" s="72">
        <v>832.39</v>
      </c>
      <c r="E80" s="97"/>
      <c r="F80" s="129"/>
    </row>
    <row r="81" spans="1:8" x14ac:dyDescent="0.3">
      <c r="A81" s="131" t="s">
        <v>159</v>
      </c>
      <c r="B81" s="76" t="s">
        <v>75</v>
      </c>
      <c r="C81" s="77" t="s">
        <v>12</v>
      </c>
      <c r="D81" s="87">
        <f>16.67*D80</f>
        <v>13875.9413</v>
      </c>
      <c r="E81" s="108"/>
      <c r="F81" s="130"/>
    </row>
    <row r="82" spans="1:8" x14ac:dyDescent="0.3">
      <c r="A82" s="131" t="s">
        <v>160</v>
      </c>
      <c r="B82" s="76" t="s">
        <v>67</v>
      </c>
      <c r="C82" s="77" t="s">
        <v>12</v>
      </c>
      <c r="D82" s="87">
        <f>12*D80</f>
        <v>9988.68</v>
      </c>
      <c r="E82" s="108"/>
      <c r="F82" s="130"/>
    </row>
    <row r="83" spans="1:8" x14ac:dyDescent="0.3">
      <c r="A83" s="131" t="s">
        <v>161</v>
      </c>
      <c r="B83" s="76" t="s">
        <v>59</v>
      </c>
      <c r="C83" s="77" t="s">
        <v>29</v>
      </c>
      <c r="D83" s="79">
        <f>3.33*D80</f>
        <v>2771.8587000000002</v>
      </c>
      <c r="E83" s="108"/>
      <c r="F83" s="130"/>
    </row>
    <row r="84" spans="1:8" x14ac:dyDescent="0.3">
      <c r="A84" s="131" t="s">
        <v>162</v>
      </c>
      <c r="B84" s="76" t="s">
        <v>60</v>
      </c>
      <c r="C84" s="77" t="s">
        <v>29</v>
      </c>
      <c r="D84" s="79">
        <f>4.58*D80</f>
        <v>3812.3462</v>
      </c>
      <c r="E84" s="108"/>
      <c r="F84" s="130"/>
    </row>
    <row r="85" spans="1:8" ht="26.4" x14ac:dyDescent="0.3">
      <c r="A85" s="131" t="s">
        <v>163</v>
      </c>
      <c r="B85" s="76" t="s">
        <v>73</v>
      </c>
      <c r="C85" s="77" t="s">
        <v>8</v>
      </c>
      <c r="D85" s="79">
        <f>1.05*D80</f>
        <v>874.0095</v>
      </c>
      <c r="E85" s="108"/>
      <c r="F85" s="130"/>
    </row>
    <row r="86" spans="1:8" x14ac:dyDescent="0.3">
      <c r="A86" s="131" t="s">
        <v>164</v>
      </c>
      <c r="B86" s="76" t="s">
        <v>62</v>
      </c>
      <c r="C86" s="77" t="s">
        <v>8</v>
      </c>
      <c r="D86" s="79">
        <f>1.1*D80</f>
        <v>915.62900000000002</v>
      </c>
      <c r="E86" s="108"/>
      <c r="F86" s="130"/>
      <c r="H86" s="6"/>
    </row>
    <row r="87" spans="1:8" x14ac:dyDescent="0.3">
      <c r="A87" s="131" t="s">
        <v>165</v>
      </c>
      <c r="B87" s="76" t="s">
        <v>63</v>
      </c>
      <c r="C87" s="77" t="s">
        <v>12</v>
      </c>
      <c r="D87" s="87">
        <f>8*D80</f>
        <v>6659.12</v>
      </c>
      <c r="E87" s="79"/>
      <c r="F87" s="130"/>
    </row>
    <row r="88" spans="1:8" ht="28.8" customHeight="1" x14ac:dyDescent="0.3">
      <c r="A88" s="88">
        <v>24</v>
      </c>
      <c r="B88" s="89" t="s">
        <v>140</v>
      </c>
      <c r="C88" s="90" t="s">
        <v>8</v>
      </c>
      <c r="D88" s="91">
        <v>42.28</v>
      </c>
      <c r="E88" s="102"/>
      <c r="F88" s="103"/>
    </row>
    <row r="89" spans="1:8" x14ac:dyDescent="0.3">
      <c r="A89" s="66" t="s">
        <v>166</v>
      </c>
      <c r="B89" s="76" t="s">
        <v>123</v>
      </c>
      <c r="C89" s="77" t="s">
        <v>24</v>
      </c>
      <c r="D89" s="79">
        <f>0.2*D88</f>
        <v>8.4560000000000013</v>
      </c>
      <c r="E89" s="108"/>
      <c r="F89" s="130"/>
    </row>
    <row r="90" spans="1:8" x14ac:dyDescent="0.3">
      <c r="A90" s="66" t="s">
        <v>167</v>
      </c>
      <c r="B90" s="76" t="s">
        <v>133</v>
      </c>
      <c r="C90" s="77" t="s">
        <v>11</v>
      </c>
      <c r="D90" s="79">
        <f>6.5*D88</f>
        <v>274.82</v>
      </c>
      <c r="E90" s="108"/>
      <c r="F90" s="130"/>
    </row>
    <row r="91" spans="1:8" x14ac:dyDescent="0.3">
      <c r="A91" s="66" t="s">
        <v>168</v>
      </c>
      <c r="B91" s="76" t="s">
        <v>134</v>
      </c>
      <c r="C91" s="77" t="s">
        <v>11</v>
      </c>
      <c r="D91" s="79">
        <f>0.406*D88</f>
        <v>17.165680000000002</v>
      </c>
      <c r="E91" s="108"/>
      <c r="F91" s="130"/>
    </row>
    <row r="92" spans="1:8" x14ac:dyDescent="0.3">
      <c r="A92" s="66" t="s">
        <v>169</v>
      </c>
      <c r="B92" s="76" t="s">
        <v>173</v>
      </c>
      <c r="C92" s="77" t="s">
        <v>8</v>
      </c>
      <c r="D92" s="79">
        <f>1.12*D88</f>
        <v>47.353600000000007</v>
      </c>
      <c r="E92" s="108"/>
      <c r="F92" s="130"/>
    </row>
    <row r="93" spans="1:8" x14ac:dyDescent="0.3">
      <c r="A93" s="66" t="s">
        <v>170</v>
      </c>
      <c r="B93" s="76" t="s">
        <v>136</v>
      </c>
      <c r="C93" s="77" t="s">
        <v>12</v>
      </c>
      <c r="D93" s="79">
        <f>4.24*D88</f>
        <v>179.2672</v>
      </c>
      <c r="E93" s="108"/>
      <c r="F93" s="130"/>
    </row>
    <row r="94" spans="1:8" x14ac:dyDescent="0.3">
      <c r="A94" s="132"/>
      <c r="B94" s="115" t="s">
        <v>82</v>
      </c>
      <c r="C94" s="116"/>
      <c r="D94" s="117"/>
      <c r="E94" s="117"/>
      <c r="F94" s="133"/>
    </row>
    <row r="95" spans="1:8" x14ac:dyDescent="0.3">
      <c r="A95" s="128">
        <v>25</v>
      </c>
      <c r="B95" s="70" t="s">
        <v>174</v>
      </c>
      <c r="C95" s="69" t="s">
        <v>12</v>
      </c>
      <c r="D95" s="114">
        <v>3</v>
      </c>
      <c r="E95" s="72"/>
      <c r="F95" s="129"/>
    </row>
    <row r="96" spans="1:8" x14ac:dyDescent="0.3">
      <c r="A96" s="128">
        <v>26</v>
      </c>
      <c r="B96" s="70" t="s">
        <v>83</v>
      </c>
      <c r="C96" s="69" t="s">
        <v>12</v>
      </c>
      <c r="D96" s="114">
        <v>4</v>
      </c>
      <c r="E96" s="72"/>
      <c r="F96" s="129"/>
    </row>
    <row r="97" spans="1:8" x14ac:dyDescent="0.3">
      <c r="A97" s="131" t="s">
        <v>171</v>
      </c>
      <c r="B97" s="76" t="s">
        <v>85</v>
      </c>
      <c r="C97" s="77" t="s">
        <v>12</v>
      </c>
      <c r="D97" s="75">
        <v>4</v>
      </c>
      <c r="E97" s="79"/>
      <c r="F97" s="147"/>
    </row>
    <row r="98" spans="1:8" x14ac:dyDescent="0.3">
      <c r="A98" s="128">
        <v>27</v>
      </c>
      <c r="B98" s="70" t="s">
        <v>181</v>
      </c>
      <c r="C98" s="69" t="s">
        <v>8</v>
      </c>
      <c r="D98" s="146">
        <v>11</v>
      </c>
      <c r="E98" s="72"/>
      <c r="F98" s="129"/>
    </row>
    <row r="99" spans="1:8" x14ac:dyDescent="0.3">
      <c r="A99" s="131" t="s">
        <v>172</v>
      </c>
      <c r="B99" s="76" t="s">
        <v>139</v>
      </c>
      <c r="C99" s="77" t="s">
        <v>8</v>
      </c>
      <c r="D99" s="75">
        <v>11</v>
      </c>
      <c r="E99" s="172"/>
      <c r="F99" s="147"/>
    </row>
    <row r="100" spans="1:8" x14ac:dyDescent="0.3">
      <c r="A100" s="128">
        <v>28</v>
      </c>
      <c r="B100" s="70" t="s">
        <v>86</v>
      </c>
      <c r="C100" s="69" t="s">
        <v>8</v>
      </c>
      <c r="D100" s="114">
        <f>2.4*2.2</f>
        <v>5.28</v>
      </c>
      <c r="E100" s="72"/>
      <c r="F100" s="129"/>
    </row>
    <row r="101" spans="1:8" x14ac:dyDescent="0.3">
      <c r="A101" s="131" t="s">
        <v>175</v>
      </c>
      <c r="B101" s="76" t="s">
        <v>87</v>
      </c>
      <c r="C101" s="77" t="s">
        <v>8</v>
      </c>
      <c r="D101" s="75">
        <v>5</v>
      </c>
      <c r="E101" s="79"/>
      <c r="F101" s="147"/>
    </row>
    <row r="102" spans="1:8" x14ac:dyDescent="0.3">
      <c r="A102" s="132"/>
      <c r="B102" s="115" t="s">
        <v>112</v>
      </c>
      <c r="C102" s="116"/>
      <c r="D102" s="117"/>
      <c r="E102" s="117"/>
      <c r="F102" s="133"/>
    </row>
    <row r="103" spans="1:8" ht="39.6" x14ac:dyDescent="0.3">
      <c r="A103" s="128">
        <v>29</v>
      </c>
      <c r="B103" s="118" t="s">
        <v>104</v>
      </c>
      <c r="C103" s="119" t="s">
        <v>21</v>
      </c>
      <c r="D103" s="120">
        <f>SUM(D104:D107)/1.04+15.7*4/1000*2</f>
        <v>0.77340000000000009</v>
      </c>
      <c r="E103" s="121"/>
      <c r="F103" s="122"/>
    </row>
    <row r="104" spans="1:8" x14ac:dyDescent="0.3">
      <c r="A104" s="131" t="s">
        <v>176</v>
      </c>
      <c r="B104" s="76" t="s">
        <v>117</v>
      </c>
      <c r="C104" s="77" t="s">
        <v>21</v>
      </c>
      <c r="D104" s="80">
        <f>(14*12.3/1000*1.04)*2</f>
        <v>0.35817600000000005</v>
      </c>
      <c r="E104" s="79"/>
      <c r="F104" s="134"/>
      <c r="G104" s="145"/>
      <c r="H104" s="135"/>
    </row>
    <row r="105" spans="1:8" ht="26.4" x14ac:dyDescent="0.3">
      <c r="A105" s="131" t="s">
        <v>177</v>
      </c>
      <c r="B105" s="76" t="s">
        <v>118</v>
      </c>
      <c r="C105" s="77" t="s">
        <v>21</v>
      </c>
      <c r="D105" s="80">
        <f>(12*5.78*1.04/1000)*2</f>
        <v>0.1442688</v>
      </c>
      <c r="E105" s="79"/>
      <c r="F105" s="134"/>
    </row>
    <row r="106" spans="1:8" x14ac:dyDescent="0.3">
      <c r="A106" s="131" t="s">
        <v>178</v>
      </c>
      <c r="B106" s="76" t="s">
        <v>119</v>
      </c>
      <c r="C106" s="77" t="s">
        <v>21</v>
      </c>
      <c r="D106" s="75">
        <f>(25*2.42*1.04/1000)*2</f>
        <v>0.12584000000000001</v>
      </c>
      <c r="E106" s="79"/>
      <c r="F106" s="134"/>
    </row>
    <row r="107" spans="1:8" ht="26.4" x14ac:dyDescent="0.3">
      <c r="A107" s="131" t="s">
        <v>179</v>
      </c>
      <c r="B107" s="76" t="s">
        <v>120</v>
      </c>
      <c r="C107" s="77" t="s">
        <v>21</v>
      </c>
      <c r="D107" s="80">
        <f>(12*1.82*1.04/1000)*2</f>
        <v>4.5427200000000001E-2</v>
      </c>
      <c r="E107" s="79"/>
      <c r="F107" s="134"/>
    </row>
    <row r="108" spans="1:8" ht="16.8" customHeight="1" x14ac:dyDescent="0.3">
      <c r="A108" s="131" t="s">
        <v>180</v>
      </c>
      <c r="B108" s="76" t="s">
        <v>105</v>
      </c>
      <c r="C108" s="77" t="s">
        <v>8</v>
      </c>
      <c r="D108" s="75">
        <f>4*2</f>
        <v>8</v>
      </c>
      <c r="E108" s="79"/>
      <c r="F108" s="134"/>
    </row>
    <row r="109" spans="1:8" x14ac:dyDescent="0.3">
      <c r="A109" s="167">
        <v>30</v>
      </c>
      <c r="B109" s="125" t="s">
        <v>106</v>
      </c>
      <c r="C109" s="126" t="s">
        <v>21</v>
      </c>
      <c r="D109" s="168">
        <f>D103</f>
        <v>0.77340000000000009</v>
      </c>
      <c r="E109" s="169"/>
      <c r="F109" s="127"/>
    </row>
    <row r="110" spans="1:8" x14ac:dyDescent="0.3">
      <c r="A110" s="173">
        <v>31</v>
      </c>
      <c r="B110" s="123" t="s">
        <v>107</v>
      </c>
      <c r="C110" s="119" t="s">
        <v>21</v>
      </c>
      <c r="D110" s="170">
        <f>D103</f>
        <v>0.77340000000000009</v>
      </c>
      <c r="E110" s="121"/>
      <c r="F110" s="124"/>
    </row>
    <row r="111" spans="1:8" ht="15" thickBot="1" x14ac:dyDescent="0.35">
      <c r="A111" s="140"/>
      <c r="B111" s="174" t="s">
        <v>130</v>
      </c>
      <c r="C111" s="141"/>
      <c r="D111" s="142"/>
      <c r="E111" s="143"/>
      <c r="F111" s="144">
        <f>SUMPRODUCT(D9:D110,E9:E110)</f>
        <v>0</v>
      </c>
    </row>
    <row r="112" spans="1:8" x14ac:dyDescent="0.3">
      <c r="A112" s="175" t="s">
        <v>13</v>
      </c>
      <c r="B112" s="176"/>
      <c r="C112" s="176"/>
      <c r="D112" s="176"/>
      <c r="E112" s="177"/>
      <c r="F112" s="136"/>
      <c r="G112" s="6"/>
    </row>
    <row r="113" spans="1:7" x14ac:dyDescent="0.3">
      <c r="A113" s="22" t="s">
        <v>14</v>
      </c>
      <c r="B113" s="23"/>
      <c r="C113" s="23"/>
      <c r="D113" s="23"/>
      <c r="E113" s="24"/>
      <c r="F113" s="25"/>
      <c r="G113" s="6"/>
    </row>
    <row r="114" spans="1:7" x14ac:dyDescent="0.3">
      <c r="A114" s="178" t="s">
        <v>16</v>
      </c>
      <c r="B114" s="179"/>
      <c r="C114" s="179"/>
      <c r="D114" s="179"/>
      <c r="E114" s="180"/>
      <c r="F114" s="26"/>
    </row>
    <row r="115" spans="1:7" x14ac:dyDescent="0.3">
      <c r="A115" s="50" t="s">
        <v>15</v>
      </c>
      <c r="B115" s="51"/>
      <c r="C115" s="51"/>
      <c r="D115" s="51"/>
      <c r="E115" s="51"/>
      <c r="F115" s="26"/>
    </row>
    <row r="116" spans="1:7" ht="15" thickBot="1" x14ac:dyDescent="0.35">
      <c r="A116" s="27" t="s">
        <v>17</v>
      </c>
      <c r="B116" s="28"/>
      <c r="C116" s="28"/>
      <c r="D116" s="28"/>
      <c r="E116" s="28"/>
      <c r="F116" s="29"/>
    </row>
    <row r="117" spans="1:7" x14ac:dyDescent="0.3">
      <c r="A117" s="137"/>
      <c r="B117" s="137"/>
      <c r="C117" s="137"/>
      <c r="D117" s="137"/>
      <c r="E117" s="137"/>
      <c r="F117" s="138"/>
    </row>
    <row r="118" spans="1:7" x14ac:dyDescent="0.3">
      <c r="A118" s="181" t="s">
        <v>187</v>
      </c>
      <c r="B118" s="181"/>
      <c r="C118" s="181"/>
      <c r="D118" s="181"/>
      <c r="E118" s="181"/>
      <c r="F118" s="181"/>
    </row>
    <row r="119" spans="1:7" x14ac:dyDescent="0.3">
      <c r="A119" s="166"/>
      <c r="B119" s="166"/>
      <c r="C119" s="166"/>
      <c r="D119" s="166"/>
      <c r="E119" s="166"/>
      <c r="F119" s="166"/>
    </row>
    <row r="120" spans="1:7" x14ac:dyDescent="0.3">
      <c r="A120" s="30"/>
      <c r="B120" s="31" t="s">
        <v>9</v>
      </c>
      <c r="C120" s="31" t="s">
        <v>18</v>
      </c>
      <c r="D120" s="32"/>
      <c r="E120" s="31"/>
      <c r="F120" s="33"/>
    </row>
    <row r="121" spans="1:7" x14ac:dyDescent="0.3">
      <c r="A121" s="12"/>
      <c r="B121" s="31" t="s">
        <v>110</v>
      </c>
      <c r="C121" s="31"/>
      <c r="D121" s="32"/>
      <c r="E121" s="31"/>
      <c r="F121" s="11"/>
    </row>
    <row r="122" spans="1:7" x14ac:dyDescent="0.3">
      <c r="A122" s="12"/>
      <c r="B122" s="31"/>
      <c r="C122" s="31"/>
      <c r="D122" s="32"/>
      <c r="E122" s="31"/>
      <c r="F122" s="11"/>
    </row>
    <row r="123" spans="1:7" x14ac:dyDescent="0.3">
      <c r="A123" s="12"/>
      <c r="B123" s="31" t="s">
        <v>111</v>
      </c>
      <c r="C123" s="31" t="s">
        <v>189</v>
      </c>
      <c r="D123" s="31"/>
      <c r="E123" s="31"/>
      <c r="F123" s="11"/>
    </row>
    <row r="124" spans="1:7" ht="16.2" x14ac:dyDescent="0.4">
      <c r="A124" s="34"/>
      <c r="B124" s="31" t="s">
        <v>10</v>
      </c>
      <c r="C124" s="11" t="s">
        <v>10</v>
      </c>
      <c r="D124" s="32"/>
      <c r="E124" s="11"/>
      <c r="F124" s="35"/>
    </row>
    <row r="125" spans="1:7" x14ac:dyDescent="0.3">
      <c r="A125" s="55"/>
      <c r="B125" s="56"/>
      <c r="C125" s="57"/>
      <c r="D125" s="58"/>
      <c r="E125" s="59"/>
      <c r="F125" s="59"/>
    </row>
    <row r="126" spans="1:7" x14ac:dyDescent="0.3">
      <c r="A126" s="1"/>
      <c r="B126" s="1"/>
      <c r="C126" s="1"/>
      <c r="D126" s="1"/>
      <c r="E126" s="1"/>
      <c r="F126" s="3"/>
    </row>
    <row r="127" spans="1:7" x14ac:dyDescent="0.3">
      <c r="A127" s="4"/>
      <c r="C127" s="5"/>
      <c r="D127" s="5"/>
      <c r="E127" s="5"/>
      <c r="F127" s="6"/>
    </row>
    <row r="128" spans="1:7" x14ac:dyDescent="0.3">
      <c r="A128" s="2"/>
      <c r="B128" s="5"/>
      <c r="F128" s="7"/>
    </row>
    <row r="130" spans="1:6" x14ac:dyDescent="0.3">
      <c r="A130" s="5"/>
      <c r="B130" s="5"/>
      <c r="C130" s="5"/>
      <c r="D130" s="5"/>
      <c r="E130" s="5"/>
      <c r="F130" s="5"/>
    </row>
    <row r="131" spans="1:6" x14ac:dyDescent="0.3">
      <c r="B131" s="8"/>
    </row>
    <row r="132" spans="1:6" x14ac:dyDescent="0.3">
      <c r="A132" s="8"/>
      <c r="B132" s="8"/>
      <c r="C132" s="8"/>
      <c r="D132" s="8"/>
      <c r="E132" s="8"/>
      <c r="F132" s="8"/>
    </row>
    <row r="133" spans="1:6" x14ac:dyDescent="0.3">
      <c r="A133" s="5"/>
      <c r="B133" s="5"/>
      <c r="C133" s="5"/>
      <c r="D133" s="5"/>
      <c r="E133" s="5"/>
      <c r="F133" s="5"/>
    </row>
    <row r="134" spans="1:6" x14ac:dyDescent="0.3">
      <c r="A134" s="9"/>
      <c r="B134" s="9"/>
      <c r="C134" s="9"/>
      <c r="D134" s="9"/>
      <c r="E134" s="9"/>
      <c r="F134" s="9"/>
    </row>
  </sheetData>
  <mergeCells count="12">
    <mergeCell ref="A112:E112"/>
    <mergeCell ref="A114:E114"/>
    <mergeCell ref="A118:F118"/>
    <mergeCell ref="D1:F1"/>
    <mergeCell ref="A2:B2"/>
    <mergeCell ref="A3:B3"/>
    <mergeCell ref="A4:F4"/>
    <mergeCell ref="A5:A6"/>
    <mergeCell ref="B5:B6"/>
    <mergeCell ref="C5:C6"/>
    <mergeCell ref="D5:D6"/>
    <mergeCell ref="E5:F5"/>
  </mergeCells>
  <phoneticPr fontId="23" type="noConversion"/>
  <pageMargins left="0.51181102362204722" right="0.39370078740157483" top="0.55118110236220474" bottom="0.39370078740157483" header="0.31496062992125984" footer="0.31496062992125984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F6F3A5D697D9A4E9EAC414CD470C293" ma:contentTypeVersion="12" ma:contentTypeDescription="Створення нового документа." ma:contentTypeScope="" ma:versionID="fabcdca83357af00d9ad9d430c415ea2">
  <xsd:schema xmlns:xsd="http://www.w3.org/2001/XMLSchema" xmlns:xs="http://www.w3.org/2001/XMLSchema" xmlns:p="http://schemas.microsoft.com/office/2006/metadata/properties" xmlns:ns3="195e6bf8-a403-427c-aafb-eced00c33f37" xmlns:ns4="7834a74a-bd77-44c0-a152-0115605b4ef2" targetNamespace="http://schemas.microsoft.com/office/2006/metadata/properties" ma:root="true" ma:fieldsID="e756308e61ae82992002552ff3dbc3cc" ns3:_="" ns4:_="">
    <xsd:import namespace="195e6bf8-a403-427c-aafb-eced00c33f37"/>
    <xsd:import namespace="7834a74a-bd77-44c0-a152-0115605b4e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e6bf8-a403-427c-aafb-eced00c33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4a74a-bd77-44c0-a152-0115605b4ef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Геш підказки про спільний доступ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5e6bf8-a403-427c-aafb-eced00c33f37" xsi:nil="true"/>
  </documentManagement>
</p:properties>
</file>

<file path=customXml/itemProps1.xml><?xml version="1.0" encoding="utf-8"?>
<ds:datastoreItem xmlns:ds="http://schemas.openxmlformats.org/officeDocument/2006/customXml" ds:itemID="{D6BABF94-1699-4FF6-BFF0-1ECDC7E6E8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568565-890B-4942-8A03-C03C3DE729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5e6bf8-a403-427c-aafb-eced00c33f37"/>
    <ds:schemaRef ds:uri="7834a74a-bd77-44c0-a152-0115605b4e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D4187E-7662-4B93-9B62-130E687D688C}">
  <ds:schemaRefs>
    <ds:schemaRef ds:uri="http://schemas.microsoft.com/office/2006/metadata/properties"/>
    <ds:schemaRef ds:uri="http://schemas.microsoft.com/office/infopath/2007/PartnerControls"/>
    <ds:schemaRef ds:uri="195e6bf8-a403-427c-aafb-eced00c33f37"/>
  </ds:schemaRefs>
</ds:datastoreItem>
</file>

<file path=docMetadata/LabelInfo.xml><?xml version="1.0" encoding="utf-8"?>
<clbl:labelList xmlns:clbl="http://schemas.microsoft.com/office/2020/mipLabelMetadata">
  <clbl:label id="{f71eb78e-f099-4d95-9479-f935742259ba}" enabled="0" method="" siteId="{f71eb78e-f099-4d95-9479-f935742259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загально-будівель. роб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arthouse.tamara@gmail.com</dc:creator>
  <cp:lastModifiedBy>arthouse.tamara@gmail.com</cp:lastModifiedBy>
  <cp:revision/>
  <cp:lastPrinted>2026-09-30T12:23:47Z</cp:lastPrinted>
  <dcterms:created xsi:type="dcterms:W3CDTF">2024-06-24T07:01:54Z</dcterms:created>
  <dcterms:modified xsi:type="dcterms:W3CDTF">2026-09-30T12:24:47Z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0x010100EF6F3A5D697D9A4E9EAC414CD470C293</vt:lpwstr>
  </property>
</Properties>
</file>