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45" windowHeight="4455" tabRatio="693"/>
  </bookViews>
  <sheets>
    <sheet name="Смета на стройремонт" sheetId="53" r:id="rId1"/>
  </sheets>
  <definedNames>
    <definedName name="_xlnm.Print_Titles" localSheetId="0">'Смета на стройремонт'!$6:$7</definedName>
    <definedName name="_xlnm.Print_Area" localSheetId="0">'Смета на стройремонт'!$A$1:$I$240</definedName>
  </definedNames>
  <calcPr calcId="162913"/>
</workbook>
</file>

<file path=xl/calcChain.xml><?xml version="1.0" encoding="utf-8"?>
<calcChain xmlns="http://schemas.openxmlformats.org/spreadsheetml/2006/main">
  <c r="D11" i="53" l="1"/>
  <c r="F12" i="53"/>
  <c r="F13" i="53"/>
  <c r="F14" i="53"/>
  <c r="F15" i="53"/>
  <c r="F16" i="53"/>
  <c r="F17" i="53"/>
  <c r="F18" i="53"/>
  <c r="I18" i="53" s="1"/>
  <c r="D21" i="53"/>
  <c r="D20" i="53" s="1"/>
  <c r="F21" i="53"/>
  <c r="D22" i="53"/>
  <c r="F22" i="53"/>
  <c r="F23" i="53"/>
  <c r="D24" i="53"/>
  <c r="F24" i="53" s="1"/>
  <c r="D25" i="53"/>
  <c r="F25" i="53" s="1"/>
  <c r="D26" i="53"/>
  <c r="D27" i="53"/>
  <c r="F27" i="53"/>
  <c r="F26" i="53" s="1"/>
  <c r="I26" i="53" s="1"/>
  <c r="F29" i="53"/>
  <c r="D30" i="53"/>
  <c r="F31" i="53"/>
  <c r="D32" i="53"/>
  <c r="F32" i="53" s="1"/>
  <c r="D33" i="53"/>
  <c r="F33" i="53" s="1"/>
  <c r="F39" i="53"/>
  <c r="F40" i="53"/>
  <c r="F41" i="53"/>
  <c r="F42" i="53"/>
  <c r="F43" i="53"/>
  <c r="F45" i="53"/>
  <c r="I238" i="53"/>
  <c r="F238" i="53"/>
  <c r="F232" i="53"/>
  <c r="F38" i="53" l="1"/>
  <c r="I38" i="53" s="1"/>
  <c r="D28" i="53"/>
  <c r="F11" i="53"/>
  <c r="I11" i="53" s="1"/>
  <c r="D19" i="53"/>
  <c r="F20" i="53"/>
  <c r="F19" i="53" s="1"/>
  <c r="I19" i="53" s="1"/>
  <c r="F30" i="53"/>
  <c r="F28" i="53" s="1"/>
  <c r="D195" i="53"/>
  <c r="D206" i="53" s="1"/>
  <c r="H206" i="53" s="1"/>
  <c r="D185" i="53"/>
  <c r="D229" i="53"/>
  <c r="F229" i="53" s="1"/>
  <c r="F226" i="53"/>
  <c r="H223" i="53"/>
  <c r="H222" i="53"/>
  <c r="G218" i="53"/>
  <c r="D218" i="53"/>
  <c r="G217" i="53"/>
  <c r="D217" i="53"/>
  <c r="G216" i="53"/>
  <c r="H215" i="53"/>
  <c r="G214" i="53"/>
  <c r="D214" i="53"/>
  <c r="G213" i="53"/>
  <c r="D213" i="53"/>
  <c r="F212" i="53"/>
  <c r="F211" i="53"/>
  <c r="F210" i="53"/>
  <c r="F209" i="53"/>
  <c r="D208" i="53"/>
  <c r="D216" i="53" s="1"/>
  <c r="H216" i="53" s="1"/>
  <c r="H202" i="53"/>
  <c r="D201" i="53"/>
  <c r="H201" i="53" s="1"/>
  <c r="F198" i="53"/>
  <c r="F197" i="53"/>
  <c r="F196" i="53"/>
  <c r="D194" i="53"/>
  <c r="H194" i="53" s="1"/>
  <c r="D193" i="53"/>
  <c r="H193" i="53" s="1"/>
  <c r="F192" i="53"/>
  <c r="D191" i="53"/>
  <c r="H191" i="53" s="1"/>
  <c r="F190" i="53"/>
  <c r="D183" i="53"/>
  <c r="H183" i="53" s="1"/>
  <c r="F182" i="53"/>
  <c r="F181" i="53"/>
  <c r="D180" i="53"/>
  <c r="H180" i="53" s="1"/>
  <c r="F179" i="53"/>
  <c r="F178" i="53"/>
  <c r="F177" i="53"/>
  <c r="F176" i="53"/>
  <c r="F175" i="53"/>
  <c r="F174" i="53"/>
  <c r="D173" i="53"/>
  <c r="D184" i="53" s="1"/>
  <c r="H184" i="53" s="1"/>
  <c r="D145" i="53"/>
  <c r="D155" i="53" s="1"/>
  <c r="F155" i="53" s="1"/>
  <c r="F159" i="53"/>
  <c r="F158" i="53"/>
  <c r="F156" i="53"/>
  <c r="F154" i="53"/>
  <c r="F153" i="53"/>
  <c r="F152" i="53"/>
  <c r="G151" i="53"/>
  <c r="G150" i="53"/>
  <c r="G149" i="53"/>
  <c r="G148" i="53"/>
  <c r="G147" i="53"/>
  <c r="K145" i="53"/>
  <c r="F189" i="53" l="1"/>
  <c r="H213" i="53"/>
  <c r="H218" i="53"/>
  <c r="D200" i="53"/>
  <c r="H214" i="53"/>
  <c r="H217" i="53"/>
  <c r="D203" i="53"/>
  <c r="H203" i="53" s="1"/>
  <c r="F208" i="53"/>
  <c r="H189" i="53"/>
  <c r="I189" i="53" s="1"/>
  <c r="D205" i="53"/>
  <c r="H205" i="53" s="1"/>
  <c r="D199" i="53"/>
  <c r="F199" i="53" s="1"/>
  <c r="D204" i="53"/>
  <c r="H204" i="53" s="1"/>
  <c r="D207" i="53"/>
  <c r="H207" i="53" s="1"/>
  <c r="F228" i="53"/>
  <c r="I228" i="53" s="1"/>
  <c r="D187" i="53"/>
  <c r="H187" i="53" s="1"/>
  <c r="F185" i="53"/>
  <c r="F173" i="53" s="1"/>
  <c r="D186" i="53"/>
  <c r="F195" i="53"/>
  <c r="I195" i="53" s="1"/>
  <c r="D147" i="53"/>
  <c r="D151" i="53"/>
  <c r="H151" i="53" s="1"/>
  <c r="D146" i="53"/>
  <c r="D148" i="53"/>
  <c r="H148" i="53" s="1"/>
  <c r="D149" i="53"/>
  <c r="H149" i="53" s="1"/>
  <c r="D144" i="53"/>
  <c r="F145" i="53"/>
  <c r="D150" i="53"/>
  <c r="H150" i="53" s="1"/>
  <c r="H208" i="53" l="1"/>
  <c r="I173" i="53"/>
  <c r="H186" i="53"/>
  <c r="D188" i="53"/>
  <c r="H188" i="53" s="1"/>
  <c r="F157" i="53"/>
  <c r="F144" i="53" s="1"/>
  <c r="H147" i="53"/>
  <c r="I144" i="53" l="1"/>
  <c r="D114" i="53" l="1"/>
  <c r="D111" i="53" l="1"/>
  <c r="D110" i="53" s="1"/>
  <c r="F112" i="53"/>
  <c r="F111" i="53" l="1"/>
  <c r="F110" i="53" s="1"/>
  <c r="F163" i="53" l="1"/>
  <c r="F162" i="53"/>
  <c r="F161" i="53"/>
  <c r="F140" i="53"/>
  <c r="F139" i="53"/>
  <c r="D137" i="53"/>
  <c r="F135" i="53"/>
  <c r="F132" i="53" s="1"/>
  <c r="I132" i="53" s="1"/>
  <c r="F134" i="53"/>
  <c r="F133" i="53"/>
  <c r="D132" i="53"/>
  <c r="D136" i="53" s="1"/>
  <c r="F166" i="53"/>
  <c r="F127" i="53"/>
  <c r="F126" i="53"/>
  <c r="F123" i="53"/>
  <c r="D117" i="53"/>
  <c r="D118" i="53" s="1"/>
  <c r="F118" i="53" s="1"/>
  <c r="D96" i="53"/>
  <c r="D97" i="53" s="1"/>
  <c r="D116" i="53" l="1"/>
  <c r="D102" i="53"/>
  <c r="F117" i="53"/>
  <c r="F116" i="53" s="1"/>
  <c r="D120" i="53" l="1"/>
  <c r="D233" i="53" l="1"/>
  <c r="F120" i="53"/>
  <c r="F119" i="53" s="1"/>
  <c r="D164" i="53"/>
  <c r="D119" i="53"/>
  <c r="D94" i="53"/>
  <c r="D170" i="53"/>
  <c r="D172" i="53" s="1"/>
  <c r="D93" i="53"/>
  <c r="D92" i="53" s="1"/>
  <c r="D87" i="53"/>
  <c r="D86" i="53"/>
  <c r="F85" i="53"/>
  <c r="H60" i="53"/>
  <c r="F77" i="53"/>
  <c r="F83" i="53"/>
  <c r="D63" i="53"/>
  <c r="H63" i="53" s="1"/>
  <c r="F69" i="53"/>
  <c r="F70" i="53"/>
  <c r="H58" i="53"/>
  <c r="H56" i="53"/>
  <c r="H55" i="53"/>
  <c r="H57" i="53"/>
  <c r="F52" i="53"/>
  <c r="H50" i="53"/>
  <c r="F46" i="53"/>
  <c r="F44" i="53" s="1"/>
  <c r="I44" i="53" s="1"/>
  <c r="F59" i="53"/>
  <c r="F172" i="53" l="1"/>
  <c r="D171" i="53"/>
  <c r="F233" i="53"/>
  <c r="F231" i="53" s="1"/>
  <c r="D237" i="53"/>
  <c r="F237" i="53" s="1"/>
  <c r="I237" i="53" s="1"/>
  <c r="D231" i="53"/>
  <c r="D234" i="53" s="1"/>
  <c r="F164" i="53"/>
  <c r="F160" i="53" s="1"/>
  <c r="D165" i="53"/>
  <c r="F165" i="53" s="1"/>
  <c r="D160" i="53"/>
  <c r="D169" i="53" s="1"/>
  <c r="F169" i="53" s="1"/>
  <c r="D98" i="53"/>
  <c r="D99" i="53"/>
  <c r="D100" i="53"/>
  <c r="D101" i="53" s="1"/>
  <c r="D95" i="53"/>
  <c r="D124" i="53"/>
  <c r="F93" i="53"/>
  <c r="F114" i="53"/>
  <c r="D113" i="53"/>
  <c r="D143" i="53" s="1"/>
  <c r="F115" i="53"/>
  <c r="F68" i="53"/>
  <c r="F49" i="53"/>
  <c r="D89" i="53"/>
  <c r="H9" i="53"/>
  <c r="F62" i="53"/>
  <c r="F75" i="53"/>
  <c r="F54" i="53"/>
  <c r="D64" i="53"/>
  <c r="F80" i="53"/>
  <c r="D84" i="53"/>
  <c r="F72" i="53"/>
  <c r="H53" i="53"/>
  <c r="D220" i="53" l="1"/>
  <c r="D219" i="53"/>
  <c r="D224" i="53" s="1"/>
  <c r="F234" i="53"/>
  <c r="I234" i="53" s="1"/>
  <c r="D235" i="53"/>
  <c r="I231" i="53"/>
  <c r="F171" i="53"/>
  <c r="D141" i="53"/>
  <c r="I160" i="53"/>
  <c r="D128" i="53"/>
  <c r="F128" i="53" s="1"/>
  <c r="F124" i="53"/>
  <c r="D122" i="53"/>
  <c r="D125" i="53"/>
  <c r="F125" i="53" s="1"/>
  <c r="F113" i="53"/>
  <c r="D108" i="53"/>
  <c r="H108" i="53" s="1"/>
  <c r="D109" i="53"/>
  <c r="H109" i="53" s="1"/>
  <c r="D107" i="53"/>
  <c r="H107" i="53" s="1"/>
  <c r="D104" i="53"/>
  <c r="H104" i="53" s="1"/>
  <c r="H99" i="53"/>
  <c r="H95" i="53"/>
  <c r="D105" i="53"/>
  <c r="D103" i="53"/>
  <c r="H103" i="53" s="1"/>
  <c r="H98" i="53"/>
  <c r="F88" i="53"/>
  <c r="F71" i="53" s="1"/>
  <c r="I71" i="53" s="1"/>
  <c r="D48" i="53"/>
  <c r="D90" i="53"/>
  <c r="D65" i="53"/>
  <c r="D67" i="53" s="1"/>
  <c r="H67" i="53" s="1"/>
  <c r="I171" i="53" l="1"/>
  <c r="D138" i="53"/>
  <c r="D131" i="53" s="1"/>
  <c r="D225" i="53"/>
  <c r="F224" i="53"/>
  <c r="D221" i="53"/>
  <c r="F220" i="53"/>
  <c r="F219" i="53" s="1"/>
  <c r="I219" i="53" s="1"/>
  <c r="F235" i="53"/>
  <c r="F230" i="53" s="1"/>
  <c r="D236" i="53"/>
  <c r="H236" i="53" s="1"/>
  <c r="F141" i="53"/>
  <c r="F143" i="53"/>
  <c r="D121" i="53"/>
  <c r="D129" i="53"/>
  <c r="D130" i="53" s="1"/>
  <c r="F130" i="53" s="1"/>
  <c r="F122" i="53"/>
  <c r="D106" i="53"/>
  <c r="H106" i="53" s="1"/>
  <c r="H105" i="53"/>
  <c r="H100" i="53"/>
  <c r="H101" i="53"/>
  <c r="H102" i="53"/>
  <c r="H96" i="53"/>
  <c r="H97" i="53"/>
  <c r="F65" i="53"/>
  <c r="F48" i="53" s="1"/>
  <c r="F47" i="53" s="1"/>
  <c r="D66" i="53"/>
  <c r="H66" i="53" s="1"/>
  <c r="H47" i="53" s="1"/>
  <c r="I68" i="53"/>
  <c r="D167" i="53" l="1"/>
  <c r="D168" i="53" s="1"/>
  <c r="F168" i="53" s="1"/>
  <c r="D142" i="53"/>
  <c r="F142" i="53" s="1"/>
  <c r="F138" i="53" s="1"/>
  <c r="I235" i="53"/>
  <c r="I230" i="53"/>
  <c r="F170" i="53"/>
  <c r="I170" i="53" s="1"/>
  <c r="F129" i="53"/>
  <c r="F121" i="53" s="1"/>
  <c r="I48" i="53"/>
  <c r="F167" i="53" l="1"/>
  <c r="F131" i="53" s="1"/>
  <c r="I131" i="53" s="1"/>
  <c r="I129" i="53"/>
  <c r="I138" i="53"/>
  <c r="I167" i="53" l="1"/>
  <c r="I122" i="53"/>
  <c r="I121" i="53"/>
  <c r="I9" i="53"/>
  <c r="I47" i="53" l="1"/>
  <c r="F94" i="53" l="1"/>
  <c r="F92" i="53" s="1"/>
  <c r="F91" i="53" s="1"/>
  <c r="F240" i="53" s="1"/>
  <c r="I91" i="53" l="1"/>
</calcChain>
</file>

<file path=xl/sharedStrings.xml><?xml version="1.0" encoding="utf-8"?>
<sst xmlns="http://schemas.openxmlformats.org/spreadsheetml/2006/main" count="493" uniqueCount="239">
  <si>
    <t>№ пп</t>
  </si>
  <si>
    <t>м2</t>
  </si>
  <si>
    <t>м3</t>
  </si>
  <si>
    <t>кг</t>
  </si>
  <si>
    <t>т</t>
  </si>
  <si>
    <t>шт</t>
  </si>
  <si>
    <t>м</t>
  </si>
  <si>
    <t>л</t>
  </si>
  <si>
    <t>Объект:</t>
  </si>
  <si>
    <t>Наименование работ и материалов</t>
  </si>
  <si>
    <t>Ед.изм</t>
  </si>
  <si>
    <t>кол-во</t>
  </si>
  <si>
    <t>расценка</t>
  </si>
  <si>
    <t>Сумма</t>
  </si>
  <si>
    <t>Работы, грн.</t>
  </si>
  <si>
    <t>Материалы, грн.</t>
  </si>
  <si>
    <t>Всего, грн.</t>
  </si>
  <si>
    <t>http://trimet.com.ua/index.php/setkaarm</t>
  </si>
  <si>
    <t>Звукоизоляция по полу в два слоя и стыку стен и стяжки (К = 2)</t>
  </si>
  <si>
    <t xml:space="preserve">Звукоизоляция по полу в один слой и по стыку стен и стяжки </t>
  </si>
  <si>
    <t>Гемафон 10 мм</t>
  </si>
  <si>
    <t>http://izolon.at.ua/index/gemafon/0-6</t>
  </si>
  <si>
    <t>Плитки керамогранитные</t>
  </si>
  <si>
    <t>http://kafel-santehnika.com/zcx13_botichino_begeviygrad_3030sm.html</t>
  </si>
  <si>
    <t>Плитки морозостойкие</t>
  </si>
  <si>
    <t>http://epicentrik.info/ru/plitka_gres_0201_089_300x300_mm_epicentr.htm</t>
  </si>
  <si>
    <t>Клей для плитки СМ-11</t>
  </si>
  <si>
    <t>http://www.budmagazin.com.ua/ware-kiev/w430-ceresit-cm-11-kley-dlya-plitki-27kg.html</t>
  </si>
  <si>
    <t>Клей для плитки СМ-117</t>
  </si>
  <si>
    <t>http://stroynet.kiev.ua/tovar/114.html</t>
  </si>
  <si>
    <t>http://intergips.com.ua/prod-2601-zatirka-se-33-super-bezhevaya-2kg</t>
  </si>
  <si>
    <t>Круг абразивный для плитки</t>
  </si>
  <si>
    <t>Грунтовка глубокопроникающая</t>
  </si>
  <si>
    <t>Устройство плинтуса из плитки 100 мм</t>
  </si>
  <si>
    <t>Устройство плинтуса из плитки 100 мм на лестницах</t>
  </si>
  <si>
    <t>Сетка штукатурная тканая 12х12х1</t>
  </si>
  <si>
    <t>http://budkontrakt.com.ua/setka/setka-tkanaya.html?gclid=COW1nJ_j98ECFRPItAod6BsA3g</t>
  </si>
  <si>
    <t>Раствор цементно-известковый</t>
  </si>
  <si>
    <t>Беспесчанка потолков (старт)</t>
  </si>
  <si>
    <t>Заливка стяжки  пола М150 толщиной  38 мм (с армированием)</t>
  </si>
  <si>
    <t>Заливка стяжки  пола М150 толщиной  87 мм (с армированием)</t>
  </si>
  <si>
    <t>Заливка стяжки  пола М150 толщиной  125 мм (с армированием)</t>
  </si>
  <si>
    <t>Сетка сварная 50х50х3</t>
  </si>
  <si>
    <t xml:space="preserve">Укладка металлической сетки в стяжку </t>
  </si>
  <si>
    <t>Плитки для ступеней типа Paradyz Doblo Bianco 30x60</t>
  </si>
  <si>
    <t>Фуга Церезит СЕ-40</t>
  </si>
  <si>
    <t>http://masterok.kiev.ua/catalog/diski-concrete/1-143-1-61/</t>
  </si>
  <si>
    <t>Резка плитки</t>
  </si>
  <si>
    <t>Дюбеля с шурупами</t>
  </si>
  <si>
    <t>Лента для стыков</t>
  </si>
  <si>
    <t>http://intergips.com.ua/prod-2390-dyubelya-potay-660-100-sht</t>
  </si>
  <si>
    <t>http://intergips.com.ua/prod-5204-lenta-malyarnaya-48-27m</t>
  </si>
  <si>
    <t>м.пог</t>
  </si>
  <si>
    <t>http://citycarpets.com.ua/fitted-carpet/rubber-s-base/commercial-fitted-carpet-nexos-plus-red-382</t>
  </si>
  <si>
    <t>74</t>
  </si>
  <si>
    <t>http://www.praktiker.ua/produkt,2116,1445/zatirka_obychnaya_syeryy__5kg_.html</t>
  </si>
  <si>
    <t>http://kafel-santehnika.com/cemento_bianco_45x45_zwxf1.html</t>
  </si>
  <si>
    <t>http://keramogranit-plitka.com/c386111-plitka-dlya-tualeta-f-g11395-205785-g11396-207336-g11407-205797-g13178-265472-g16028-482827.html</t>
  </si>
  <si>
    <t xml:space="preserve">Цементно-піщана стяжка підлоги </t>
  </si>
  <si>
    <t>http://cement.ua/catalog/tsement-portlandtsement-pts-b-sh-400-fasovannyi-po-25kg-1t</t>
  </si>
  <si>
    <t>http://cement.ua/catalog/pesok/pesok-rechnoi-50kg</t>
  </si>
  <si>
    <t>Песок речной в мешках 50 кг</t>
  </si>
  <si>
    <t>Цемент М400 в мешках 25 кг</t>
  </si>
  <si>
    <t>http://budewell.com.ua/dobavki-v-beton-plastifikatory/legkaya-kladka-dobavka-v-rastvor-plastifikator-4f1a4</t>
  </si>
  <si>
    <t xml:space="preserve">Заливка стяжки М150 товщиною  60 мм </t>
  </si>
  <si>
    <t>Приготування цементного розчину М150</t>
  </si>
  <si>
    <t>Пластификатор Літос Легка кладка</t>
  </si>
  <si>
    <t>Нівелювання підлоги</t>
  </si>
  <si>
    <t>Стяжка самовірівнююча Церезіт CN 69</t>
  </si>
  <si>
    <t>http://kelma.kiev.ua/ru/materialy-dlja-ustroystva-polov-ceresit/360-samovyravnivaushhajasja-smes-ceresit-cn-69.html</t>
  </si>
  <si>
    <t xml:space="preserve">Грунтування поверхні </t>
  </si>
  <si>
    <t>Грунтовка Церезит СТ 17</t>
  </si>
  <si>
    <t>http://kelma.kiev.ua/ru/gruntovki-ceresit/480-gruntovka-glubokopronikaushhaja-ceresit-ct-17.html</t>
  </si>
  <si>
    <t>Профіль маячний</t>
  </si>
  <si>
    <t>http://kelma.kiev.ua/ru/profil-dlya-gipsokartona/805--6-3.html</t>
  </si>
  <si>
    <t>Нанесення нівелювального розчину (до 10 мм)</t>
  </si>
  <si>
    <t>Плитка для підлоги</t>
  </si>
  <si>
    <t>Постачається Замовником</t>
  </si>
  <si>
    <t>Покриття підлог з керамічної плитки</t>
  </si>
  <si>
    <t>Покриття з плиток керамічних на кухні</t>
  </si>
  <si>
    <t>Покриття з плиток керамічних в санвузлі</t>
  </si>
  <si>
    <t>Покриття з плиток керамічних в передпокої (з врахуванням пройомів)</t>
  </si>
  <si>
    <t>http://intergips.com.ua/prod-5230-se--33-plus-zatirka-temn-korichnevaya-2-kg</t>
  </si>
  <si>
    <t>Хрестики для плитки</t>
  </si>
  <si>
    <t>Круг абразивний для плитки</t>
  </si>
  <si>
    <t>Плаштування плінтуса з керамічної плитки</t>
  </si>
  <si>
    <t>Влаштування покриттів із ламінату</t>
  </si>
  <si>
    <t>Влаштування покриття з ламінату</t>
  </si>
  <si>
    <t>Укладання підложки</t>
  </si>
  <si>
    <t>Ламінат</t>
  </si>
  <si>
    <t>Підложка під ламінат</t>
  </si>
  <si>
    <t>Влаштування порожної планки</t>
  </si>
  <si>
    <t>Планка порожна</t>
  </si>
  <si>
    <t xml:space="preserve">Влаштування плінтусів </t>
  </si>
  <si>
    <t>Наклеювання склополотна (паутинка)</t>
  </si>
  <si>
    <t xml:space="preserve">Грунтування стель </t>
  </si>
  <si>
    <t>Фарбування стель в два шари</t>
  </si>
  <si>
    <t>Штукатурення примикань стін до бетонного перекриття (полосою)</t>
  </si>
  <si>
    <t>Грунтування стін бетоконтактом</t>
  </si>
  <si>
    <t>Фарбування стін в два шари</t>
  </si>
  <si>
    <t xml:space="preserve">Облицювання стін плиткою </t>
  </si>
  <si>
    <t>Плитка облицювальна для стін</t>
  </si>
  <si>
    <t>Безпіщане шпаклювання відкосів (старт)- до 5 мм</t>
  </si>
  <si>
    <t>м.п.</t>
  </si>
  <si>
    <t>м.п</t>
  </si>
  <si>
    <t>http://metalvis.ua/catalog/c-adhesive-mounting/prod-00003-474000400000-montajnyi-klei-montage-fix.html</t>
  </si>
  <si>
    <t>Загальновиробничі роботи</t>
  </si>
  <si>
    <t>Навантажувально-розвантажувальні роботи</t>
  </si>
  <si>
    <t>Вивезення сміття</t>
  </si>
  <si>
    <t>Фасування сміття в мішки</t>
  </si>
  <si>
    <t>Мішки для сміття</t>
  </si>
  <si>
    <t>тн з поверхів</t>
  </si>
  <si>
    <t>Демонтажні роботи</t>
  </si>
  <si>
    <t>Демонтаж вікон та дверей</t>
  </si>
  <si>
    <t>шт.</t>
  </si>
  <si>
    <t>Демонтаж балконних блоків металопластикових (вікно +балконна дверь)</t>
  </si>
  <si>
    <t>Демонтаж вхідної двері металевої</t>
  </si>
  <si>
    <t>Демонтаж кладки стін</t>
  </si>
  <si>
    <t>Демонтаж зовнішньої стіни з газоблоку</t>
  </si>
  <si>
    <t>Розширення дверного пройому</t>
  </si>
  <si>
    <t>Демонтаж цегляної перегородки</t>
  </si>
  <si>
    <t>Демонтаж перегородок з газоблоку та цементного блочка</t>
  </si>
  <si>
    <t>Кладочні роботи</t>
  </si>
  <si>
    <t>Демонтаж утеплення стін</t>
  </si>
  <si>
    <t>Демонтаж радиаторов</t>
  </si>
  <si>
    <t>Демонтаж узла нижнего подключения (с сохранением) с трубками</t>
  </si>
  <si>
    <t>Демонтаж екрану балкона</t>
  </si>
  <si>
    <t>Кладка зовнішньої стін з газоблоків (100 мм)</t>
  </si>
  <si>
    <t>Влаштування перемички</t>
  </si>
  <si>
    <t>Приготування кладкового розчину</t>
  </si>
  <si>
    <t>Армування кладки сіткою</t>
  </si>
  <si>
    <t>Газоблок 100 мм</t>
  </si>
  <si>
    <t>Сітка 3ВР-1 50х50</t>
  </si>
  <si>
    <t>Монтаж, из фахверка стіни</t>
  </si>
  <si>
    <t>Електроди</t>
  </si>
  <si>
    <t>Кутик 70х70х5 мм</t>
  </si>
  <si>
    <t>Лист сталевий 6 мм</t>
  </si>
  <si>
    <t>Круг обрізний</t>
  </si>
  <si>
    <t>Розчин кладковий</t>
  </si>
  <si>
    <t>Арматура 16</t>
  </si>
  <si>
    <t>Пісок річковий (50 кг)</t>
  </si>
  <si>
    <t>Цемент М 400 (25 кг)</t>
  </si>
  <si>
    <t>Кладка внутрішніх стін і перегородок</t>
  </si>
  <si>
    <t>Кладка зовнішньої стіни 300 мм з газоблоку</t>
  </si>
  <si>
    <t>Газоблок 300 мм</t>
  </si>
  <si>
    <t>Кладка внутрішньої стіни 300 мм з газоблоку</t>
  </si>
  <si>
    <t>Кладка внутрішніх перегородок з газоблоку</t>
  </si>
  <si>
    <t>Безпіщане шпаклювання стель (старт)</t>
  </si>
  <si>
    <t>Підготовлення ГК стелі під фарбування</t>
  </si>
  <si>
    <t>Фарбування стель інтер'єрними фарбами</t>
  </si>
  <si>
    <t>Стартове шпаклювання-штукатурка стін (гіпсова)</t>
  </si>
  <si>
    <t>Грунтування стін</t>
  </si>
  <si>
    <t>Підготовка ГК стін під фарбування</t>
  </si>
  <si>
    <t>Підготовка під оздоблення відкосів</t>
  </si>
  <si>
    <t>Підготовка стін під фарбування</t>
  </si>
  <si>
    <t>Підготовка відкосів під оздоблення</t>
  </si>
  <si>
    <t>Облицювання відкосів</t>
  </si>
  <si>
    <t>Облицювання плиткою під цеглу</t>
  </si>
  <si>
    <t>Влаштування облицювання стін декоративною плиткою з складним малюнком (в санвузлі) із швами</t>
  </si>
  <si>
    <t>Затирання швів плитки (звичайною фугою)</t>
  </si>
  <si>
    <t>Вирізання отворів в плитці</t>
  </si>
  <si>
    <t>Підрізання кромок плитки під кут 90 в санвузлі</t>
  </si>
  <si>
    <t>Влаштування плінтуса дерев'яного</t>
  </si>
  <si>
    <t>Прибирання приміщень після ремонту</t>
  </si>
  <si>
    <t>Утеплення стіни з оздобленням фасаду промальпіністами (без матеріалів)</t>
  </si>
  <si>
    <t>Утеплення стіни з оздобленням фасаду (без матеріалів)</t>
  </si>
  <si>
    <t xml:space="preserve">Влаштування облицювання стін облицювальною плиткою (просте укладання, не безшовне) </t>
  </si>
  <si>
    <t xml:space="preserve">Влаштування фризів в санвузлі </t>
  </si>
  <si>
    <t>Затирання швів плитки (звичайною фугою) з формуванням швів</t>
  </si>
  <si>
    <t xml:space="preserve">Цена </t>
  </si>
  <si>
    <t xml:space="preserve">Сумма </t>
  </si>
  <si>
    <t>Винос сміття з поверху з врахуванням використання ліфта</t>
  </si>
  <si>
    <t>Всього робіт</t>
  </si>
  <si>
    <t>Кладка зовнішньої стіни 200 мм з газоблоку</t>
  </si>
  <si>
    <t>Утеплення зовнішньої стіни пінопластом з оздобленням</t>
  </si>
  <si>
    <t>Ремонтно-будівельні роботи в квартирі №____ в житловому домі по вул. Пушкінській, 2</t>
  </si>
  <si>
    <t>ЛОКАЛЬНИЙ КОШТОРИС № 1
на виконання ремонтно-будівельних робіт</t>
  </si>
  <si>
    <t>В складі демонтажних робіт на врахований демонтаж продольної стіни. Після шурфовання можливо буде уточнити її кеонструкцію, та чи є вона несучою, або приховує несучі опорні конструкції підлог верхнього поверху. Після уточнення конструктиву роботи з демонтажу стіни будуть включені в окремий додатковий кошторис.</t>
  </si>
  <si>
    <t>Демонтаж вікон</t>
  </si>
  <si>
    <t>Демонтаж балконних дверей</t>
  </si>
  <si>
    <t>Розбирання антресолей</t>
  </si>
  <si>
    <t>Розбирання дерев'яних стін і перегородок (без продольної стіни)</t>
  </si>
  <si>
    <t>Демонтаж облицювання плитки</t>
  </si>
  <si>
    <t>Демонтаж міжкімнатних дверей</t>
  </si>
  <si>
    <t>Демонтаж по підлогах</t>
  </si>
  <si>
    <t>Демонтаж штукатурки с розбиранням дранки</t>
  </si>
  <si>
    <t>демонтаж плиткових підлог</t>
  </si>
  <si>
    <t>Розбирання стяжки</t>
  </si>
  <si>
    <t>Демонтаж штучного паркету</t>
  </si>
  <si>
    <t xml:space="preserve">Навантаження сміття від демонтажу </t>
  </si>
  <si>
    <t>Демонтаж штукатурки з розбиранням дранки</t>
  </si>
  <si>
    <t>Розбирання відкосів</t>
  </si>
  <si>
    <t>Розбирання дерев'яного плінтуса</t>
  </si>
  <si>
    <t>Профиль СД 60х27 0,45</t>
  </si>
  <si>
    <t>м.пог.</t>
  </si>
  <si>
    <t>Профиль УД 28х27</t>
  </si>
  <si>
    <t>Лента  уплотнительная 30 мм</t>
  </si>
  <si>
    <t>Соединитель "краб"</t>
  </si>
  <si>
    <t>Удлинитель профиля СД</t>
  </si>
  <si>
    <t>П-обр. удлиненный</t>
  </si>
  <si>
    <t>Саморез по металлу усиленный до 12 мм</t>
  </si>
  <si>
    <t>Дюбель быстрого монтажа 6х40</t>
  </si>
  <si>
    <t>Шуруп LN9</t>
  </si>
  <si>
    <t>Лист ГКПО 12,5 мм</t>
  </si>
  <si>
    <t>Шуруп самонарезающий ТN 25</t>
  </si>
  <si>
    <t>Шуруп самонарезающий ТN 35</t>
  </si>
  <si>
    <t>Шпаклевка ФУГЕНФЮЛЛЕР</t>
  </si>
  <si>
    <t>Лента армирующая</t>
  </si>
  <si>
    <t xml:space="preserve">Грунтовка </t>
  </si>
  <si>
    <t>Демонтаж чугунних батарей</t>
  </si>
  <si>
    <t>Підшивання стель гідроізоляційною плівкою  по балках з обрешіткою</t>
  </si>
  <si>
    <t xml:space="preserve">Монтаж однорівневих стель з гіпсокартону </t>
  </si>
  <si>
    <t>Монтаж перегородок з гіпсокартона на металокаркасі</t>
  </si>
  <si>
    <t>Монтаж облицювання стін гіпсокартоном на металокаркасі</t>
  </si>
  <si>
    <t>Монтаж укосів з гіпсокартону</t>
  </si>
  <si>
    <t>Монтаж відкосів</t>
  </si>
  <si>
    <t>Укладання утеплювача-звукоізоляції)</t>
  </si>
  <si>
    <t>Встановлення кутиків малярних (включаючи кутики на кутах стін</t>
  </si>
  <si>
    <t>(без врахування матеріалів)</t>
  </si>
  <si>
    <t>Демонтаж по стінах (К =1,2 - висота)</t>
  </si>
  <si>
    <t xml:space="preserve">м </t>
  </si>
  <si>
    <t>Демонтаж по стелях (К =1,2 - висота)</t>
  </si>
  <si>
    <t>Монтаж стель (К =1,2 - висота)</t>
  </si>
  <si>
    <t>Підготовка стель під фарбування (К =1,2 - висота)</t>
  </si>
  <si>
    <t>Укладання плит ОСБ 20 мм по старій чорновій підлозі (важкі плити)</t>
  </si>
  <si>
    <t>Демонтаж штукатурки по зовнішнім стінам і санвузлу</t>
  </si>
  <si>
    <t>Оздоблення стін</t>
  </si>
  <si>
    <t xml:space="preserve">Оздоблення  стель </t>
  </si>
  <si>
    <t>Монтажні і штукатурні роботи</t>
  </si>
  <si>
    <t>Штукатурка стін</t>
  </si>
  <si>
    <t>Фарбування стін водоемульсійними акриловими фарбами</t>
  </si>
  <si>
    <t>Фарбування відкосів в два шари</t>
  </si>
  <si>
    <t>Влаштування підлоги</t>
  </si>
  <si>
    <t>Чорнова підлога з ОСБ</t>
  </si>
  <si>
    <t>Заливка стяжки М150 товщиною 30 мм</t>
  </si>
  <si>
    <t xml:space="preserve">Підготовка під оздоблення стін (за виключенням площ під плитку) </t>
  </si>
  <si>
    <t xml:space="preserve">Монтаж перегородок </t>
  </si>
  <si>
    <t xml:space="preserve">Монтаж облицювання стін </t>
  </si>
  <si>
    <t>Штукатурення стін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</si>
</sst>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0.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u/>
      <sz val="8.25"/>
      <color theme="1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i/>
      <u/>
      <sz val="11"/>
      <color theme="10"/>
      <name val="Arial"/>
      <family val="2"/>
      <charset val="204"/>
    </font>
    <font>
      <u/>
      <sz val="8.25"/>
      <color theme="10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6" fillId="4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2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center" wrapText="1"/>
    </xf>
    <xf numFmtId="4" fontId="11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6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15" fillId="6" borderId="0" xfId="2" applyFont="1" applyFill="1" applyAlignment="1" applyProtection="1">
      <alignment vertical="center" wrapText="1"/>
    </xf>
    <xf numFmtId="0" fontId="3" fillId="0" borderId="0" xfId="0" applyFont="1" applyFill="1" applyAlignment="1">
      <alignment vertical="center" wrapText="1"/>
    </xf>
    <xf numFmtId="0" fontId="16" fillId="6" borderId="0" xfId="2" applyFont="1" applyFill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17" fillId="6" borderId="0" xfId="2" applyFont="1" applyFill="1" applyAlignment="1" applyProtection="1">
      <alignment vertical="center" wrapText="1"/>
    </xf>
    <xf numFmtId="2" fontId="14" fillId="2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49" fontId="3" fillId="7" borderId="0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49" fontId="14" fillId="7" borderId="4" xfId="0" applyNumberFormat="1" applyFont="1" applyFill="1" applyBorder="1" applyAlignment="1">
      <alignment horizontal="center" vertical="center" wrapText="1"/>
    </xf>
    <xf numFmtId="49" fontId="14" fillId="7" borderId="0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49" fontId="10" fillId="7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7" borderId="0" xfId="0" applyNumberFormat="1" applyFont="1" applyFill="1" applyBorder="1" applyAlignment="1">
      <alignment horizontal="center" vertical="center" wrapText="1"/>
    </xf>
    <xf numFmtId="4" fontId="10" fillId="7" borderId="9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2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4" fillId="7" borderId="9" xfId="0" applyNumberFormat="1" applyFont="1" applyFill="1" applyBorder="1" applyAlignment="1">
      <alignment vertical="center" wrapText="1"/>
    </xf>
    <xf numFmtId="4" fontId="3" fillId="7" borderId="9" xfId="0" applyNumberFormat="1" applyFont="1" applyFill="1" applyBorder="1" applyAlignment="1">
      <alignment vertical="center" wrapText="1"/>
    </xf>
    <xf numFmtId="0" fontId="17" fillId="0" borderId="0" xfId="2" applyFont="1" applyFill="1" applyAlignment="1" applyProtection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6" fontId="14" fillId="2" borderId="1" xfId="0" applyNumberFormat="1" applyFont="1" applyFill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9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sterok.kiev.ua/catalog/diski-concrete/1-143-1-61/" TargetMode="External"/><Relationship Id="rId3" Type="http://schemas.openxmlformats.org/officeDocument/2006/relationships/hyperlink" Target="http://trimet.com.ua/index.php/setkaarm" TargetMode="External"/><Relationship Id="rId7" Type="http://schemas.openxmlformats.org/officeDocument/2006/relationships/hyperlink" Target="http://kafel-santehnika.com/zcx13_botichino_begeviygrad_3030sm.html" TargetMode="External"/><Relationship Id="rId2" Type="http://schemas.openxmlformats.org/officeDocument/2006/relationships/hyperlink" Target="http://www.praktiker.ua/produkt,2116,1445/zatirka_obychnaya_syeryy__5kg_.html" TargetMode="External"/><Relationship Id="rId1" Type="http://schemas.openxmlformats.org/officeDocument/2006/relationships/hyperlink" Target="http://budkontrakt.com.ua/setka/setka-tkanaya.html?gclid=COW1nJ_j98ECFRPItAod6BsA3g" TargetMode="External"/><Relationship Id="rId6" Type="http://schemas.openxmlformats.org/officeDocument/2006/relationships/hyperlink" Target="http://epicentrik.info/ru/plitka_gres_0201_089_300x300_mm_epicentr.htm" TargetMode="External"/><Relationship Id="rId5" Type="http://schemas.openxmlformats.org/officeDocument/2006/relationships/hyperlink" Target="http://www.budmagazin.com.ua/ware-kiev/w430-ceresit-cm-11-kley-dlya-plitki-27kg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izolon.at.ua/index/gemafon/0-6" TargetMode="External"/><Relationship Id="rId9" Type="http://schemas.openxmlformats.org/officeDocument/2006/relationships/hyperlink" Target="http://stroynet.kiev.ua/tovar/11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2"/>
  <sheetViews>
    <sheetView tabSelected="1" zoomScale="85" zoomScaleNormal="85" workbookViewId="0">
      <selection activeCell="B237" sqref="B237"/>
    </sheetView>
  </sheetViews>
  <sheetFormatPr defaultRowHeight="14.25" x14ac:dyDescent="0.25"/>
  <cols>
    <col min="1" max="1" width="10.140625" style="22" customWidth="1"/>
    <col min="2" max="2" width="37.5703125" style="9" customWidth="1"/>
    <col min="3" max="3" width="11.85546875" style="22" bestFit="1" customWidth="1"/>
    <col min="4" max="4" width="10.5703125" style="9" customWidth="1"/>
    <col min="5" max="5" width="12.140625" style="9" customWidth="1"/>
    <col min="6" max="6" width="13.42578125" style="9" customWidth="1"/>
    <col min="7" max="7" width="10.85546875" style="9" customWidth="1"/>
    <col min="8" max="8" width="14.5703125" style="9" customWidth="1"/>
    <col min="9" max="9" width="13.5703125" style="18" customWidth="1"/>
    <col min="10" max="10" width="11" style="14" customWidth="1"/>
    <col min="11" max="11" width="89.85546875" style="19" customWidth="1"/>
    <col min="12" max="12" width="9.140625" style="9"/>
    <col min="13" max="13" width="13.42578125" style="9" bestFit="1" customWidth="1"/>
    <col min="14" max="14" width="13.28515625" style="9" bestFit="1" customWidth="1"/>
    <col min="15" max="16" width="9.140625" style="9"/>
    <col min="17" max="17" width="16.85546875" style="9" customWidth="1"/>
    <col min="18" max="16384" width="9.140625" style="9"/>
  </cols>
  <sheetData>
    <row r="1" spans="1:11" ht="20.25" customHeight="1" x14ac:dyDescent="0.25">
      <c r="A1" s="160"/>
      <c r="B1" s="160"/>
      <c r="C1" s="160"/>
      <c r="D1" s="160"/>
      <c r="E1" s="160"/>
      <c r="F1" s="160"/>
      <c r="G1" s="160"/>
      <c r="H1" s="160"/>
      <c r="I1" s="160"/>
    </row>
    <row r="2" spans="1:11" ht="45" customHeight="1" x14ac:dyDescent="0.25">
      <c r="A2" s="160" t="s">
        <v>176</v>
      </c>
      <c r="B2" s="160"/>
      <c r="C2" s="160"/>
      <c r="D2" s="160"/>
      <c r="E2" s="160"/>
      <c r="F2" s="160"/>
      <c r="G2" s="160"/>
      <c r="H2" s="160"/>
      <c r="I2" s="160"/>
      <c r="J2" s="16"/>
      <c r="K2" s="17"/>
    </row>
    <row r="3" spans="1:11" ht="20.25" x14ac:dyDescent="0.25">
      <c r="A3" s="160" t="s">
        <v>218</v>
      </c>
      <c r="B3" s="160"/>
      <c r="C3" s="160"/>
      <c r="D3" s="160"/>
      <c r="E3" s="160"/>
      <c r="F3" s="160"/>
      <c r="G3" s="160"/>
      <c r="H3" s="160"/>
      <c r="I3" s="160"/>
      <c r="J3" s="16"/>
      <c r="K3" s="17"/>
    </row>
    <row r="4" spans="1:11" ht="18" x14ac:dyDescent="0.25">
      <c r="A4" s="25" t="s">
        <v>8</v>
      </c>
      <c r="B4" s="185" t="s">
        <v>175</v>
      </c>
      <c r="C4" s="185"/>
      <c r="D4" s="185"/>
      <c r="E4" s="185"/>
      <c r="F4" s="185"/>
      <c r="G4" s="185"/>
      <c r="H4" s="185"/>
      <c r="I4" s="185"/>
      <c r="J4" s="16"/>
      <c r="K4" s="17"/>
    </row>
    <row r="6" spans="1:11" s="22" customFormat="1" ht="15" customHeight="1" x14ac:dyDescent="0.25">
      <c r="A6" s="184" t="s">
        <v>0</v>
      </c>
      <c r="B6" s="184" t="s">
        <v>9</v>
      </c>
      <c r="C6" s="184" t="s">
        <v>10</v>
      </c>
      <c r="D6" s="151" t="s">
        <v>11</v>
      </c>
      <c r="E6" s="188" t="s">
        <v>14</v>
      </c>
      <c r="F6" s="189"/>
      <c r="G6" s="188" t="s">
        <v>15</v>
      </c>
      <c r="H6" s="189"/>
      <c r="I6" s="186" t="s">
        <v>16</v>
      </c>
      <c r="J6" s="20"/>
      <c r="K6" s="21"/>
    </row>
    <row r="7" spans="1:11" s="22" customFormat="1" ht="15" x14ac:dyDescent="0.25">
      <c r="A7" s="184"/>
      <c r="B7" s="184"/>
      <c r="C7" s="184"/>
      <c r="D7" s="153"/>
      <c r="E7" s="74" t="s">
        <v>12</v>
      </c>
      <c r="F7" s="74" t="s">
        <v>13</v>
      </c>
      <c r="G7" s="23" t="s">
        <v>169</v>
      </c>
      <c r="H7" s="23" t="s">
        <v>170</v>
      </c>
      <c r="I7" s="187"/>
      <c r="J7" s="20"/>
      <c r="K7" s="24"/>
    </row>
    <row r="8" spans="1:11" s="22" customFormat="1" ht="15" hidden="1" x14ac:dyDescent="0.25">
      <c r="A8" s="74"/>
      <c r="B8" s="74"/>
      <c r="C8" s="74"/>
      <c r="D8" s="74"/>
      <c r="E8" s="74"/>
      <c r="F8" s="74"/>
      <c r="G8" s="23"/>
      <c r="H8" s="23"/>
      <c r="I8" s="23"/>
      <c r="J8" s="20"/>
      <c r="K8" s="24"/>
    </row>
    <row r="9" spans="1:11" s="44" customFormat="1" ht="15.75" x14ac:dyDescent="0.25">
      <c r="A9" s="37">
        <v>1</v>
      </c>
      <c r="B9" s="38" t="s">
        <v>112</v>
      </c>
      <c r="C9" s="39"/>
      <c r="D9" s="95"/>
      <c r="E9" s="96"/>
      <c r="F9" s="97"/>
      <c r="G9" s="97"/>
      <c r="H9" s="97">
        <f>ROUND(H11+H38,0)</f>
        <v>0</v>
      </c>
      <c r="I9" s="42">
        <f>F9+H9</f>
        <v>0</v>
      </c>
      <c r="J9" s="87"/>
      <c r="K9" s="43"/>
    </row>
    <row r="10" spans="1:11" s="34" customFormat="1" ht="47.25" customHeight="1" x14ac:dyDescent="0.25">
      <c r="A10" s="179" t="s">
        <v>177</v>
      </c>
      <c r="B10" s="180"/>
      <c r="C10" s="180"/>
      <c r="D10" s="180"/>
      <c r="E10" s="180"/>
      <c r="F10" s="180"/>
      <c r="G10" s="180"/>
      <c r="H10" s="180"/>
      <c r="I10" s="181"/>
      <c r="J10" s="86"/>
      <c r="K10" s="33"/>
    </row>
    <row r="11" spans="1:11" s="34" customFormat="1" ht="15" x14ac:dyDescent="0.25">
      <c r="A11" s="29">
        <v>1</v>
      </c>
      <c r="B11" s="30" t="s">
        <v>113</v>
      </c>
      <c r="C11" s="29" t="s">
        <v>5</v>
      </c>
      <c r="D11" s="98">
        <f>D12+D17</f>
        <v>1</v>
      </c>
      <c r="E11" s="99"/>
      <c r="F11" s="100">
        <f>SUM(F12:F17)</f>
        <v>0</v>
      </c>
      <c r="G11" s="99"/>
      <c r="H11" s="100"/>
      <c r="I11" s="31">
        <f>F11+H11</f>
        <v>0</v>
      </c>
      <c r="J11" s="86"/>
      <c r="K11" s="33"/>
    </row>
    <row r="12" spans="1:11" s="50" customFormat="1" ht="42.75" hidden="1" customHeight="1" x14ac:dyDescent="0.25">
      <c r="A12" s="151"/>
      <c r="B12" s="46" t="s">
        <v>115</v>
      </c>
      <c r="C12" s="47" t="s">
        <v>114</v>
      </c>
      <c r="D12" s="105"/>
      <c r="E12" s="102">
        <v>310</v>
      </c>
      <c r="F12" s="103">
        <f>D12*E12</f>
        <v>0</v>
      </c>
      <c r="G12" s="102"/>
      <c r="H12" s="103"/>
      <c r="I12" s="186"/>
      <c r="J12" s="81"/>
      <c r="K12" s="49"/>
    </row>
    <row r="13" spans="1:11" s="50" customFormat="1" x14ac:dyDescent="0.25">
      <c r="A13" s="152"/>
      <c r="B13" s="46" t="s">
        <v>179</v>
      </c>
      <c r="C13" s="47" t="s">
        <v>5</v>
      </c>
      <c r="D13" s="105">
        <v>2</v>
      </c>
      <c r="E13" s="102"/>
      <c r="F13" s="103">
        <f t="shared" ref="F13:F16" si="0">D13*E13</f>
        <v>0</v>
      </c>
      <c r="G13" s="102"/>
      <c r="H13" s="103"/>
      <c r="I13" s="178"/>
      <c r="J13" s="81"/>
      <c r="K13" s="49"/>
    </row>
    <row r="14" spans="1:11" s="50" customFormat="1" x14ac:dyDescent="0.25">
      <c r="A14" s="152"/>
      <c r="B14" s="46" t="s">
        <v>178</v>
      </c>
      <c r="C14" s="47" t="s">
        <v>5</v>
      </c>
      <c r="D14" s="105">
        <v>4</v>
      </c>
      <c r="E14" s="102"/>
      <c r="F14" s="103">
        <f t="shared" si="0"/>
        <v>0</v>
      </c>
      <c r="G14" s="102"/>
      <c r="H14" s="103"/>
      <c r="I14" s="178"/>
      <c r="J14" s="81"/>
      <c r="K14" s="49"/>
    </row>
    <row r="15" spans="1:11" s="50" customFormat="1" x14ac:dyDescent="0.25">
      <c r="A15" s="152"/>
      <c r="B15" s="46" t="s">
        <v>183</v>
      </c>
      <c r="C15" s="47" t="s">
        <v>5</v>
      </c>
      <c r="D15" s="105">
        <v>5</v>
      </c>
      <c r="E15" s="102"/>
      <c r="F15" s="103">
        <f t="shared" si="0"/>
        <v>0</v>
      </c>
      <c r="G15" s="102"/>
      <c r="H15" s="103"/>
      <c r="I15" s="178"/>
      <c r="J15" s="81"/>
      <c r="K15" s="49"/>
    </row>
    <row r="16" spans="1:11" s="50" customFormat="1" ht="14.25" hidden="1" customHeight="1" x14ac:dyDescent="0.25">
      <c r="A16" s="152"/>
      <c r="B16" s="46"/>
      <c r="C16" s="47"/>
      <c r="D16" s="105"/>
      <c r="E16" s="102"/>
      <c r="F16" s="103">
        <f t="shared" si="0"/>
        <v>0</v>
      </c>
      <c r="G16" s="102"/>
      <c r="H16" s="103"/>
      <c r="I16" s="178"/>
      <c r="J16" s="81"/>
      <c r="K16" s="49"/>
    </row>
    <row r="17" spans="1:11" s="50" customFormat="1" x14ac:dyDescent="0.25">
      <c r="A17" s="153"/>
      <c r="B17" s="46" t="s">
        <v>116</v>
      </c>
      <c r="C17" s="47" t="s">
        <v>5</v>
      </c>
      <c r="D17" s="105">
        <v>1</v>
      </c>
      <c r="E17" s="102"/>
      <c r="F17" s="103">
        <f>D17*E17</f>
        <v>0</v>
      </c>
      <c r="G17" s="102"/>
      <c r="H17" s="103"/>
      <c r="I17" s="187"/>
      <c r="J17" s="81"/>
      <c r="K17" s="49"/>
    </row>
    <row r="18" spans="1:11" s="34" customFormat="1" ht="15" hidden="1" x14ac:dyDescent="0.25">
      <c r="A18" s="29">
        <v>2</v>
      </c>
      <c r="B18" s="30" t="s">
        <v>123</v>
      </c>
      <c r="C18" s="29" t="s">
        <v>1</v>
      </c>
      <c r="D18" s="98"/>
      <c r="E18" s="99"/>
      <c r="F18" s="100">
        <f>D18*E18</f>
        <v>0</v>
      </c>
      <c r="G18" s="99"/>
      <c r="H18" s="100"/>
      <c r="I18" s="31">
        <f>F18+H18</f>
        <v>0</v>
      </c>
      <c r="J18" s="86"/>
      <c r="K18" s="33"/>
    </row>
    <row r="19" spans="1:11" s="34" customFormat="1" ht="30" x14ac:dyDescent="0.25">
      <c r="A19" s="29">
        <v>2</v>
      </c>
      <c r="B19" s="30" t="s">
        <v>219</v>
      </c>
      <c r="C19" s="29" t="s">
        <v>1</v>
      </c>
      <c r="D19" s="98">
        <f>D20+D21</f>
        <v>266.7</v>
      </c>
      <c r="E19" s="99"/>
      <c r="F19" s="100">
        <f>SUM(F20:F25)</f>
        <v>0</v>
      </c>
      <c r="G19" s="99"/>
      <c r="H19" s="100"/>
      <c r="I19" s="31">
        <f>F19+H19</f>
        <v>0</v>
      </c>
      <c r="J19" s="86"/>
      <c r="K19" s="33"/>
    </row>
    <row r="20" spans="1:11" s="34" customFormat="1" ht="28.5" x14ac:dyDescent="0.25">
      <c r="A20" s="182"/>
      <c r="B20" s="46" t="s">
        <v>190</v>
      </c>
      <c r="C20" s="47" t="s">
        <v>1</v>
      </c>
      <c r="D20" s="101">
        <f>266.7-D21</f>
        <v>110.30000000000007</v>
      </c>
      <c r="E20" s="102"/>
      <c r="F20" s="103">
        <f t="shared" ref="F20:F25" si="1">D20*E20</f>
        <v>0</v>
      </c>
      <c r="G20" s="102"/>
      <c r="H20" s="103"/>
      <c r="I20" s="176"/>
      <c r="J20" s="86"/>
      <c r="K20" s="33"/>
    </row>
    <row r="21" spans="1:11" s="34" customFormat="1" ht="28.5" x14ac:dyDescent="0.25">
      <c r="A21" s="159"/>
      <c r="B21" s="46" t="s">
        <v>225</v>
      </c>
      <c r="C21" s="47" t="s">
        <v>1</v>
      </c>
      <c r="D21" s="101">
        <f>(4.81+0.96*2+1.31+2.62+4.09+4.58+3.07+2.26+0.8+1.68+1.68+1.5+1.5+1.5+1.5+4.09+2.67+2)*4-1.3-1.61-1.3-2.05-2.94-2.05-1.495*2-1.84*2</f>
        <v>156.39999999999992</v>
      </c>
      <c r="E21" s="102"/>
      <c r="F21" s="103">
        <f t="shared" si="1"/>
        <v>0</v>
      </c>
      <c r="G21" s="102"/>
      <c r="H21" s="103"/>
      <c r="I21" s="175"/>
      <c r="J21" s="86"/>
      <c r="K21" s="33"/>
    </row>
    <row r="22" spans="1:11" s="34" customFormat="1" ht="15" x14ac:dyDescent="0.25">
      <c r="A22" s="159"/>
      <c r="B22" s="46" t="s">
        <v>182</v>
      </c>
      <c r="C22" s="47" t="s">
        <v>1</v>
      </c>
      <c r="D22" s="101">
        <f>12.29+6.84+8.21</f>
        <v>27.34</v>
      </c>
      <c r="E22" s="102"/>
      <c r="F22" s="103">
        <f t="shared" si="1"/>
        <v>0</v>
      </c>
      <c r="G22" s="102"/>
      <c r="H22" s="103"/>
      <c r="I22" s="175"/>
      <c r="J22" s="86"/>
      <c r="K22" s="33"/>
    </row>
    <row r="23" spans="1:11" s="34" customFormat="1" ht="15" x14ac:dyDescent="0.25">
      <c r="A23" s="159"/>
      <c r="B23" s="46" t="s">
        <v>180</v>
      </c>
      <c r="C23" s="47" t="s">
        <v>5</v>
      </c>
      <c r="D23" s="101">
        <v>2</v>
      </c>
      <c r="E23" s="102"/>
      <c r="F23" s="103">
        <f t="shared" si="1"/>
        <v>0</v>
      </c>
      <c r="G23" s="102"/>
      <c r="H23" s="103"/>
      <c r="I23" s="175"/>
      <c r="J23" s="86"/>
      <c r="K23" s="33"/>
    </row>
    <row r="24" spans="1:11" s="34" customFormat="1" ht="15" x14ac:dyDescent="0.25">
      <c r="A24" s="159"/>
      <c r="B24" s="46" t="s">
        <v>191</v>
      </c>
      <c r="C24" s="47" t="s">
        <v>220</v>
      </c>
      <c r="D24" s="101">
        <f>(1.28+1.6*2)*2+1.28+2*2.3+(0.81+1.6*2)*2+0.7+2.3*2</f>
        <v>28.159999999999997</v>
      </c>
      <c r="E24" s="102"/>
      <c r="F24" s="103">
        <f t="shared" si="1"/>
        <v>0</v>
      </c>
      <c r="G24" s="102"/>
      <c r="H24" s="103"/>
      <c r="I24" s="175"/>
      <c r="J24" s="86"/>
      <c r="K24" s="33"/>
    </row>
    <row r="25" spans="1:11" s="34" customFormat="1" ht="28.5" x14ac:dyDescent="0.25">
      <c r="A25" s="190"/>
      <c r="B25" s="46" t="s">
        <v>181</v>
      </c>
      <c r="C25" s="47" t="s">
        <v>1</v>
      </c>
      <c r="D25" s="101">
        <f>(4.09+0.96)*4</f>
        <v>20.2</v>
      </c>
      <c r="E25" s="102"/>
      <c r="F25" s="103">
        <f t="shared" si="1"/>
        <v>0</v>
      </c>
      <c r="G25" s="102"/>
      <c r="H25" s="103"/>
      <c r="I25" s="183"/>
      <c r="J25" s="86"/>
      <c r="K25" s="33"/>
    </row>
    <row r="26" spans="1:11" s="34" customFormat="1" ht="30" x14ac:dyDescent="0.25">
      <c r="A26" s="29">
        <v>3</v>
      </c>
      <c r="B26" s="30" t="s">
        <v>221</v>
      </c>
      <c r="C26" s="29" t="s">
        <v>1</v>
      </c>
      <c r="D26" s="98">
        <f>D27</f>
        <v>55.900000000000006</v>
      </c>
      <c r="E26" s="99"/>
      <c r="F26" s="100">
        <f>SUM(F27)</f>
        <v>0</v>
      </c>
      <c r="G26" s="99"/>
      <c r="H26" s="100"/>
      <c r="I26" s="31">
        <f>F26+H26</f>
        <v>0</v>
      </c>
      <c r="J26" s="86"/>
      <c r="K26" s="33"/>
    </row>
    <row r="27" spans="1:11" s="34" customFormat="1" ht="28.5" x14ac:dyDescent="0.25">
      <c r="A27" s="131"/>
      <c r="B27" s="46" t="s">
        <v>190</v>
      </c>
      <c r="C27" s="47" t="s">
        <v>1</v>
      </c>
      <c r="D27" s="101">
        <f>16.2+3.1+1.2+10.1+12.3+13</f>
        <v>55.900000000000006</v>
      </c>
      <c r="E27" s="102"/>
      <c r="F27" s="103">
        <f>D27*E27</f>
        <v>0</v>
      </c>
      <c r="G27" s="102"/>
      <c r="H27" s="103"/>
      <c r="I27" s="120"/>
      <c r="J27" s="86"/>
      <c r="K27" s="33"/>
    </row>
    <row r="28" spans="1:11" s="34" customFormat="1" ht="15" x14ac:dyDescent="0.25">
      <c r="A28" s="29">
        <v>4</v>
      </c>
      <c r="B28" s="30" t="s">
        <v>184</v>
      </c>
      <c r="C28" s="29" t="s">
        <v>1</v>
      </c>
      <c r="D28" s="98">
        <f>D30+D33</f>
        <v>55.9</v>
      </c>
      <c r="E28" s="99"/>
      <c r="F28" s="100">
        <f>SUM(F29:F43)</f>
        <v>0</v>
      </c>
      <c r="G28" s="99"/>
      <c r="H28" s="100"/>
      <c r="I28" s="31"/>
      <c r="J28" s="86"/>
      <c r="K28" s="33"/>
    </row>
    <row r="29" spans="1:11" s="34" customFormat="1" ht="28.5" hidden="1" customHeight="1" x14ac:dyDescent="0.25">
      <c r="A29" s="132"/>
      <c r="B29" s="46" t="s">
        <v>185</v>
      </c>
      <c r="C29" s="47" t="s">
        <v>1</v>
      </c>
      <c r="D29" s="101"/>
      <c r="E29" s="102"/>
      <c r="F29" s="103">
        <f>D29*E29</f>
        <v>0</v>
      </c>
      <c r="G29" s="102"/>
      <c r="H29" s="103"/>
      <c r="I29" s="134"/>
      <c r="J29" s="86"/>
      <c r="K29" s="33"/>
    </row>
    <row r="30" spans="1:11" s="34" customFormat="1" ht="15" x14ac:dyDescent="0.25">
      <c r="A30" s="159"/>
      <c r="B30" s="46" t="s">
        <v>186</v>
      </c>
      <c r="C30" s="47" t="s">
        <v>1</v>
      </c>
      <c r="D30" s="101">
        <f>3.1+1.2</f>
        <v>4.3</v>
      </c>
      <c r="E30" s="102"/>
      <c r="F30" s="103">
        <f t="shared" ref="F30:F33" si="2">D30*E30</f>
        <v>0</v>
      </c>
      <c r="G30" s="102"/>
      <c r="H30" s="103"/>
      <c r="I30" s="175"/>
      <c r="J30" s="86"/>
      <c r="K30" s="33"/>
    </row>
    <row r="31" spans="1:11" s="34" customFormat="1" ht="15" x14ac:dyDescent="0.25">
      <c r="A31" s="159"/>
      <c r="B31" s="46" t="s">
        <v>187</v>
      </c>
      <c r="C31" s="47" t="s">
        <v>1</v>
      </c>
      <c r="D31" s="101">
        <v>4.3</v>
      </c>
      <c r="E31" s="102"/>
      <c r="F31" s="103">
        <f t="shared" si="2"/>
        <v>0</v>
      </c>
      <c r="G31" s="102"/>
      <c r="H31" s="103"/>
      <c r="I31" s="175"/>
      <c r="J31" s="86"/>
      <c r="K31" s="33"/>
    </row>
    <row r="32" spans="1:11" s="34" customFormat="1" ht="15" x14ac:dyDescent="0.25">
      <c r="A32" s="159"/>
      <c r="B32" s="46" t="s">
        <v>192</v>
      </c>
      <c r="C32" s="47" t="s">
        <v>1</v>
      </c>
      <c r="D32" s="101">
        <f>(4.58+4.09)*2+(3.07+4.09)*2+(4.81+2.67)*2+0.96+0.96+3.07*2+(1.31+2.61)*2-0.84-0.84-0.84-0.84-0.84-0.7-0.7-0.7-0.84-0.65</f>
        <v>54.729999999999968</v>
      </c>
      <c r="E32" s="102"/>
      <c r="F32" s="103">
        <f t="shared" si="2"/>
        <v>0</v>
      </c>
      <c r="G32" s="102"/>
      <c r="H32" s="103"/>
      <c r="I32" s="175"/>
      <c r="J32" s="86"/>
      <c r="K32" s="33"/>
    </row>
    <row r="33" spans="1:11" s="34" customFormat="1" ht="15" x14ac:dyDescent="0.25">
      <c r="A33" s="159"/>
      <c r="B33" s="46" t="s">
        <v>188</v>
      </c>
      <c r="C33" s="47" t="s">
        <v>1</v>
      </c>
      <c r="D33" s="101">
        <f>55.9-4.3</f>
        <v>51.6</v>
      </c>
      <c r="E33" s="102"/>
      <c r="F33" s="103">
        <f t="shared" si="2"/>
        <v>0</v>
      </c>
      <c r="G33" s="102"/>
      <c r="H33" s="103"/>
      <c r="I33" s="175"/>
      <c r="J33" s="86"/>
      <c r="K33" s="33"/>
    </row>
    <row r="34" spans="1:11" s="34" customFormat="1" ht="15" hidden="1" customHeight="1" x14ac:dyDescent="0.25">
      <c r="A34" s="132"/>
      <c r="B34" s="46"/>
      <c r="C34" s="47"/>
      <c r="D34" s="101"/>
      <c r="E34" s="102"/>
      <c r="F34" s="103"/>
      <c r="G34" s="102"/>
      <c r="H34" s="103"/>
      <c r="I34" s="134"/>
      <c r="J34" s="86"/>
      <c r="K34" s="33"/>
    </row>
    <row r="35" spans="1:11" s="34" customFormat="1" ht="15" hidden="1" customHeight="1" x14ac:dyDescent="0.25">
      <c r="A35" s="132"/>
      <c r="B35" s="46"/>
      <c r="C35" s="47"/>
      <c r="D35" s="101"/>
      <c r="E35" s="102"/>
      <c r="F35" s="103"/>
      <c r="G35" s="102"/>
      <c r="H35" s="103"/>
      <c r="I35" s="134"/>
      <c r="J35" s="86"/>
      <c r="K35" s="33"/>
    </row>
    <row r="36" spans="1:11" s="34" customFormat="1" ht="15" hidden="1" customHeight="1" x14ac:dyDescent="0.25">
      <c r="A36" s="132"/>
      <c r="B36" s="46"/>
      <c r="C36" s="47"/>
      <c r="D36" s="101"/>
      <c r="E36" s="102"/>
      <c r="F36" s="103"/>
      <c r="G36" s="102"/>
      <c r="H36" s="103"/>
      <c r="I36" s="134"/>
      <c r="J36" s="86"/>
      <c r="K36" s="33"/>
    </row>
    <row r="37" spans="1:11" s="34" customFormat="1" ht="15" hidden="1" customHeight="1" x14ac:dyDescent="0.25">
      <c r="A37" s="133"/>
      <c r="B37" s="46"/>
      <c r="C37" s="47"/>
      <c r="D37" s="101"/>
      <c r="E37" s="102"/>
      <c r="F37" s="103"/>
      <c r="G37" s="102"/>
      <c r="H37" s="103"/>
      <c r="I37" s="135"/>
      <c r="J37" s="86"/>
      <c r="K37" s="33"/>
    </row>
    <row r="38" spans="1:11" s="34" customFormat="1" ht="15" hidden="1" x14ac:dyDescent="0.25">
      <c r="A38" s="29">
        <v>3</v>
      </c>
      <c r="B38" s="30" t="s">
        <v>117</v>
      </c>
      <c r="C38" s="29"/>
      <c r="D38" s="98"/>
      <c r="E38" s="99"/>
      <c r="F38" s="100">
        <f>SUM(F39:F43)</f>
        <v>0</v>
      </c>
      <c r="G38" s="99"/>
      <c r="H38" s="100"/>
      <c r="I38" s="31">
        <f>F38+H38</f>
        <v>0</v>
      </c>
      <c r="J38" s="86"/>
      <c r="K38" s="33"/>
    </row>
    <row r="39" spans="1:11" s="50" customFormat="1" ht="28.5" hidden="1" customHeight="1" x14ac:dyDescent="0.25">
      <c r="A39" s="151"/>
      <c r="B39" s="46" t="s">
        <v>118</v>
      </c>
      <c r="C39" s="47" t="s">
        <v>2</v>
      </c>
      <c r="D39" s="101"/>
      <c r="E39" s="102"/>
      <c r="F39" s="103">
        <f>D39*E39</f>
        <v>0</v>
      </c>
      <c r="G39" s="102"/>
      <c r="H39" s="103"/>
      <c r="I39" s="186"/>
      <c r="J39" s="81"/>
      <c r="K39" s="49"/>
    </row>
    <row r="40" spans="1:11" s="50" customFormat="1" ht="14.25" hidden="1" customHeight="1" x14ac:dyDescent="0.25">
      <c r="A40" s="152"/>
      <c r="B40" s="46" t="s">
        <v>126</v>
      </c>
      <c r="C40" s="47" t="s">
        <v>1</v>
      </c>
      <c r="D40" s="101"/>
      <c r="E40" s="102"/>
      <c r="F40" s="103">
        <f>D40*E40</f>
        <v>0</v>
      </c>
      <c r="G40" s="102"/>
      <c r="H40" s="103"/>
      <c r="I40" s="178"/>
      <c r="J40" s="81"/>
      <c r="K40" s="49"/>
    </row>
    <row r="41" spans="1:11" s="50" customFormat="1" ht="28.5" hidden="1" customHeight="1" x14ac:dyDescent="0.25">
      <c r="A41" s="152"/>
      <c r="B41" s="46" t="s">
        <v>121</v>
      </c>
      <c r="C41" s="47" t="s">
        <v>1</v>
      </c>
      <c r="D41" s="101"/>
      <c r="E41" s="102"/>
      <c r="F41" s="103">
        <f>D41*E41</f>
        <v>0</v>
      </c>
      <c r="G41" s="102"/>
      <c r="H41" s="103"/>
      <c r="I41" s="178"/>
      <c r="J41" s="81"/>
      <c r="K41" s="49"/>
    </row>
    <row r="42" spans="1:11" s="50" customFormat="1" ht="14.25" hidden="1" customHeight="1" x14ac:dyDescent="0.25">
      <c r="A42" s="152"/>
      <c r="B42" s="46" t="s">
        <v>119</v>
      </c>
      <c r="C42" s="47" t="s">
        <v>6</v>
      </c>
      <c r="D42" s="101"/>
      <c r="E42" s="102"/>
      <c r="F42" s="103">
        <f>D42*E42</f>
        <v>0</v>
      </c>
      <c r="G42" s="102"/>
      <c r="H42" s="103"/>
      <c r="I42" s="178"/>
      <c r="J42" s="81"/>
      <c r="K42" s="49"/>
    </row>
    <row r="43" spans="1:11" s="50" customFormat="1" ht="14.25" hidden="1" customHeight="1" x14ac:dyDescent="0.25">
      <c r="A43" s="153"/>
      <c r="B43" s="46" t="s">
        <v>120</v>
      </c>
      <c r="C43" s="47" t="s">
        <v>1</v>
      </c>
      <c r="D43" s="101"/>
      <c r="E43" s="102"/>
      <c r="F43" s="103">
        <f>D43*E43</f>
        <v>0</v>
      </c>
      <c r="G43" s="102"/>
      <c r="H43" s="103"/>
      <c r="I43" s="187"/>
      <c r="J43" s="81"/>
      <c r="K43" s="49"/>
    </row>
    <row r="44" spans="1:11" s="34" customFormat="1" ht="15" x14ac:dyDescent="0.25">
      <c r="A44" s="29">
        <v>5</v>
      </c>
      <c r="B44" s="30" t="s">
        <v>124</v>
      </c>
      <c r="C44" s="29" t="s">
        <v>5</v>
      </c>
      <c r="D44" s="98">
        <v>4</v>
      </c>
      <c r="E44" s="99"/>
      <c r="F44" s="100">
        <f>SUM(F45:F46)</f>
        <v>0</v>
      </c>
      <c r="G44" s="99"/>
      <c r="H44" s="100"/>
      <c r="I44" s="31">
        <f>F44+H44</f>
        <v>0</v>
      </c>
      <c r="J44" s="86"/>
      <c r="K44" s="33"/>
    </row>
    <row r="45" spans="1:11" s="50" customFormat="1" x14ac:dyDescent="0.25">
      <c r="A45" s="151"/>
      <c r="B45" s="46" t="s">
        <v>209</v>
      </c>
      <c r="C45" s="47" t="s">
        <v>5</v>
      </c>
      <c r="D45" s="101">
        <v>4</v>
      </c>
      <c r="E45" s="102"/>
      <c r="F45" s="103">
        <f t="shared" ref="F45:F46" si="3">D45*E45</f>
        <v>0</v>
      </c>
      <c r="G45" s="102"/>
      <c r="H45" s="103"/>
      <c r="I45" s="186"/>
      <c r="J45" s="81"/>
      <c r="K45" s="49"/>
    </row>
    <row r="46" spans="1:11" s="50" customFormat="1" ht="42.75" hidden="1" customHeight="1" x14ac:dyDescent="0.25">
      <c r="A46" s="153"/>
      <c r="B46" s="46" t="s">
        <v>125</v>
      </c>
      <c r="C46" s="47" t="s">
        <v>5</v>
      </c>
      <c r="D46" s="101"/>
      <c r="E46" s="102"/>
      <c r="F46" s="103">
        <f t="shared" si="3"/>
        <v>0</v>
      </c>
      <c r="G46" s="102"/>
      <c r="H46" s="103"/>
      <c r="I46" s="187"/>
      <c r="J46" s="81"/>
      <c r="K46" s="49"/>
    </row>
    <row r="47" spans="1:11" s="44" customFormat="1" ht="15.75" hidden="1" x14ac:dyDescent="0.25">
      <c r="A47" s="37">
        <v>2</v>
      </c>
      <c r="B47" s="38" t="s">
        <v>122</v>
      </c>
      <c r="C47" s="39"/>
      <c r="D47" s="95"/>
      <c r="E47" s="96"/>
      <c r="F47" s="97">
        <f>F48+F68+F71</f>
        <v>0</v>
      </c>
      <c r="G47" s="97"/>
      <c r="H47" s="97">
        <f>H48+H68+H71</f>
        <v>0</v>
      </c>
      <c r="I47" s="42">
        <f>F47+H47</f>
        <v>0</v>
      </c>
      <c r="J47" s="87"/>
      <c r="K47" s="43"/>
    </row>
    <row r="48" spans="1:11" s="34" customFormat="1" ht="30" hidden="1" x14ac:dyDescent="0.25">
      <c r="A48" s="29">
        <v>1</v>
      </c>
      <c r="B48" s="30" t="s">
        <v>127</v>
      </c>
      <c r="C48" s="29" t="s">
        <v>1</v>
      </c>
      <c r="D48" s="98" t="e">
        <f>D88+D166+#REF!</f>
        <v>#REF!</v>
      </c>
      <c r="E48" s="99"/>
      <c r="F48" s="100">
        <f>SUM(F49:F67)</f>
        <v>0</v>
      </c>
      <c r="G48" s="99"/>
      <c r="H48" s="100"/>
      <c r="I48" s="31">
        <f>F48+H48</f>
        <v>0</v>
      </c>
      <c r="J48" s="86"/>
      <c r="K48" s="33"/>
    </row>
    <row r="49" spans="1:11" s="50" customFormat="1" ht="28.5" hidden="1" x14ac:dyDescent="0.25">
      <c r="A49" s="151"/>
      <c r="B49" s="46" t="s">
        <v>173</v>
      </c>
      <c r="C49" s="47" t="s">
        <v>2</v>
      </c>
      <c r="D49" s="114"/>
      <c r="E49" s="46"/>
      <c r="F49" s="48">
        <f>D49*E49</f>
        <v>0</v>
      </c>
      <c r="G49" s="102"/>
      <c r="H49" s="103"/>
      <c r="I49" s="186"/>
      <c r="J49" s="81"/>
      <c r="K49" s="49"/>
    </row>
    <row r="50" spans="1:11" s="22" customFormat="1" ht="15" hidden="1" x14ac:dyDescent="0.25">
      <c r="A50" s="152"/>
      <c r="B50" s="112" t="s">
        <v>131</v>
      </c>
      <c r="C50" s="113" t="s">
        <v>2</v>
      </c>
      <c r="D50" s="93"/>
      <c r="E50" s="93"/>
      <c r="F50" s="93"/>
      <c r="G50" s="23">
        <v>1215</v>
      </c>
      <c r="H50" s="8">
        <f>ROUND(D50*G50,2)</f>
        <v>0</v>
      </c>
      <c r="I50" s="178"/>
      <c r="J50" s="20"/>
      <c r="K50" s="24"/>
    </row>
    <row r="51" spans="1:11" s="22" customFormat="1" ht="15" hidden="1" x14ac:dyDescent="0.25">
      <c r="A51" s="152"/>
      <c r="B51" s="112" t="s">
        <v>138</v>
      </c>
      <c r="C51" s="113" t="s">
        <v>2</v>
      </c>
      <c r="D51" s="117"/>
      <c r="E51" s="93"/>
      <c r="F51" s="93"/>
      <c r="G51" s="23"/>
      <c r="H51" s="8"/>
      <c r="I51" s="178"/>
      <c r="J51" s="20"/>
      <c r="K51" s="24"/>
    </row>
    <row r="52" spans="1:11" s="50" customFormat="1" hidden="1" x14ac:dyDescent="0.25">
      <c r="A52" s="152"/>
      <c r="B52" s="46" t="s">
        <v>130</v>
      </c>
      <c r="C52" s="47" t="s">
        <v>3</v>
      </c>
      <c r="D52" s="59"/>
      <c r="E52" s="46"/>
      <c r="F52" s="48">
        <f>D52*E52</f>
        <v>0</v>
      </c>
      <c r="G52" s="102"/>
      <c r="H52" s="103"/>
      <c r="I52" s="178"/>
      <c r="J52" s="81"/>
      <c r="K52" s="49"/>
    </row>
    <row r="53" spans="1:11" s="22" customFormat="1" ht="15" hidden="1" x14ac:dyDescent="0.25">
      <c r="A53" s="152"/>
      <c r="B53" s="112" t="s">
        <v>132</v>
      </c>
      <c r="C53" s="113" t="s">
        <v>1</v>
      </c>
      <c r="D53" s="93"/>
      <c r="E53" s="93"/>
      <c r="F53" s="93"/>
      <c r="G53" s="23">
        <v>34.700000000000003</v>
      </c>
      <c r="H53" s="8">
        <f>ROUND(D53*G53,2)</f>
        <v>0</v>
      </c>
      <c r="I53" s="178"/>
      <c r="J53" s="20"/>
      <c r="K53" s="24"/>
    </row>
    <row r="54" spans="1:11" s="50" customFormat="1" hidden="1" x14ac:dyDescent="0.25">
      <c r="A54" s="152"/>
      <c r="B54" s="46" t="s">
        <v>133</v>
      </c>
      <c r="C54" s="47" t="s">
        <v>4</v>
      </c>
      <c r="D54" s="115"/>
      <c r="E54" s="46"/>
      <c r="F54" s="48">
        <f>D54*E54</f>
        <v>0</v>
      </c>
      <c r="G54" s="102"/>
      <c r="H54" s="103"/>
      <c r="I54" s="178"/>
      <c r="J54" s="81"/>
      <c r="K54" s="49"/>
    </row>
    <row r="55" spans="1:11" s="22" customFormat="1" ht="15" hidden="1" x14ac:dyDescent="0.25">
      <c r="A55" s="152"/>
      <c r="B55" s="112" t="s">
        <v>135</v>
      </c>
      <c r="C55" s="113" t="s">
        <v>4</v>
      </c>
      <c r="D55" s="116"/>
      <c r="E55" s="93"/>
      <c r="F55" s="93"/>
      <c r="G55" s="104">
        <v>24190</v>
      </c>
      <c r="H55" s="8">
        <f t="shared" ref="H55:H67" si="4">ROUND(D55*G55,2)</f>
        <v>0</v>
      </c>
      <c r="I55" s="178"/>
      <c r="J55" s="20"/>
      <c r="K55" s="24"/>
    </row>
    <row r="56" spans="1:11" s="22" customFormat="1" ht="15" hidden="1" x14ac:dyDescent="0.25">
      <c r="A56" s="152"/>
      <c r="B56" s="112" t="s">
        <v>136</v>
      </c>
      <c r="C56" s="113" t="s">
        <v>4</v>
      </c>
      <c r="D56" s="116"/>
      <c r="E56" s="93"/>
      <c r="F56" s="93"/>
      <c r="G56" s="104">
        <v>22045</v>
      </c>
      <c r="H56" s="8">
        <f t="shared" si="4"/>
        <v>0</v>
      </c>
      <c r="I56" s="178"/>
      <c r="J56" s="20"/>
      <c r="K56" s="24"/>
    </row>
    <row r="57" spans="1:11" s="22" customFormat="1" ht="15" hidden="1" x14ac:dyDescent="0.25">
      <c r="A57" s="152"/>
      <c r="B57" s="112" t="s">
        <v>134</v>
      </c>
      <c r="C57" s="113" t="s">
        <v>3</v>
      </c>
      <c r="D57" s="107"/>
      <c r="E57" s="93"/>
      <c r="F57" s="93"/>
      <c r="G57" s="104">
        <v>50</v>
      </c>
      <c r="H57" s="8">
        <f t="shared" si="4"/>
        <v>0</v>
      </c>
      <c r="I57" s="178"/>
      <c r="J57" s="20"/>
      <c r="K57" s="24"/>
    </row>
    <row r="58" spans="1:11" s="22" customFormat="1" ht="15" hidden="1" x14ac:dyDescent="0.25">
      <c r="A58" s="152"/>
      <c r="B58" s="112" t="s">
        <v>137</v>
      </c>
      <c r="C58" s="113" t="s">
        <v>5</v>
      </c>
      <c r="D58" s="93"/>
      <c r="E58" s="93"/>
      <c r="F58" s="93"/>
      <c r="G58" s="104">
        <v>24</v>
      </c>
      <c r="H58" s="8">
        <f t="shared" si="4"/>
        <v>0</v>
      </c>
      <c r="I58" s="178"/>
      <c r="J58" s="20"/>
      <c r="K58" s="24"/>
    </row>
    <row r="59" spans="1:11" s="50" customFormat="1" hidden="1" x14ac:dyDescent="0.25">
      <c r="A59" s="152"/>
      <c r="B59" s="46" t="s">
        <v>128</v>
      </c>
      <c r="C59" s="47" t="s">
        <v>5</v>
      </c>
      <c r="D59" s="59"/>
      <c r="E59" s="46"/>
      <c r="F59" s="48">
        <f>D59*E59</f>
        <v>0</v>
      </c>
      <c r="G59" s="102"/>
      <c r="H59" s="103"/>
      <c r="I59" s="178"/>
      <c r="J59" s="81"/>
      <c r="K59" s="49"/>
    </row>
    <row r="60" spans="1:11" s="22" customFormat="1" ht="15" hidden="1" x14ac:dyDescent="0.25">
      <c r="A60" s="152"/>
      <c r="B60" s="112" t="s">
        <v>139</v>
      </c>
      <c r="C60" s="113" t="s">
        <v>4</v>
      </c>
      <c r="D60" s="93"/>
      <c r="E60" s="93"/>
      <c r="F60" s="93"/>
      <c r="G60" s="104">
        <v>19475</v>
      </c>
      <c r="H60" s="8">
        <f t="shared" si="4"/>
        <v>0</v>
      </c>
      <c r="I60" s="178"/>
      <c r="J60" s="20"/>
      <c r="K60" s="24"/>
    </row>
    <row r="61" spans="1:11" s="22" customFormat="1" ht="15" hidden="1" x14ac:dyDescent="0.25">
      <c r="A61" s="152"/>
      <c r="B61" s="112" t="s">
        <v>138</v>
      </c>
      <c r="C61" s="113" t="s">
        <v>2</v>
      </c>
      <c r="D61" s="117"/>
      <c r="E61" s="93"/>
      <c r="F61" s="93"/>
      <c r="G61" s="104"/>
      <c r="H61" s="8"/>
      <c r="I61" s="178"/>
      <c r="J61" s="20"/>
      <c r="K61" s="24"/>
    </row>
    <row r="62" spans="1:11" s="50" customFormat="1" ht="28.5" hidden="1" x14ac:dyDescent="0.25">
      <c r="A62" s="152"/>
      <c r="B62" s="46" t="s">
        <v>143</v>
      </c>
      <c r="C62" s="47" t="s">
        <v>2</v>
      </c>
      <c r="D62" s="114"/>
      <c r="E62" s="46"/>
      <c r="F62" s="48">
        <f>D62*E62</f>
        <v>0</v>
      </c>
      <c r="G62" s="102"/>
      <c r="H62" s="103"/>
      <c r="I62" s="178"/>
      <c r="J62" s="81"/>
      <c r="K62" s="49"/>
    </row>
    <row r="63" spans="1:11" s="22" customFormat="1" ht="15" hidden="1" x14ac:dyDescent="0.25">
      <c r="A63" s="152"/>
      <c r="B63" s="112" t="s">
        <v>144</v>
      </c>
      <c r="C63" s="113" t="s">
        <v>2</v>
      </c>
      <c r="D63" s="93">
        <f>ROUND(D62*1,2)</f>
        <v>0</v>
      </c>
      <c r="E63" s="93"/>
      <c r="F63" s="93"/>
      <c r="G63" s="104">
        <v>1215</v>
      </c>
      <c r="H63" s="8">
        <f>ROUND(D63*G63,2)</f>
        <v>0</v>
      </c>
      <c r="I63" s="178"/>
      <c r="J63" s="20"/>
      <c r="K63" s="24"/>
    </row>
    <row r="64" spans="1:11" s="22" customFormat="1" ht="15" hidden="1" x14ac:dyDescent="0.25">
      <c r="A64" s="152"/>
      <c r="B64" s="112" t="s">
        <v>138</v>
      </c>
      <c r="C64" s="113" t="s">
        <v>2</v>
      </c>
      <c r="D64" s="117">
        <f>D62*0.11</f>
        <v>0</v>
      </c>
      <c r="E64" s="93"/>
      <c r="F64" s="93"/>
      <c r="G64" s="104"/>
      <c r="H64" s="8"/>
      <c r="I64" s="178"/>
      <c r="J64" s="20"/>
      <c r="K64" s="24"/>
    </row>
    <row r="65" spans="1:11" s="50" customFormat="1" hidden="1" x14ac:dyDescent="0.25">
      <c r="A65" s="152"/>
      <c r="B65" s="46" t="s">
        <v>129</v>
      </c>
      <c r="C65" s="47" t="s">
        <v>2</v>
      </c>
      <c r="D65" s="114">
        <f>D51+D61+D64</f>
        <v>0</v>
      </c>
      <c r="E65" s="46"/>
      <c r="F65" s="48">
        <f>D65*E65</f>
        <v>0</v>
      </c>
      <c r="G65" s="102"/>
      <c r="H65" s="103"/>
      <c r="I65" s="178"/>
      <c r="J65" s="81"/>
      <c r="K65" s="49"/>
    </row>
    <row r="66" spans="1:11" s="22" customFormat="1" ht="15" hidden="1" x14ac:dyDescent="0.25">
      <c r="A66" s="152"/>
      <c r="B66" s="112" t="s">
        <v>141</v>
      </c>
      <c r="C66" s="113" t="s">
        <v>3</v>
      </c>
      <c r="D66" s="94">
        <f>ROUND(D65*319,1)</f>
        <v>0</v>
      </c>
      <c r="E66" s="94"/>
      <c r="F66" s="94"/>
      <c r="G66" s="104">
        <v>2.12</v>
      </c>
      <c r="H66" s="69">
        <f t="shared" si="4"/>
        <v>0</v>
      </c>
      <c r="I66" s="178"/>
      <c r="J66" s="20"/>
      <c r="K66" s="24"/>
    </row>
    <row r="67" spans="1:11" s="22" customFormat="1" ht="15" hidden="1" x14ac:dyDescent="0.25">
      <c r="A67" s="153"/>
      <c r="B67" s="112" t="s">
        <v>140</v>
      </c>
      <c r="C67" s="113" t="s">
        <v>3</v>
      </c>
      <c r="D67" s="94">
        <f>ROUND(D65*1.21*1600,1)</f>
        <v>0</v>
      </c>
      <c r="E67" s="94"/>
      <c r="F67" s="94"/>
      <c r="G67" s="104">
        <v>0.39</v>
      </c>
      <c r="H67" s="69">
        <f t="shared" si="4"/>
        <v>0</v>
      </c>
      <c r="I67" s="187"/>
      <c r="J67" s="20"/>
      <c r="K67" s="24"/>
    </row>
    <row r="68" spans="1:11" s="34" customFormat="1" ht="30" hidden="1" x14ac:dyDescent="0.25">
      <c r="A68" s="29">
        <v>2</v>
      </c>
      <c r="B68" s="30" t="s">
        <v>174</v>
      </c>
      <c r="C68" s="29" t="s">
        <v>1</v>
      </c>
      <c r="D68" s="98"/>
      <c r="E68" s="99"/>
      <c r="F68" s="100">
        <f>SUM(F69:F70)</f>
        <v>0</v>
      </c>
      <c r="G68" s="99"/>
      <c r="H68" s="100"/>
      <c r="I68" s="31">
        <f>F68+H68</f>
        <v>0</v>
      </c>
      <c r="J68" s="86"/>
      <c r="K68" s="33"/>
    </row>
    <row r="69" spans="1:11" s="50" customFormat="1" ht="42.75" hidden="1" x14ac:dyDescent="0.25">
      <c r="A69" s="151"/>
      <c r="B69" s="46" t="s">
        <v>164</v>
      </c>
      <c r="C69" s="47" t="s">
        <v>1</v>
      </c>
      <c r="D69" s="114"/>
      <c r="E69" s="46"/>
      <c r="F69" s="48">
        <f t="shared" ref="F69:F70" si="5">D69*E69</f>
        <v>0</v>
      </c>
      <c r="G69" s="102"/>
      <c r="H69" s="103"/>
      <c r="I69" s="186"/>
      <c r="J69" s="81"/>
      <c r="K69" s="49"/>
    </row>
    <row r="70" spans="1:11" s="50" customFormat="1" ht="28.5" hidden="1" x14ac:dyDescent="0.25">
      <c r="A70" s="153"/>
      <c r="B70" s="46" t="s">
        <v>165</v>
      </c>
      <c r="C70" s="47" t="s">
        <v>1</v>
      </c>
      <c r="D70" s="114"/>
      <c r="E70" s="46"/>
      <c r="F70" s="48">
        <f t="shared" si="5"/>
        <v>0</v>
      </c>
      <c r="G70" s="102"/>
      <c r="H70" s="103"/>
      <c r="I70" s="187"/>
      <c r="J70" s="81"/>
      <c r="K70" s="49"/>
    </row>
    <row r="71" spans="1:11" s="34" customFormat="1" ht="30" hidden="1" x14ac:dyDescent="0.25">
      <c r="A71" s="29">
        <v>3</v>
      </c>
      <c r="B71" s="30" t="s">
        <v>142</v>
      </c>
      <c r="C71" s="29" t="s">
        <v>1</v>
      </c>
      <c r="D71" s="98"/>
      <c r="E71" s="99"/>
      <c r="F71" s="100">
        <f>SUM(F72:F90)</f>
        <v>0</v>
      </c>
      <c r="G71" s="99"/>
      <c r="H71" s="100"/>
      <c r="I71" s="31">
        <f>F71+H71</f>
        <v>0</v>
      </c>
      <c r="J71" s="86"/>
      <c r="K71" s="33"/>
    </row>
    <row r="72" spans="1:11" s="50" customFormat="1" ht="28.5" hidden="1" x14ac:dyDescent="0.25">
      <c r="A72" s="151"/>
      <c r="B72" s="46" t="s">
        <v>145</v>
      </c>
      <c r="C72" s="47" t="s">
        <v>2</v>
      </c>
      <c r="D72" s="59"/>
      <c r="E72" s="46"/>
      <c r="F72" s="48">
        <f>D72*E72</f>
        <v>0</v>
      </c>
      <c r="G72" s="102"/>
      <c r="H72" s="103"/>
      <c r="I72" s="186"/>
      <c r="J72" s="81"/>
      <c r="K72" s="49"/>
    </row>
    <row r="73" spans="1:11" s="22" customFormat="1" ht="15" hidden="1" x14ac:dyDescent="0.25">
      <c r="A73" s="152"/>
      <c r="B73" s="112" t="s">
        <v>144</v>
      </c>
      <c r="C73" s="113" t="s">
        <v>2</v>
      </c>
      <c r="D73" s="93"/>
      <c r="E73" s="93"/>
      <c r="F73" s="93"/>
      <c r="G73" s="104">
        <v>1215</v>
      </c>
      <c r="H73" s="8"/>
      <c r="I73" s="178"/>
      <c r="J73" s="20"/>
      <c r="K73" s="24"/>
    </row>
    <row r="74" spans="1:11" s="22" customFormat="1" ht="15" hidden="1" x14ac:dyDescent="0.25">
      <c r="A74" s="152"/>
      <c r="B74" s="112" t="s">
        <v>138</v>
      </c>
      <c r="C74" s="113" t="s">
        <v>2</v>
      </c>
      <c r="D74" s="117"/>
      <c r="E74" s="93"/>
      <c r="F74" s="93"/>
      <c r="G74" s="104"/>
      <c r="H74" s="8"/>
      <c r="I74" s="178"/>
      <c r="J74" s="20"/>
      <c r="K74" s="24"/>
    </row>
    <row r="75" spans="1:11" s="50" customFormat="1" hidden="1" x14ac:dyDescent="0.25">
      <c r="A75" s="152"/>
      <c r="B75" s="46" t="s">
        <v>130</v>
      </c>
      <c r="C75" s="47" t="s">
        <v>3</v>
      </c>
      <c r="D75" s="59"/>
      <c r="E75" s="46"/>
      <c r="F75" s="48">
        <f>D75*E75</f>
        <v>0</v>
      </c>
      <c r="G75" s="102"/>
      <c r="H75" s="103"/>
      <c r="I75" s="178"/>
      <c r="J75" s="81"/>
      <c r="K75" s="49"/>
    </row>
    <row r="76" spans="1:11" s="22" customFormat="1" ht="15" hidden="1" x14ac:dyDescent="0.25">
      <c r="A76" s="152"/>
      <c r="B76" s="112" t="s">
        <v>132</v>
      </c>
      <c r="C76" s="113" t="s">
        <v>1</v>
      </c>
      <c r="D76" s="93"/>
      <c r="E76" s="93"/>
      <c r="F76" s="93"/>
      <c r="G76" s="104">
        <v>34.700000000000003</v>
      </c>
      <c r="H76" s="8"/>
      <c r="I76" s="178"/>
      <c r="J76" s="20"/>
      <c r="K76" s="24"/>
    </row>
    <row r="77" spans="1:11" s="50" customFormat="1" hidden="1" x14ac:dyDescent="0.25">
      <c r="A77" s="152"/>
      <c r="B77" s="46" t="s">
        <v>128</v>
      </c>
      <c r="C77" s="47" t="s">
        <v>5</v>
      </c>
      <c r="D77" s="59"/>
      <c r="E77" s="46"/>
      <c r="F77" s="48">
        <f>D77*E77</f>
        <v>0</v>
      </c>
      <c r="G77" s="102"/>
      <c r="H77" s="103"/>
      <c r="I77" s="178"/>
      <c r="J77" s="81"/>
      <c r="K77" s="49"/>
    </row>
    <row r="78" spans="1:11" s="22" customFormat="1" ht="15" hidden="1" x14ac:dyDescent="0.25">
      <c r="A78" s="152"/>
      <c r="B78" s="112" t="s">
        <v>139</v>
      </c>
      <c r="C78" s="113" t="s">
        <v>4</v>
      </c>
      <c r="D78" s="93"/>
      <c r="E78" s="93"/>
      <c r="F78" s="93"/>
      <c r="G78" s="104">
        <v>19475</v>
      </c>
      <c r="H78" s="8"/>
      <c r="I78" s="178"/>
      <c r="J78" s="20"/>
      <c r="K78" s="24"/>
    </row>
    <row r="79" spans="1:11" s="22" customFormat="1" ht="15" hidden="1" x14ac:dyDescent="0.25">
      <c r="A79" s="152"/>
      <c r="B79" s="112" t="s">
        <v>138</v>
      </c>
      <c r="C79" s="113" t="s">
        <v>2</v>
      </c>
      <c r="D79" s="117"/>
      <c r="E79" s="93"/>
      <c r="F79" s="93"/>
      <c r="G79" s="104"/>
      <c r="H79" s="8"/>
      <c r="I79" s="178"/>
      <c r="J79" s="20"/>
      <c r="K79" s="24"/>
    </row>
    <row r="80" spans="1:11" s="50" customFormat="1" ht="28.5" hidden="1" x14ac:dyDescent="0.25">
      <c r="A80" s="152"/>
      <c r="B80" s="46" t="s">
        <v>146</v>
      </c>
      <c r="C80" s="47" t="s">
        <v>1</v>
      </c>
      <c r="D80" s="114"/>
      <c r="E80" s="46"/>
      <c r="F80" s="48">
        <f>D80*E80</f>
        <v>0</v>
      </c>
      <c r="G80" s="102"/>
      <c r="H80" s="103"/>
      <c r="I80" s="178"/>
      <c r="J80" s="81"/>
      <c r="K80" s="49"/>
    </row>
    <row r="81" spans="1:11" s="22" customFormat="1" ht="15" hidden="1" x14ac:dyDescent="0.25">
      <c r="A81" s="152"/>
      <c r="B81" s="112" t="s">
        <v>131</v>
      </c>
      <c r="C81" s="113" t="s">
        <v>2</v>
      </c>
      <c r="D81" s="117"/>
      <c r="E81" s="93"/>
      <c r="F81" s="93"/>
      <c r="G81" s="104">
        <v>1215</v>
      </c>
      <c r="H81" s="8"/>
      <c r="I81" s="178"/>
      <c r="J81" s="20"/>
      <c r="K81" s="24"/>
    </row>
    <row r="82" spans="1:11" s="22" customFormat="1" ht="15" hidden="1" x14ac:dyDescent="0.25">
      <c r="A82" s="152"/>
      <c r="B82" s="112" t="s">
        <v>138</v>
      </c>
      <c r="C82" s="113" t="s">
        <v>2</v>
      </c>
      <c r="D82" s="117"/>
      <c r="E82" s="93"/>
      <c r="F82" s="93"/>
      <c r="G82" s="104"/>
      <c r="H82" s="8"/>
      <c r="I82" s="178"/>
      <c r="J82" s="20"/>
      <c r="K82" s="24"/>
    </row>
    <row r="83" spans="1:11" s="50" customFormat="1" hidden="1" x14ac:dyDescent="0.25">
      <c r="A83" s="152"/>
      <c r="B83" s="46" t="s">
        <v>130</v>
      </c>
      <c r="C83" s="47" t="s">
        <v>3</v>
      </c>
      <c r="D83" s="59"/>
      <c r="E83" s="46"/>
      <c r="F83" s="48">
        <f>D83*E83</f>
        <v>0</v>
      </c>
      <c r="G83" s="102"/>
      <c r="H83" s="103"/>
      <c r="I83" s="178"/>
      <c r="J83" s="81"/>
      <c r="K83" s="49"/>
    </row>
    <row r="84" spans="1:11" s="22" customFormat="1" ht="15" hidden="1" x14ac:dyDescent="0.25">
      <c r="A84" s="152"/>
      <c r="B84" s="112" t="s">
        <v>132</v>
      </c>
      <c r="C84" s="113" t="s">
        <v>1</v>
      </c>
      <c r="D84" s="117">
        <f>D83/2.9*1.05</f>
        <v>0</v>
      </c>
      <c r="E84" s="93"/>
      <c r="F84" s="93"/>
      <c r="G84" s="104">
        <v>34.700000000000003</v>
      </c>
      <c r="H84" s="8"/>
      <c r="I84" s="178"/>
      <c r="J84" s="20"/>
      <c r="K84" s="24"/>
    </row>
    <row r="85" spans="1:11" s="50" customFormat="1" hidden="1" x14ac:dyDescent="0.25">
      <c r="A85" s="152"/>
      <c r="B85" s="46" t="s">
        <v>128</v>
      </c>
      <c r="C85" s="47" t="s">
        <v>5</v>
      </c>
      <c r="D85" s="59">
        <v>1</v>
      </c>
      <c r="E85" s="46"/>
      <c r="F85" s="48">
        <f>D85*E85</f>
        <v>0</v>
      </c>
      <c r="G85" s="102"/>
      <c r="H85" s="103"/>
      <c r="I85" s="178"/>
      <c r="J85" s="81"/>
      <c r="K85" s="49"/>
    </row>
    <row r="86" spans="1:11" s="22" customFormat="1" ht="15" hidden="1" x14ac:dyDescent="0.25">
      <c r="A86" s="152"/>
      <c r="B86" s="112" t="s">
        <v>139</v>
      </c>
      <c r="C86" s="113" t="s">
        <v>4</v>
      </c>
      <c r="D86" s="93">
        <f>(0.79+0.4)*2*0.00158</f>
        <v>3.7603999999999997E-3</v>
      </c>
      <c r="E86" s="93"/>
      <c r="F86" s="93"/>
      <c r="G86" s="104">
        <v>19475</v>
      </c>
      <c r="H86" s="8"/>
      <c r="I86" s="178"/>
      <c r="J86" s="20"/>
      <c r="K86" s="24"/>
    </row>
    <row r="87" spans="1:11" s="22" customFormat="1" ht="15" hidden="1" x14ac:dyDescent="0.25">
      <c r="A87" s="152"/>
      <c r="B87" s="112" t="s">
        <v>138</v>
      </c>
      <c r="C87" s="113" t="s">
        <v>2</v>
      </c>
      <c r="D87" s="117">
        <f>(0.79)*0.1*0.05</f>
        <v>3.9500000000000013E-3</v>
      </c>
      <c r="E87" s="93"/>
      <c r="F87" s="93"/>
      <c r="G87" s="104"/>
      <c r="H87" s="8"/>
      <c r="I87" s="178"/>
      <c r="J87" s="20"/>
      <c r="K87" s="24"/>
    </row>
    <row r="88" spans="1:11" s="50" customFormat="1" hidden="1" x14ac:dyDescent="0.25">
      <c r="A88" s="152"/>
      <c r="B88" s="46" t="s">
        <v>129</v>
      </c>
      <c r="C88" s="47" t="s">
        <v>2</v>
      </c>
      <c r="D88" s="114"/>
      <c r="E88" s="46"/>
      <c r="F88" s="48">
        <f>D88*E88</f>
        <v>0</v>
      </c>
      <c r="G88" s="102"/>
      <c r="H88" s="103"/>
      <c r="I88" s="178"/>
      <c r="J88" s="81"/>
      <c r="K88" s="49"/>
    </row>
    <row r="89" spans="1:11" s="22" customFormat="1" ht="15" hidden="1" x14ac:dyDescent="0.25">
      <c r="A89" s="152"/>
      <c r="B89" s="112" t="s">
        <v>141</v>
      </c>
      <c r="C89" s="113" t="s">
        <v>3</v>
      </c>
      <c r="D89" s="94">
        <f>ROUND(D88*319,1)</f>
        <v>0</v>
      </c>
      <c r="E89" s="94"/>
      <c r="F89" s="94"/>
      <c r="G89" s="104">
        <v>2.12</v>
      </c>
      <c r="H89" s="69"/>
      <c r="I89" s="178"/>
      <c r="J89" s="20"/>
      <c r="K89" s="24"/>
    </row>
    <row r="90" spans="1:11" s="22" customFormat="1" ht="15" hidden="1" x14ac:dyDescent="0.25">
      <c r="A90" s="153"/>
      <c r="B90" s="112" t="s">
        <v>140</v>
      </c>
      <c r="C90" s="113" t="s">
        <v>3</v>
      </c>
      <c r="D90" s="94">
        <f>ROUND(D88*1.21*1600,1)</f>
        <v>0</v>
      </c>
      <c r="E90" s="94"/>
      <c r="F90" s="94"/>
      <c r="G90" s="104">
        <v>0.39</v>
      </c>
      <c r="H90" s="69"/>
      <c r="I90" s="187"/>
      <c r="J90" s="20"/>
      <c r="K90" s="24"/>
    </row>
    <row r="91" spans="1:11" s="44" customFormat="1" ht="15.75" x14ac:dyDescent="0.25">
      <c r="A91" s="37">
        <v>2</v>
      </c>
      <c r="B91" s="38" t="s">
        <v>228</v>
      </c>
      <c r="C91" s="39" t="s">
        <v>1</v>
      </c>
      <c r="D91" s="40"/>
      <c r="E91" s="41"/>
      <c r="F91" s="42">
        <f>F92+F113+F116+F119+F110</f>
        <v>0</v>
      </c>
      <c r="G91" s="42"/>
      <c r="H91" s="42"/>
      <c r="I91" s="42">
        <f>F91+H91</f>
        <v>0</v>
      </c>
      <c r="J91" s="88"/>
      <c r="K91" s="43"/>
    </row>
    <row r="92" spans="1:11" s="34" customFormat="1" ht="15" x14ac:dyDescent="0.25">
      <c r="A92" s="29">
        <v>1</v>
      </c>
      <c r="B92" s="30" t="s">
        <v>222</v>
      </c>
      <c r="C92" s="29" t="s">
        <v>1</v>
      </c>
      <c r="D92" s="98">
        <f>D93</f>
        <v>55.900000000000006</v>
      </c>
      <c r="E92" s="99"/>
      <c r="F92" s="100">
        <f>SUM(F93:F109)</f>
        <v>0</v>
      </c>
      <c r="G92" s="99"/>
      <c r="H92" s="100"/>
      <c r="I92" s="31"/>
      <c r="J92" s="86"/>
      <c r="K92" s="33"/>
    </row>
    <row r="93" spans="1:11" s="34" customFormat="1" ht="42.75" x14ac:dyDescent="0.25">
      <c r="A93" s="182"/>
      <c r="B93" s="46" t="s">
        <v>210</v>
      </c>
      <c r="C93" s="47" t="s">
        <v>1</v>
      </c>
      <c r="D93" s="59">
        <f>D26</f>
        <v>55.900000000000006</v>
      </c>
      <c r="E93" s="46"/>
      <c r="F93" s="48">
        <f>D93*E93</f>
        <v>0</v>
      </c>
      <c r="G93" s="102"/>
      <c r="H93" s="103"/>
      <c r="I93" s="176"/>
      <c r="J93" s="86"/>
      <c r="K93" s="33"/>
    </row>
    <row r="94" spans="1:11" s="50" customFormat="1" ht="28.5" x14ac:dyDescent="0.25">
      <c r="A94" s="159"/>
      <c r="B94" s="46" t="s">
        <v>211</v>
      </c>
      <c r="C94" s="47" t="s">
        <v>1</v>
      </c>
      <c r="D94" s="59">
        <f>D27</f>
        <v>55.900000000000006</v>
      </c>
      <c r="E94" s="46"/>
      <c r="F94" s="48">
        <f>D94*E94</f>
        <v>0</v>
      </c>
      <c r="G94" s="102"/>
      <c r="H94" s="103"/>
      <c r="I94" s="175"/>
      <c r="J94" s="81"/>
      <c r="K94" s="49"/>
    </row>
    <row r="95" spans="1:11" s="50" customFormat="1" ht="14.25" hidden="1" customHeight="1" x14ac:dyDescent="0.25">
      <c r="A95" s="137"/>
      <c r="B95" s="6" t="s">
        <v>193</v>
      </c>
      <c r="C95" s="108" t="s">
        <v>194</v>
      </c>
      <c r="D95" s="106">
        <f>2.9*D94</f>
        <v>162.11000000000001</v>
      </c>
      <c r="E95" s="6"/>
      <c r="F95" s="15"/>
      <c r="G95" s="15">
        <v>11.94</v>
      </c>
      <c r="H95" s="8">
        <f t="shared" ref="H95:H109" si="6">ROUND(D95*G95,2)</f>
        <v>1935.59</v>
      </c>
      <c r="I95" s="175"/>
      <c r="J95" s="81"/>
      <c r="K95" s="49"/>
    </row>
    <row r="96" spans="1:11" s="50" customFormat="1" ht="14.25" hidden="1" customHeight="1" x14ac:dyDescent="0.25">
      <c r="A96" s="137"/>
      <c r="B96" s="6" t="s">
        <v>195</v>
      </c>
      <c r="C96" s="108" t="s">
        <v>194</v>
      </c>
      <c r="D96" s="106">
        <f>(4.58+4.09)*2+(3.07+4.09)*2+(4.81+2.67)*2+0.96+0.96+3.07*2+(1.31+2.61)*2+(1.5+0.8)*2+(1.74+2.26)*2</f>
        <v>75.11999999999999</v>
      </c>
      <c r="E96" s="6"/>
      <c r="F96" s="15"/>
      <c r="G96" s="15">
        <v>7.15</v>
      </c>
      <c r="H96" s="8">
        <f t="shared" si="6"/>
        <v>537.11</v>
      </c>
      <c r="I96" s="175"/>
      <c r="J96" s="81"/>
      <c r="K96" s="49"/>
    </row>
    <row r="97" spans="1:11" s="50" customFormat="1" ht="14.25" hidden="1" customHeight="1" x14ac:dyDescent="0.25">
      <c r="A97" s="137"/>
      <c r="B97" s="6" t="s">
        <v>196</v>
      </c>
      <c r="C97" s="108" t="s">
        <v>194</v>
      </c>
      <c r="D97" s="106">
        <f>D96</f>
        <v>75.11999999999999</v>
      </c>
      <c r="E97" s="6"/>
      <c r="F97" s="15"/>
      <c r="G97" s="15">
        <v>0.84</v>
      </c>
      <c r="H97" s="8">
        <f t="shared" si="6"/>
        <v>63.1</v>
      </c>
      <c r="I97" s="175"/>
      <c r="J97" s="81"/>
      <c r="K97" s="49"/>
    </row>
    <row r="98" spans="1:11" s="50" customFormat="1" ht="14.25" hidden="1" customHeight="1" x14ac:dyDescent="0.25">
      <c r="A98" s="137"/>
      <c r="B98" s="6" t="s">
        <v>197</v>
      </c>
      <c r="C98" s="108" t="s">
        <v>5</v>
      </c>
      <c r="D98" s="136">
        <f>ROUND(D94*1.7,0)</f>
        <v>95</v>
      </c>
      <c r="E98" s="6"/>
      <c r="F98" s="15"/>
      <c r="G98" s="15">
        <v>3.83</v>
      </c>
      <c r="H98" s="8">
        <f t="shared" si="6"/>
        <v>363.85</v>
      </c>
      <c r="I98" s="175"/>
      <c r="J98" s="81"/>
      <c r="K98" s="49"/>
    </row>
    <row r="99" spans="1:11" s="50" customFormat="1" ht="14.25" hidden="1" customHeight="1" x14ac:dyDescent="0.25">
      <c r="A99" s="137"/>
      <c r="B99" s="6" t="s">
        <v>198</v>
      </c>
      <c r="C99" s="108" t="s">
        <v>5</v>
      </c>
      <c r="D99" s="136">
        <f>ROUND(0.2*D94,0)</f>
        <v>11</v>
      </c>
      <c r="E99" s="6"/>
      <c r="F99" s="15"/>
      <c r="G99" s="15">
        <v>1.6</v>
      </c>
      <c r="H99" s="8">
        <f t="shared" si="6"/>
        <v>17.600000000000001</v>
      </c>
      <c r="I99" s="175"/>
      <c r="J99" s="81"/>
      <c r="K99" s="49"/>
    </row>
    <row r="100" spans="1:11" s="50" customFormat="1" ht="14.25" hidden="1" customHeight="1" x14ac:dyDescent="0.25">
      <c r="A100" s="137"/>
      <c r="B100" s="6" t="s">
        <v>199</v>
      </c>
      <c r="C100" s="108" t="s">
        <v>5</v>
      </c>
      <c r="D100" s="136">
        <f>ROUND(D94*0.7,0)</f>
        <v>39</v>
      </c>
      <c r="E100" s="6"/>
      <c r="F100" s="15"/>
      <c r="G100" s="15">
        <v>3.08</v>
      </c>
      <c r="H100" s="8">
        <f t="shared" si="6"/>
        <v>120.12</v>
      </c>
      <c r="I100" s="175"/>
      <c r="J100" s="81"/>
      <c r="K100" s="49"/>
    </row>
    <row r="101" spans="1:11" s="50" customFormat="1" ht="28.5" hidden="1" customHeight="1" x14ac:dyDescent="0.25">
      <c r="A101" s="137"/>
      <c r="B101" s="6" t="s">
        <v>200</v>
      </c>
      <c r="C101" s="108" t="s">
        <v>5</v>
      </c>
      <c r="D101" s="106">
        <f>D100</f>
        <v>39</v>
      </c>
      <c r="E101" s="6"/>
      <c r="F101" s="15"/>
      <c r="G101" s="15">
        <v>0.92</v>
      </c>
      <c r="H101" s="8">
        <f t="shared" si="6"/>
        <v>35.880000000000003</v>
      </c>
      <c r="I101" s="175"/>
      <c r="J101" s="81"/>
      <c r="K101" s="49"/>
    </row>
    <row r="102" spans="1:11" s="50" customFormat="1" ht="14.25" hidden="1" customHeight="1" x14ac:dyDescent="0.25">
      <c r="A102" s="137"/>
      <c r="B102" s="6" t="s">
        <v>201</v>
      </c>
      <c r="C102" s="108" t="s">
        <v>5</v>
      </c>
      <c r="D102" s="136">
        <f>ROUND(D96/0.35,0)</f>
        <v>215</v>
      </c>
      <c r="E102" s="6"/>
      <c r="F102" s="15"/>
      <c r="G102" s="15">
        <v>0.17</v>
      </c>
      <c r="H102" s="8">
        <f t="shared" si="6"/>
        <v>36.549999999999997</v>
      </c>
      <c r="I102" s="175"/>
      <c r="J102" s="81"/>
      <c r="K102" s="49"/>
    </row>
    <row r="103" spans="1:11" s="50" customFormat="1" ht="14.25" hidden="1" customHeight="1" x14ac:dyDescent="0.25">
      <c r="A103" s="137"/>
      <c r="B103" s="6" t="s">
        <v>202</v>
      </c>
      <c r="C103" s="108" t="s">
        <v>5</v>
      </c>
      <c r="D103" s="136">
        <f>ROUND(1.4*D89,0)</f>
        <v>0</v>
      </c>
      <c r="E103" s="6"/>
      <c r="F103" s="15"/>
      <c r="G103" s="15">
        <v>7.0000000000000007E-2</v>
      </c>
      <c r="H103" s="8">
        <f t="shared" si="6"/>
        <v>0</v>
      </c>
      <c r="I103" s="175"/>
      <c r="J103" s="81"/>
      <c r="K103" s="49"/>
    </row>
    <row r="104" spans="1:11" s="50" customFormat="1" ht="14.25" hidden="1" customHeight="1" x14ac:dyDescent="0.25">
      <c r="A104" s="137"/>
      <c r="B104" s="6" t="s">
        <v>203</v>
      </c>
      <c r="C104" s="108" t="s">
        <v>1</v>
      </c>
      <c r="D104" s="106">
        <f>D89*1.05*2</f>
        <v>0</v>
      </c>
      <c r="E104" s="6"/>
      <c r="F104" s="15"/>
      <c r="G104" s="15">
        <v>30.19</v>
      </c>
      <c r="H104" s="8">
        <f t="shared" si="6"/>
        <v>0</v>
      </c>
      <c r="I104" s="175"/>
      <c r="J104" s="81"/>
      <c r="K104" s="49"/>
    </row>
    <row r="105" spans="1:11" s="50" customFormat="1" ht="14.25" hidden="1" customHeight="1" x14ac:dyDescent="0.25">
      <c r="A105" s="137"/>
      <c r="B105" s="6" t="s">
        <v>204</v>
      </c>
      <c r="C105" s="108" t="s">
        <v>5</v>
      </c>
      <c r="D105" s="136">
        <f>ROUND(23*D89,0)</f>
        <v>0</v>
      </c>
      <c r="E105" s="6"/>
      <c r="F105" s="15"/>
      <c r="G105" s="15">
        <v>0.05</v>
      </c>
      <c r="H105" s="8">
        <f t="shared" si="6"/>
        <v>0</v>
      </c>
      <c r="I105" s="175"/>
      <c r="J105" s="81"/>
      <c r="K105" s="49"/>
    </row>
    <row r="106" spans="1:11" s="50" customFormat="1" ht="14.25" hidden="1" customHeight="1" x14ac:dyDescent="0.25">
      <c r="A106" s="137"/>
      <c r="B106" s="6" t="s">
        <v>205</v>
      </c>
      <c r="C106" s="108" t="s">
        <v>5</v>
      </c>
      <c r="D106" s="136">
        <f>D105</f>
        <v>0</v>
      </c>
      <c r="E106" s="6"/>
      <c r="F106" s="15"/>
      <c r="G106" s="15">
        <v>0.1</v>
      </c>
      <c r="H106" s="8">
        <f t="shared" si="6"/>
        <v>0</v>
      </c>
      <c r="I106" s="175"/>
      <c r="J106" s="81"/>
      <c r="K106" s="49"/>
    </row>
    <row r="107" spans="1:11" s="50" customFormat="1" ht="14.25" hidden="1" customHeight="1" x14ac:dyDescent="0.25">
      <c r="A107" s="137"/>
      <c r="B107" s="6" t="s">
        <v>206</v>
      </c>
      <c r="C107" s="108" t="s">
        <v>3</v>
      </c>
      <c r="D107" s="106">
        <f>0.4*D89</f>
        <v>0</v>
      </c>
      <c r="E107" s="6"/>
      <c r="F107" s="15"/>
      <c r="G107" s="15">
        <v>3.8</v>
      </c>
      <c r="H107" s="8">
        <f t="shared" si="6"/>
        <v>0</v>
      </c>
      <c r="I107" s="175"/>
      <c r="J107" s="81"/>
      <c r="K107" s="49"/>
    </row>
    <row r="108" spans="1:11" s="50" customFormat="1" ht="14.25" hidden="1" customHeight="1" x14ac:dyDescent="0.25">
      <c r="A108" s="137"/>
      <c r="B108" s="6" t="s">
        <v>207</v>
      </c>
      <c r="C108" s="108" t="s">
        <v>6</v>
      </c>
      <c r="D108" s="106">
        <f>1.2*D89</f>
        <v>0</v>
      </c>
      <c r="E108" s="6"/>
      <c r="F108" s="15"/>
      <c r="G108" s="15">
        <v>0.62</v>
      </c>
      <c r="H108" s="8">
        <f t="shared" si="6"/>
        <v>0</v>
      </c>
      <c r="I108" s="175"/>
      <c r="J108" s="81"/>
      <c r="K108" s="49"/>
    </row>
    <row r="109" spans="1:11" s="50" customFormat="1" ht="14.25" hidden="1" customHeight="1" x14ac:dyDescent="0.25">
      <c r="A109" s="137"/>
      <c r="B109" s="6" t="s">
        <v>208</v>
      </c>
      <c r="C109" s="108" t="s">
        <v>7</v>
      </c>
      <c r="D109" s="106">
        <f>D89*0.1</f>
        <v>0</v>
      </c>
      <c r="E109" s="6"/>
      <c r="F109" s="15"/>
      <c r="G109" s="15">
        <v>11.79</v>
      </c>
      <c r="H109" s="8">
        <f t="shared" si="6"/>
        <v>0</v>
      </c>
      <c r="I109" s="175"/>
      <c r="J109" s="81"/>
      <c r="K109" s="49"/>
    </row>
    <row r="110" spans="1:11" s="34" customFormat="1" ht="15" x14ac:dyDescent="0.25">
      <c r="A110" s="29">
        <v>2</v>
      </c>
      <c r="B110" s="30" t="s">
        <v>238</v>
      </c>
      <c r="C110" s="29" t="s">
        <v>1</v>
      </c>
      <c r="D110" s="98">
        <f>D111</f>
        <v>156.39999999999992</v>
      </c>
      <c r="E110" s="99"/>
      <c r="F110" s="100">
        <f>SUM(F111:F112)</f>
        <v>0</v>
      </c>
      <c r="G110" s="99"/>
      <c r="H110" s="100"/>
      <c r="I110" s="175"/>
      <c r="J110" s="86"/>
      <c r="K110" s="33"/>
    </row>
    <row r="111" spans="1:11" s="50" customFormat="1" x14ac:dyDescent="0.25">
      <c r="A111" s="161"/>
      <c r="B111" s="46" t="s">
        <v>229</v>
      </c>
      <c r="C111" s="47" t="s">
        <v>1</v>
      </c>
      <c r="D111" s="59">
        <f>D21</f>
        <v>156.39999999999992</v>
      </c>
      <c r="E111" s="46"/>
      <c r="F111" s="48">
        <f>D111*E111</f>
        <v>0</v>
      </c>
      <c r="G111" s="102"/>
      <c r="H111" s="103"/>
      <c r="I111" s="175"/>
      <c r="J111" s="81"/>
      <c r="K111" s="49"/>
    </row>
    <row r="112" spans="1:11" s="50" customFormat="1" ht="28.5" hidden="1" x14ac:dyDescent="0.25">
      <c r="A112" s="162"/>
      <c r="B112" s="46" t="s">
        <v>216</v>
      </c>
      <c r="C112" s="47" t="s">
        <v>1</v>
      </c>
      <c r="D112" s="59"/>
      <c r="E112" s="46"/>
      <c r="F112" s="48">
        <f>D112*E112</f>
        <v>0</v>
      </c>
      <c r="G112" s="102"/>
      <c r="H112" s="103"/>
      <c r="I112" s="175"/>
      <c r="J112" s="81"/>
      <c r="K112" s="49"/>
    </row>
    <row r="113" spans="1:11" s="34" customFormat="1" ht="15" x14ac:dyDescent="0.25">
      <c r="A113" s="29">
        <v>2</v>
      </c>
      <c r="B113" s="30" t="s">
        <v>237</v>
      </c>
      <c r="C113" s="29" t="s">
        <v>1</v>
      </c>
      <c r="D113" s="98">
        <f>D114</f>
        <v>25.599999999999998</v>
      </c>
      <c r="E113" s="99"/>
      <c r="F113" s="100">
        <f>SUM(F114:F115)</f>
        <v>0</v>
      </c>
      <c r="G113" s="99"/>
      <c r="H113" s="100"/>
      <c r="I113" s="175"/>
      <c r="J113" s="86"/>
      <c r="K113" s="33"/>
    </row>
    <row r="114" spans="1:11" s="50" customFormat="1" ht="28.5" x14ac:dyDescent="0.25">
      <c r="A114" s="161"/>
      <c r="B114" s="46" t="s">
        <v>213</v>
      </c>
      <c r="C114" s="47" t="s">
        <v>1</v>
      </c>
      <c r="D114" s="59">
        <f>(3+3.1+0.3)*4</f>
        <v>25.599999999999998</v>
      </c>
      <c r="E114" s="46"/>
      <c r="F114" s="48">
        <f>D114*E114</f>
        <v>0</v>
      </c>
      <c r="G114" s="102"/>
      <c r="H114" s="103"/>
      <c r="I114" s="175"/>
      <c r="J114" s="81"/>
      <c r="K114" s="49"/>
    </row>
    <row r="115" spans="1:11" s="50" customFormat="1" ht="28.5" hidden="1" x14ac:dyDescent="0.25">
      <c r="A115" s="162"/>
      <c r="B115" s="46" t="s">
        <v>216</v>
      </c>
      <c r="C115" s="47" t="s">
        <v>1</v>
      </c>
      <c r="D115" s="59"/>
      <c r="E115" s="46"/>
      <c r="F115" s="48">
        <f>D115*E115</f>
        <v>0</v>
      </c>
      <c r="G115" s="102"/>
      <c r="H115" s="103"/>
      <c r="I115" s="175"/>
      <c r="J115" s="81"/>
      <c r="K115" s="49"/>
    </row>
    <row r="116" spans="1:11" s="34" customFormat="1" ht="15" x14ac:dyDescent="0.25">
      <c r="A116" s="29">
        <v>3</v>
      </c>
      <c r="B116" s="30" t="s">
        <v>236</v>
      </c>
      <c r="C116" s="29" t="s">
        <v>1</v>
      </c>
      <c r="D116" s="98">
        <f>D117</f>
        <v>51.331999999999994</v>
      </c>
      <c r="E116" s="99"/>
      <c r="F116" s="100">
        <f>SUM(F117:F118)</f>
        <v>0</v>
      </c>
      <c r="G116" s="99"/>
      <c r="H116" s="100"/>
      <c r="I116" s="175"/>
      <c r="J116" s="86"/>
      <c r="K116" s="33"/>
    </row>
    <row r="117" spans="1:11" s="50" customFormat="1" ht="28.5" x14ac:dyDescent="0.25">
      <c r="A117" s="161"/>
      <c r="B117" s="46" t="s">
        <v>212</v>
      </c>
      <c r="C117" s="47" t="s">
        <v>1</v>
      </c>
      <c r="D117" s="59">
        <f>(4.8+1.56+0.72+4.09+1+1.56)*4-1.56*2.3</f>
        <v>51.331999999999994</v>
      </c>
      <c r="E117" s="46"/>
      <c r="F117" s="48">
        <f>D117*E117</f>
        <v>0</v>
      </c>
      <c r="G117" s="102"/>
      <c r="H117" s="103"/>
      <c r="I117" s="175"/>
      <c r="J117" s="81"/>
      <c r="K117" s="49"/>
    </row>
    <row r="118" spans="1:11" s="50" customFormat="1" ht="28.5" x14ac:dyDescent="0.25">
      <c r="A118" s="162"/>
      <c r="B118" s="46" t="s">
        <v>216</v>
      </c>
      <c r="C118" s="47" t="s">
        <v>1</v>
      </c>
      <c r="D118" s="59">
        <f>D117</f>
        <v>51.331999999999994</v>
      </c>
      <c r="E118" s="46"/>
      <c r="F118" s="48">
        <f>D118*E118</f>
        <v>0</v>
      </c>
      <c r="G118" s="102"/>
      <c r="H118" s="103"/>
      <c r="I118" s="175"/>
      <c r="J118" s="81"/>
      <c r="K118" s="49"/>
    </row>
    <row r="119" spans="1:11" s="34" customFormat="1" ht="15" x14ac:dyDescent="0.25">
      <c r="A119" s="29">
        <v>4</v>
      </c>
      <c r="B119" s="30" t="s">
        <v>215</v>
      </c>
      <c r="C119" s="29" t="s">
        <v>1</v>
      </c>
      <c r="D119" s="98">
        <f>D120</f>
        <v>28.159999999999997</v>
      </c>
      <c r="E119" s="99"/>
      <c r="F119" s="100">
        <f>SUM(F120)</f>
        <v>0</v>
      </c>
      <c r="G119" s="99"/>
      <c r="H119" s="100"/>
      <c r="I119" s="175"/>
      <c r="J119" s="86"/>
      <c r="K119" s="33"/>
    </row>
    <row r="120" spans="1:11" s="50" customFormat="1" x14ac:dyDescent="0.25">
      <c r="A120" s="137"/>
      <c r="B120" s="46" t="s">
        <v>214</v>
      </c>
      <c r="C120" s="47" t="s">
        <v>6</v>
      </c>
      <c r="D120" s="114">
        <f>D24</f>
        <v>28.159999999999997</v>
      </c>
      <c r="E120" s="46"/>
      <c r="F120" s="48">
        <f>D120*E120</f>
        <v>0</v>
      </c>
      <c r="G120" s="102"/>
      <c r="H120" s="103"/>
      <c r="I120" s="175"/>
      <c r="J120" s="81"/>
      <c r="K120" s="49"/>
    </row>
    <row r="121" spans="1:11" s="44" customFormat="1" ht="15.75" x14ac:dyDescent="0.25">
      <c r="A121" s="37">
        <v>3</v>
      </c>
      <c r="B121" s="38" t="s">
        <v>227</v>
      </c>
      <c r="C121" s="39" t="s">
        <v>1</v>
      </c>
      <c r="D121" s="40">
        <f>D122</f>
        <v>55.900000000000006</v>
      </c>
      <c r="E121" s="41"/>
      <c r="F121" s="42">
        <f>F122+F129</f>
        <v>0</v>
      </c>
      <c r="G121" s="42"/>
      <c r="H121" s="42"/>
      <c r="I121" s="42">
        <f>F121+H121</f>
        <v>0</v>
      </c>
      <c r="J121" s="88"/>
      <c r="K121" s="43"/>
    </row>
    <row r="122" spans="1:11" s="32" customFormat="1" ht="30" x14ac:dyDescent="0.25">
      <c r="A122" s="29">
        <v>1</v>
      </c>
      <c r="B122" s="30" t="s">
        <v>223</v>
      </c>
      <c r="C122" s="29" t="s">
        <v>1</v>
      </c>
      <c r="D122" s="35">
        <f>D124</f>
        <v>55.900000000000006</v>
      </c>
      <c r="E122" s="30"/>
      <c r="F122" s="31">
        <f>SUM(F123:F128)</f>
        <v>0</v>
      </c>
      <c r="G122" s="30"/>
      <c r="H122" s="31"/>
      <c r="I122" s="31">
        <f>F122+H122</f>
        <v>0</v>
      </c>
      <c r="J122" s="85"/>
    </row>
    <row r="123" spans="1:11" s="51" customFormat="1" hidden="1" x14ac:dyDescent="0.25">
      <c r="A123" s="137"/>
      <c r="B123" s="60" t="s">
        <v>38</v>
      </c>
      <c r="C123" s="61" t="s">
        <v>1</v>
      </c>
      <c r="D123" s="60"/>
      <c r="E123" s="60"/>
      <c r="F123" s="62">
        <f>ROUND(D123*E123,2)</f>
        <v>0</v>
      </c>
      <c r="G123" s="60"/>
      <c r="H123" s="62"/>
      <c r="I123" s="139"/>
      <c r="J123" s="85"/>
      <c r="K123" s="49"/>
    </row>
    <row r="124" spans="1:11" s="51" customFormat="1" x14ac:dyDescent="0.25">
      <c r="A124" s="177"/>
      <c r="B124" s="46" t="s">
        <v>95</v>
      </c>
      <c r="C124" s="47" t="s">
        <v>1</v>
      </c>
      <c r="D124" s="59">
        <f>D93</f>
        <v>55.900000000000006</v>
      </c>
      <c r="E124" s="46"/>
      <c r="F124" s="48">
        <f>ROUND(D124*E124,2)</f>
        <v>0</v>
      </c>
      <c r="G124" s="46"/>
      <c r="H124" s="48"/>
      <c r="I124" s="178"/>
      <c r="J124" s="85"/>
      <c r="K124" s="49"/>
    </row>
    <row r="125" spans="1:11" s="51" customFormat="1" ht="28.5" hidden="1" customHeight="1" x14ac:dyDescent="0.25">
      <c r="A125" s="177"/>
      <c r="B125" s="46" t="s">
        <v>147</v>
      </c>
      <c r="C125" s="47" t="s">
        <v>1</v>
      </c>
      <c r="D125" s="59">
        <f>D124</f>
        <v>55.900000000000006</v>
      </c>
      <c r="E125" s="46"/>
      <c r="F125" s="48">
        <f>ROUND(D125*E125,2)</f>
        <v>0</v>
      </c>
      <c r="G125" s="46"/>
      <c r="H125" s="48"/>
      <c r="I125" s="178"/>
      <c r="J125" s="85"/>
      <c r="K125" s="49"/>
    </row>
    <row r="126" spans="1:11" s="51" customFormat="1" ht="28.5" hidden="1" customHeight="1" x14ac:dyDescent="0.25">
      <c r="A126" s="177"/>
      <c r="B126" s="46" t="s">
        <v>94</v>
      </c>
      <c r="C126" s="47" t="s">
        <v>1</v>
      </c>
      <c r="D126" s="59">
        <v>0</v>
      </c>
      <c r="E126" s="46"/>
      <c r="F126" s="48">
        <f>ROUND(D126*E126,2)</f>
        <v>0</v>
      </c>
      <c r="G126" s="46"/>
      <c r="H126" s="48"/>
      <c r="I126" s="178"/>
      <c r="J126" s="85"/>
      <c r="K126" s="49"/>
    </row>
    <row r="127" spans="1:11" s="51" customFormat="1" ht="14.25" hidden="1" customHeight="1" x14ac:dyDescent="0.25">
      <c r="A127" s="177"/>
      <c r="B127" s="46" t="s">
        <v>95</v>
      </c>
      <c r="C127" s="47" t="s">
        <v>1</v>
      </c>
      <c r="D127" s="59"/>
      <c r="E127" s="46"/>
      <c r="F127" s="48">
        <f>ROUND(D127*E127,2)</f>
        <v>0</v>
      </c>
      <c r="G127" s="46"/>
      <c r="H127" s="48"/>
      <c r="I127" s="178"/>
      <c r="J127" s="85"/>
      <c r="K127" s="49"/>
    </row>
    <row r="128" spans="1:11" s="51" customFormat="1" ht="28.5" x14ac:dyDescent="0.25">
      <c r="A128" s="177"/>
      <c r="B128" s="46" t="s">
        <v>148</v>
      </c>
      <c r="C128" s="47" t="s">
        <v>1</v>
      </c>
      <c r="D128" s="59">
        <f>D124</f>
        <v>55.900000000000006</v>
      </c>
      <c r="E128" s="46"/>
      <c r="F128" s="48">
        <f t="shared" ref="F128" si="7">ROUND(D128*E128,2)</f>
        <v>0</v>
      </c>
      <c r="G128" s="46"/>
      <c r="H128" s="48"/>
      <c r="I128" s="178"/>
      <c r="J128" s="85"/>
      <c r="K128" s="49"/>
    </row>
    <row r="129" spans="1:13" s="32" customFormat="1" ht="30" x14ac:dyDescent="0.25">
      <c r="A129" s="29">
        <v>2</v>
      </c>
      <c r="B129" s="30" t="s">
        <v>149</v>
      </c>
      <c r="C129" s="29" t="s">
        <v>1</v>
      </c>
      <c r="D129" s="35">
        <f>D122</f>
        <v>55.900000000000006</v>
      </c>
      <c r="E129" s="30"/>
      <c r="F129" s="31">
        <f>SUM(F130:F130)</f>
        <v>0</v>
      </c>
      <c r="G129" s="30"/>
      <c r="H129" s="31"/>
      <c r="I129" s="31">
        <f>F129+H129</f>
        <v>0</v>
      </c>
      <c r="J129" s="45"/>
    </row>
    <row r="130" spans="1:13" s="51" customFormat="1" x14ac:dyDescent="0.25">
      <c r="A130" s="140"/>
      <c r="B130" s="46" t="s">
        <v>96</v>
      </c>
      <c r="C130" s="47" t="s">
        <v>1</v>
      </c>
      <c r="D130" s="59">
        <f>D129</f>
        <v>55.900000000000006</v>
      </c>
      <c r="E130" s="46"/>
      <c r="F130" s="48">
        <f>ROUND(D130*E130,2)</f>
        <v>0</v>
      </c>
      <c r="G130" s="46"/>
      <c r="H130" s="48"/>
      <c r="I130" s="122"/>
      <c r="J130" s="68"/>
      <c r="K130" s="49"/>
    </row>
    <row r="131" spans="1:13" s="44" customFormat="1" ht="15.75" x14ac:dyDescent="0.25">
      <c r="A131" s="37">
        <v>4</v>
      </c>
      <c r="B131" s="38" t="s">
        <v>226</v>
      </c>
      <c r="C131" s="39" t="s">
        <v>1</v>
      </c>
      <c r="D131" s="40">
        <f>D138</f>
        <v>279.21399999999983</v>
      </c>
      <c r="E131" s="41"/>
      <c r="F131" s="42">
        <f>F138+F160+F167+F144</f>
        <v>0</v>
      </c>
      <c r="G131" s="42"/>
      <c r="H131" s="42"/>
      <c r="I131" s="42">
        <f>F131+H131</f>
        <v>0</v>
      </c>
      <c r="J131" s="88"/>
      <c r="K131" s="43"/>
    </row>
    <row r="132" spans="1:13" s="32" customFormat="1" ht="30" hidden="1" x14ac:dyDescent="0.25">
      <c r="A132" s="29">
        <v>1</v>
      </c>
      <c r="B132" s="30" t="s">
        <v>150</v>
      </c>
      <c r="C132" s="29" t="s">
        <v>1</v>
      </c>
      <c r="D132" s="35">
        <f>SUM(D135:D135)</f>
        <v>0</v>
      </c>
      <c r="E132" s="30"/>
      <c r="F132" s="31">
        <f>SUM(F135:F137)</f>
        <v>0</v>
      </c>
      <c r="G132" s="30"/>
      <c r="H132" s="31"/>
      <c r="I132" s="31">
        <f>F132+H132</f>
        <v>0</v>
      </c>
      <c r="J132" s="67"/>
    </row>
    <row r="133" spans="1:13" s="51" customFormat="1" ht="28.5" hidden="1" x14ac:dyDescent="0.25">
      <c r="A133" s="125"/>
      <c r="B133" s="46" t="s">
        <v>98</v>
      </c>
      <c r="C133" s="47" t="s">
        <v>1</v>
      </c>
      <c r="D133" s="59"/>
      <c r="E133" s="46"/>
      <c r="F133" s="48">
        <f>ROUND(D133*E133,2)</f>
        <v>0</v>
      </c>
      <c r="G133" s="46"/>
      <c r="H133" s="48"/>
      <c r="I133" s="120"/>
      <c r="J133" s="67"/>
      <c r="K133" s="49"/>
    </row>
    <row r="134" spans="1:13" s="51" customFormat="1" ht="15" hidden="1" x14ac:dyDescent="0.25">
      <c r="A134" s="125"/>
      <c r="B134" s="46" t="s">
        <v>151</v>
      </c>
      <c r="C134" s="47" t="s">
        <v>1</v>
      </c>
      <c r="D134" s="59"/>
      <c r="E134" s="46"/>
      <c r="F134" s="48">
        <f>ROUND(D134*E134,2)</f>
        <v>0</v>
      </c>
      <c r="G134" s="46"/>
      <c r="H134" s="48"/>
      <c r="I134" s="120"/>
      <c r="J134" s="67"/>
      <c r="K134" s="49"/>
    </row>
    <row r="135" spans="1:13" s="51" customFormat="1" ht="28.5" hidden="1" x14ac:dyDescent="0.25">
      <c r="A135" s="144"/>
      <c r="B135" s="46" t="s">
        <v>97</v>
      </c>
      <c r="C135" s="47" t="s">
        <v>1</v>
      </c>
      <c r="D135" s="59"/>
      <c r="E135" s="46"/>
      <c r="F135" s="48">
        <f>ROUND(D135*E135,2)</f>
        <v>0</v>
      </c>
      <c r="G135" s="46"/>
      <c r="H135" s="48"/>
      <c r="I135" s="144"/>
      <c r="J135" s="67"/>
      <c r="K135" s="49"/>
    </row>
    <row r="136" spans="1:13" s="54" customFormat="1" hidden="1" x14ac:dyDescent="0.25">
      <c r="A136" s="171"/>
      <c r="B136" s="4" t="s">
        <v>35</v>
      </c>
      <c r="C136" s="124" t="s">
        <v>1</v>
      </c>
      <c r="D136" s="5">
        <f>D132*0.0554</f>
        <v>0</v>
      </c>
      <c r="E136" s="4"/>
      <c r="F136" s="8"/>
      <c r="G136" s="4">
        <v>22</v>
      </c>
      <c r="H136" s="8"/>
      <c r="I136" s="171"/>
      <c r="J136" s="63"/>
      <c r="K136" s="58" t="s">
        <v>36</v>
      </c>
    </row>
    <row r="137" spans="1:13" s="54" customFormat="1" hidden="1" x14ac:dyDescent="0.25">
      <c r="A137" s="171"/>
      <c r="B137" s="4" t="s">
        <v>37</v>
      </c>
      <c r="C137" s="124" t="s">
        <v>3</v>
      </c>
      <c r="D137" s="52">
        <f>D135*0.0255*1200</f>
        <v>0</v>
      </c>
      <c r="E137" s="4"/>
      <c r="F137" s="8"/>
      <c r="G137" s="4">
        <v>0.6</v>
      </c>
      <c r="H137" s="8"/>
      <c r="I137" s="171"/>
      <c r="J137" s="63"/>
      <c r="K137" s="65"/>
    </row>
    <row r="138" spans="1:13" s="32" customFormat="1" ht="45" x14ac:dyDescent="0.25">
      <c r="A138" s="29">
        <v>1</v>
      </c>
      <c r="B138" s="30" t="s">
        <v>235</v>
      </c>
      <c r="C138" s="29" t="s">
        <v>1</v>
      </c>
      <c r="D138" s="35">
        <f>D141-12.29+6.84</f>
        <v>279.21399999999983</v>
      </c>
      <c r="E138" s="30"/>
      <c r="F138" s="31">
        <f>SUM(F139:F143)</f>
        <v>0</v>
      </c>
      <c r="G138" s="30"/>
      <c r="H138" s="31"/>
      <c r="I138" s="31">
        <f>F138+H138</f>
        <v>0</v>
      </c>
      <c r="J138" s="85"/>
    </row>
    <row r="139" spans="1:13" s="51" customFormat="1" ht="14.25" hidden="1" customHeight="1" x14ac:dyDescent="0.25">
      <c r="A139" s="141"/>
      <c r="B139" s="60" t="s">
        <v>38</v>
      </c>
      <c r="C139" s="61" t="s">
        <v>1</v>
      </c>
      <c r="D139" s="60"/>
      <c r="E139" s="60"/>
      <c r="F139" s="62">
        <f t="shared" ref="F139:F140" si="8">ROUND(D139*E139,2)</f>
        <v>0</v>
      </c>
      <c r="G139" s="60"/>
      <c r="H139" s="62"/>
      <c r="I139" s="120"/>
      <c r="J139" s="85"/>
      <c r="K139" s="49"/>
    </row>
    <row r="140" spans="1:13" s="51" customFormat="1" ht="28.5" hidden="1" customHeight="1" x14ac:dyDescent="0.25">
      <c r="A140" s="142"/>
      <c r="B140" s="46" t="s">
        <v>98</v>
      </c>
      <c r="C140" s="47" t="s">
        <v>1</v>
      </c>
      <c r="D140" s="59"/>
      <c r="E140" s="46"/>
      <c r="F140" s="48">
        <f t="shared" si="8"/>
        <v>0</v>
      </c>
      <c r="G140" s="46"/>
      <c r="H140" s="48"/>
      <c r="I140" s="134"/>
      <c r="J140" s="85"/>
      <c r="K140" s="49"/>
    </row>
    <row r="141" spans="1:13" s="51" customFormat="1" ht="15" customHeight="1" x14ac:dyDescent="0.25">
      <c r="A141" s="132"/>
      <c r="B141" s="46" t="s">
        <v>151</v>
      </c>
      <c r="C141" s="47" t="s">
        <v>1</v>
      </c>
      <c r="D141" s="59">
        <f>D110+D113+D116*2</f>
        <v>284.66399999999987</v>
      </c>
      <c r="E141" s="46"/>
      <c r="F141" s="48">
        <f>ROUND(D141*E141,2)</f>
        <v>0</v>
      </c>
      <c r="G141" s="46"/>
      <c r="H141" s="48"/>
      <c r="I141" s="134"/>
      <c r="J141" s="85"/>
      <c r="K141" s="49"/>
    </row>
    <row r="142" spans="1:13" s="51" customFormat="1" ht="15" customHeight="1" x14ac:dyDescent="0.25">
      <c r="A142" s="132"/>
      <c r="B142" s="46" t="s">
        <v>154</v>
      </c>
      <c r="C142" s="47" t="s">
        <v>1</v>
      </c>
      <c r="D142" s="59">
        <f>D138-D143</f>
        <v>150.94999999999985</v>
      </c>
      <c r="E142" s="46"/>
      <c r="F142" s="48">
        <f>ROUND(D142*E142,2)</f>
        <v>0</v>
      </c>
      <c r="G142" s="46"/>
      <c r="H142" s="48"/>
      <c r="I142" s="134"/>
      <c r="J142" s="85"/>
      <c r="K142" s="49"/>
    </row>
    <row r="143" spans="1:13" s="51" customFormat="1" ht="28.5" x14ac:dyDescent="0.25">
      <c r="A143" s="132"/>
      <c r="B143" s="46" t="s">
        <v>152</v>
      </c>
      <c r="C143" s="47" t="s">
        <v>1</v>
      </c>
      <c r="D143" s="59">
        <f>D113+D116*2</f>
        <v>128.26399999999998</v>
      </c>
      <c r="E143" s="46"/>
      <c r="F143" s="48">
        <f>ROUND(D143*E143,2)</f>
        <v>0</v>
      </c>
      <c r="G143" s="46"/>
      <c r="H143" s="48"/>
      <c r="I143" s="134"/>
      <c r="J143" s="85"/>
      <c r="K143" s="49"/>
    </row>
    <row r="144" spans="1:13" s="34" customFormat="1" ht="15" x14ac:dyDescent="0.25">
      <c r="A144" s="29">
        <v>4</v>
      </c>
      <c r="B144" s="30" t="s">
        <v>100</v>
      </c>
      <c r="C144" s="29" t="s">
        <v>1</v>
      </c>
      <c r="D144" s="35">
        <f>D145+D152+D156+D153*0.06</f>
        <v>19.13</v>
      </c>
      <c r="E144" s="30"/>
      <c r="F144" s="31">
        <f>SUM(F145:F159)</f>
        <v>0</v>
      </c>
      <c r="G144" s="30"/>
      <c r="H144" s="31"/>
      <c r="I144" s="31">
        <f>F144+H144</f>
        <v>0</v>
      </c>
      <c r="J144" s="89"/>
      <c r="K144" s="31"/>
      <c r="L144" s="70"/>
      <c r="M144" s="33"/>
    </row>
    <row r="145" spans="1:13" s="51" customFormat="1" ht="42.75" x14ac:dyDescent="0.25">
      <c r="A145" s="163"/>
      <c r="B145" s="46" t="s">
        <v>166</v>
      </c>
      <c r="C145" s="47" t="s">
        <v>1</v>
      </c>
      <c r="D145" s="59">
        <f>12.29+6.84</f>
        <v>19.13</v>
      </c>
      <c r="E145" s="46"/>
      <c r="F145" s="48">
        <f>ROUND(D145*E145,2)</f>
        <v>0</v>
      </c>
      <c r="G145" s="46"/>
      <c r="H145" s="48"/>
      <c r="I145" s="166"/>
      <c r="J145" s="109"/>
      <c r="K145" s="59">
        <f>((2.755*2+1.91*2+0.4+0.45)*2.6-0.8*2.1)+((2.043+3.5+1.01+0.65+0.695+1.375+0.455+0.69)*2.6-1.8*2.6-0.69*2.1)+(1.6*2.6)+(2.23+3.355)*2.6-1*2.1-D153*0.06</f>
        <v>62.326799999999999</v>
      </c>
      <c r="L145" s="75" t="s">
        <v>54</v>
      </c>
    </row>
    <row r="146" spans="1:13" s="54" customFormat="1" ht="28.5" hidden="1" customHeight="1" x14ac:dyDescent="0.25">
      <c r="A146" s="164"/>
      <c r="B146" s="4" t="s">
        <v>101</v>
      </c>
      <c r="C146" s="124" t="s">
        <v>1</v>
      </c>
      <c r="D146" s="5">
        <f>(D145)*1.05</f>
        <v>20.086500000000001</v>
      </c>
      <c r="E146" s="4"/>
      <c r="F146" s="8"/>
      <c r="G146" s="169" t="s">
        <v>77</v>
      </c>
      <c r="H146" s="170"/>
      <c r="I146" s="167"/>
      <c r="J146" s="110"/>
      <c r="K146" s="54" t="s">
        <v>57</v>
      </c>
      <c r="L146" s="64"/>
    </row>
    <row r="147" spans="1:13" s="54" customFormat="1" ht="14.25" hidden="1" customHeight="1" x14ac:dyDescent="0.25">
      <c r="A147" s="164"/>
      <c r="B147" s="4" t="s">
        <v>26</v>
      </c>
      <c r="C147" s="124" t="s">
        <v>3</v>
      </c>
      <c r="D147" s="5">
        <f>D145*3.9</f>
        <v>74.606999999999999</v>
      </c>
      <c r="E147" s="4"/>
      <c r="F147" s="8"/>
      <c r="G147" s="4" t="e">
        <f>#REF!</f>
        <v>#REF!</v>
      </c>
      <c r="H147" s="3" t="e">
        <f>ROUND(D147*G147,2)</f>
        <v>#REF!</v>
      </c>
      <c r="I147" s="167"/>
      <c r="J147" s="110"/>
      <c r="K147" s="3"/>
      <c r="L147" s="64"/>
    </row>
    <row r="148" spans="1:13" s="54" customFormat="1" ht="14.25" hidden="1" customHeight="1" x14ac:dyDescent="0.25">
      <c r="A148" s="164"/>
      <c r="B148" s="4" t="s">
        <v>45</v>
      </c>
      <c r="C148" s="124" t="s">
        <v>3</v>
      </c>
      <c r="D148" s="5">
        <f>0.496*D145</f>
        <v>9.4884799999999991</v>
      </c>
      <c r="E148" s="4"/>
      <c r="F148" s="8"/>
      <c r="G148" s="4" t="e">
        <f>#REF!</f>
        <v>#REF!</v>
      </c>
      <c r="H148" s="3" t="e">
        <f>ROUND(D148*G148,2)</f>
        <v>#REF!</v>
      </c>
      <c r="I148" s="167"/>
      <c r="J148" s="110"/>
      <c r="K148" s="111" t="s">
        <v>55</v>
      </c>
      <c r="L148" s="64"/>
      <c r="M148" s="111"/>
    </row>
    <row r="149" spans="1:13" s="54" customFormat="1" ht="14.25" hidden="1" customHeight="1" x14ac:dyDescent="0.25">
      <c r="A149" s="164"/>
      <c r="B149" s="4" t="s">
        <v>84</v>
      </c>
      <c r="C149" s="124" t="s">
        <v>5</v>
      </c>
      <c r="D149" s="5">
        <f>(D145)*0.0104</f>
        <v>0.19895199999999999</v>
      </c>
      <c r="E149" s="4"/>
      <c r="F149" s="8"/>
      <c r="G149" s="4" t="e">
        <f t="shared" ref="G149" si="9">#REF!</f>
        <v>#REF!</v>
      </c>
      <c r="H149" s="3" t="e">
        <f>ROUND(D149*G149,2)</f>
        <v>#REF!</v>
      </c>
      <c r="I149" s="167"/>
      <c r="J149" s="110"/>
      <c r="K149" s="3"/>
      <c r="L149" s="64"/>
    </row>
    <row r="150" spans="1:13" s="54" customFormat="1" ht="14.25" hidden="1" customHeight="1" x14ac:dyDescent="0.25">
      <c r="A150" s="164"/>
      <c r="B150" s="4" t="s">
        <v>83</v>
      </c>
      <c r="C150" s="124" t="s">
        <v>3</v>
      </c>
      <c r="D150" s="66">
        <f>D145*10.27</f>
        <v>196.46509999999998</v>
      </c>
      <c r="E150" s="4"/>
      <c r="F150" s="8"/>
      <c r="G150" s="4" t="e">
        <f t="shared" ref="G150" si="10">#REF!</f>
        <v>#REF!</v>
      </c>
      <c r="H150" s="3" t="e">
        <f t="shared" ref="H150:H151" si="11">ROUND(D150*G150,2)</f>
        <v>#REF!</v>
      </c>
      <c r="I150" s="167"/>
      <c r="J150" s="110"/>
      <c r="K150" s="3"/>
      <c r="L150" s="64"/>
    </row>
    <row r="151" spans="1:13" s="1" customFormat="1" ht="15" hidden="1" customHeight="1" x14ac:dyDescent="0.25">
      <c r="A151" s="164"/>
      <c r="B151" s="4" t="s">
        <v>71</v>
      </c>
      <c r="C151" s="124" t="s">
        <v>7</v>
      </c>
      <c r="D151" s="5">
        <f>0.15*D145</f>
        <v>2.8694999999999999</v>
      </c>
      <c r="E151" s="4"/>
      <c r="F151" s="8"/>
      <c r="G151" s="4" t="e">
        <f t="shared" ref="G151" si="12">#REF!</f>
        <v>#REF!</v>
      </c>
      <c r="H151" s="3" t="e">
        <f t="shared" si="11"/>
        <v>#REF!</v>
      </c>
      <c r="I151" s="167"/>
      <c r="J151" s="77"/>
      <c r="K151" s="58"/>
    </row>
    <row r="152" spans="1:13" s="51" customFormat="1" ht="57" hidden="1" x14ac:dyDescent="0.25">
      <c r="A152" s="164"/>
      <c r="B152" s="46" t="s">
        <v>158</v>
      </c>
      <c r="C152" s="47" t="s">
        <v>1</v>
      </c>
      <c r="D152" s="59"/>
      <c r="E152" s="46"/>
      <c r="F152" s="48">
        <f t="shared" ref="F152:F159" si="13">ROUND(D152*E152,2)</f>
        <v>0</v>
      </c>
      <c r="G152" s="46"/>
      <c r="H152" s="48"/>
      <c r="I152" s="167"/>
      <c r="J152" s="109"/>
      <c r="K152" s="48"/>
      <c r="L152" s="75" t="s">
        <v>54</v>
      </c>
    </row>
    <row r="153" spans="1:13" s="1" customFormat="1" hidden="1" x14ac:dyDescent="0.25">
      <c r="A153" s="164"/>
      <c r="B153" s="46" t="s">
        <v>167</v>
      </c>
      <c r="C153" s="47" t="s">
        <v>52</v>
      </c>
      <c r="D153" s="59"/>
      <c r="E153" s="46"/>
      <c r="F153" s="48">
        <f t="shared" si="13"/>
        <v>0</v>
      </c>
      <c r="G153" s="46"/>
      <c r="H153" s="48"/>
      <c r="I153" s="167"/>
      <c r="J153" s="77"/>
      <c r="K153" s="58"/>
    </row>
    <row r="154" spans="1:13" s="1" customFormat="1" ht="28.5" x14ac:dyDescent="0.25">
      <c r="A154" s="164"/>
      <c r="B154" s="46" t="s">
        <v>161</v>
      </c>
      <c r="C154" s="47" t="s">
        <v>52</v>
      </c>
      <c r="D154" s="59">
        <v>8</v>
      </c>
      <c r="E154" s="46"/>
      <c r="F154" s="48">
        <f t="shared" si="13"/>
        <v>0</v>
      </c>
      <c r="G154" s="46"/>
      <c r="H154" s="48"/>
      <c r="I154" s="167"/>
      <c r="J154" s="77"/>
      <c r="K154" s="58"/>
    </row>
    <row r="155" spans="1:13" s="1" customFormat="1" ht="28.5" x14ac:dyDescent="0.25">
      <c r="A155" s="164"/>
      <c r="B155" s="46" t="s">
        <v>159</v>
      </c>
      <c r="C155" s="47" t="s">
        <v>1</v>
      </c>
      <c r="D155" s="59">
        <f>D145+D152+D153*0.06</f>
        <v>19.13</v>
      </c>
      <c r="E155" s="46"/>
      <c r="F155" s="48">
        <f t="shared" si="13"/>
        <v>0</v>
      </c>
      <c r="G155" s="46"/>
      <c r="H155" s="48"/>
      <c r="I155" s="167"/>
      <c r="J155" s="77"/>
      <c r="K155" s="58"/>
    </row>
    <row r="156" spans="1:13" s="51" customFormat="1" hidden="1" x14ac:dyDescent="0.25">
      <c r="A156" s="164"/>
      <c r="B156" s="46" t="s">
        <v>157</v>
      </c>
      <c r="C156" s="47" t="s">
        <v>1</v>
      </c>
      <c r="D156" s="59"/>
      <c r="E156" s="46"/>
      <c r="F156" s="48">
        <f t="shared" si="13"/>
        <v>0</v>
      </c>
      <c r="G156" s="46"/>
      <c r="H156" s="48"/>
      <c r="I156" s="167"/>
      <c r="J156" s="109"/>
      <c r="K156" s="48"/>
      <c r="L156" s="75" t="s">
        <v>54</v>
      </c>
    </row>
    <row r="157" spans="1:13" s="1" customFormat="1" ht="42.75" hidden="1" x14ac:dyDescent="0.25">
      <c r="A157" s="164"/>
      <c r="B157" s="46" t="s">
        <v>168</v>
      </c>
      <c r="C157" s="47" t="s">
        <v>1</v>
      </c>
      <c r="D157" s="59"/>
      <c r="E157" s="46"/>
      <c r="F157" s="48">
        <f t="shared" si="13"/>
        <v>0</v>
      </c>
      <c r="G157" s="46"/>
      <c r="H157" s="48"/>
      <c r="I157" s="167"/>
      <c r="J157" s="77"/>
      <c r="K157" s="58"/>
    </row>
    <row r="158" spans="1:13" s="1" customFormat="1" ht="15" hidden="1" customHeight="1" x14ac:dyDescent="0.25">
      <c r="A158" s="164"/>
      <c r="B158" s="46" t="s">
        <v>156</v>
      </c>
      <c r="C158" s="47" t="s">
        <v>52</v>
      </c>
      <c r="D158" s="59"/>
      <c r="E158" s="46"/>
      <c r="F158" s="48">
        <f t="shared" si="13"/>
        <v>0</v>
      </c>
      <c r="G158" s="46"/>
      <c r="H158" s="48"/>
      <c r="I158" s="167"/>
      <c r="J158" s="77"/>
      <c r="K158" s="58"/>
    </row>
    <row r="159" spans="1:13" s="1" customFormat="1" ht="15" customHeight="1" x14ac:dyDescent="0.25">
      <c r="A159" s="165"/>
      <c r="B159" s="46" t="s">
        <v>160</v>
      </c>
      <c r="C159" s="47" t="s">
        <v>5</v>
      </c>
      <c r="D159" s="59">
        <v>8</v>
      </c>
      <c r="E159" s="46"/>
      <c r="F159" s="48">
        <f t="shared" si="13"/>
        <v>0</v>
      </c>
      <c r="G159" s="46"/>
      <c r="H159" s="48"/>
      <c r="I159" s="168"/>
      <c r="J159" s="77"/>
      <c r="K159" s="58"/>
    </row>
    <row r="160" spans="1:13" s="32" customFormat="1" ht="30" x14ac:dyDescent="0.25">
      <c r="A160" s="29">
        <v>2</v>
      </c>
      <c r="B160" s="30" t="s">
        <v>153</v>
      </c>
      <c r="C160" s="29" t="s">
        <v>103</v>
      </c>
      <c r="D160" s="35">
        <f>D164</f>
        <v>28.159999999999997</v>
      </c>
      <c r="E160" s="30"/>
      <c r="F160" s="31">
        <f>SUM(F161:F166)</f>
        <v>0</v>
      </c>
      <c r="G160" s="30"/>
      <c r="H160" s="31"/>
      <c r="I160" s="31">
        <f>F160+H160</f>
        <v>0</v>
      </c>
      <c r="J160" s="85"/>
    </row>
    <row r="161" spans="1:11" s="51" customFormat="1" hidden="1" x14ac:dyDescent="0.25">
      <c r="A161" s="124"/>
      <c r="B161" s="60" t="s">
        <v>38</v>
      </c>
      <c r="C161" s="61" t="s">
        <v>1</v>
      </c>
      <c r="D161" s="60"/>
      <c r="E161" s="60"/>
      <c r="F161" s="62">
        <f t="shared" ref="F161:F165" si="14">ROUND(D161*E161,2)</f>
        <v>0</v>
      </c>
      <c r="G161" s="60"/>
      <c r="H161" s="62"/>
      <c r="I161" s="124"/>
      <c r="J161" s="85"/>
      <c r="K161" s="49"/>
    </row>
    <row r="162" spans="1:11" s="51" customFormat="1" ht="28.5" hidden="1" x14ac:dyDescent="0.25">
      <c r="A162" s="124"/>
      <c r="B162" s="46" t="s">
        <v>98</v>
      </c>
      <c r="C162" s="47" t="s">
        <v>1</v>
      </c>
      <c r="D162" s="59"/>
      <c r="E162" s="46"/>
      <c r="F162" s="48">
        <f t="shared" si="14"/>
        <v>0</v>
      </c>
      <c r="G162" s="46"/>
      <c r="H162" s="48"/>
      <c r="I162" s="124"/>
      <c r="J162" s="85"/>
      <c r="K162" s="49"/>
    </row>
    <row r="163" spans="1:11" s="51" customFormat="1" ht="28.5" hidden="1" x14ac:dyDescent="0.25">
      <c r="A163" s="138"/>
      <c r="B163" s="46" t="s">
        <v>102</v>
      </c>
      <c r="C163" s="47" t="s">
        <v>103</v>
      </c>
      <c r="D163" s="59"/>
      <c r="E163" s="46"/>
      <c r="F163" s="48">
        <f t="shared" si="14"/>
        <v>0</v>
      </c>
      <c r="G163" s="46"/>
      <c r="H163" s="48"/>
      <c r="I163" s="124"/>
      <c r="J163" s="85"/>
      <c r="K163" s="49"/>
    </row>
    <row r="164" spans="1:11" s="51" customFormat="1" x14ac:dyDescent="0.25">
      <c r="A164" s="157"/>
      <c r="B164" s="46" t="s">
        <v>155</v>
      </c>
      <c r="C164" s="47" t="s">
        <v>104</v>
      </c>
      <c r="D164" s="59">
        <f>D120</f>
        <v>28.159999999999997</v>
      </c>
      <c r="E164" s="46"/>
      <c r="F164" s="48">
        <f t="shared" si="14"/>
        <v>0</v>
      </c>
      <c r="G164" s="46"/>
      <c r="H164" s="48"/>
      <c r="I164" s="144"/>
      <c r="J164" s="85"/>
      <c r="K164" s="49"/>
    </row>
    <row r="165" spans="1:11" s="51" customFormat="1" ht="28.5" x14ac:dyDescent="0.25">
      <c r="A165" s="158"/>
      <c r="B165" s="46" t="s">
        <v>217</v>
      </c>
      <c r="C165" s="47" t="s">
        <v>103</v>
      </c>
      <c r="D165" s="59">
        <f>D164+7*4</f>
        <v>56.16</v>
      </c>
      <c r="E165" s="46"/>
      <c r="F165" s="48">
        <f t="shared" si="14"/>
        <v>0</v>
      </c>
      <c r="G165" s="46"/>
      <c r="H165" s="48"/>
      <c r="I165" s="145"/>
      <c r="J165" s="85"/>
      <c r="K165" s="49"/>
    </row>
    <row r="166" spans="1:11" s="51" customFormat="1" ht="14.25" hidden="1" customHeight="1" x14ac:dyDescent="0.25">
      <c r="A166" s="127"/>
      <c r="B166" s="60" t="s">
        <v>38</v>
      </c>
      <c r="C166" s="61" t="s">
        <v>1</v>
      </c>
      <c r="D166" s="60"/>
      <c r="E166" s="60"/>
      <c r="F166" s="62">
        <f>ROUND(D166*E166,2)</f>
        <v>0</v>
      </c>
      <c r="G166" s="60"/>
      <c r="H166" s="62"/>
      <c r="I166" s="127"/>
      <c r="J166" s="85"/>
      <c r="K166" s="49"/>
    </row>
    <row r="167" spans="1:11" s="32" customFormat="1" ht="45" x14ac:dyDescent="0.25">
      <c r="A167" s="29">
        <v>3</v>
      </c>
      <c r="B167" s="30" t="s">
        <v>230</v>
      </c>
      <c r="C167" s="29" t="s">
        <v>1</v>
      </c>
      <c r="D167" s="35">
        <f>D138</f>
        <v>279.21399999999983</v>
      </c>
      <c r="E167" s="30"/>
      <c r="F167" s="31">
        <f>SUM(F168:F169)</f>
        <v>0</v>
      </c>
      <c r="G167" s="30"/>
      <c r="H167" s="31"/>
      <c r="I167" s="31">
        <f>F167+H167</f>
        <v>0</v>
      </c>
      <c r="J167" s="86"/>
    </row>
    <row r="168" spans="1:11" s="51" customFormat="1" x14ac:dyDescent="0.25">
      <c r="A168" s="144"/>
      <c r="B168" s="46" t="s">
        <v>99</v>
      </c>
      <c r="C168" s="47" t="s">
        <v>1</v>
      </c>
      <c r="D168" s="59">
        <f>D167</f>
        <v>279.21399999999983</v>
      </c>
      <c r="E168" s="46"/>
      <c r="F168" s="48">
        <f>ROUND(D168*E168,2)</f>
        <v>0</v>
      </c>
      <c r="G168" s="46"/>
      <c r="H168" s="48"/>
      <c r="I168" s="144"/>
      <c r="J168" s="81"/>
      <c r="K168" s="49"/>
    </row>
    <row r="169" spans="1:11" s="51" customFormat="1" x14ac:dyDescent="0.25">
      <c r="A169" s="145"/>
      <c r="B169" s="46" t="s">
        <v>231</v>
      </c>
      <c r="C169" s="47" t="s">
        <v>6</v>
      </c>
      <c r="D169" s="59">
        <f>D160</f>
        <v>28.159999999999997</v>
      </c>
      <c r="E169" s="46"/>
      <c r="F169" s="48">
        <f>ROUND(D169*E169,2)</f>
        <v>0</v>
      </c>
      <c r="G169" s="46"/>
      <c r="H169" s="48"/>
      <c r="I169" s="145"/>
      <c r="J169" s="81"/>
      <c r="K169" s="49"/>
    </row>
    <row r="170" spans="1:11" s="44" customFormat="1" ht="15.75" x14ac:dyDescent="0.25">
      <c r="A170" s="37">
        <v>5</v>
      </c>
      <c r="B170" s="38" t="s">
        <v>232</v>
      </c>
      <c r="C170" s="39" t="s">
        <v>1</v>
      </c>
      <c r="D170" s="40">
        <f>D28</f>
        <v>55.9</v>
      </c>
      <c r="E170" s="41"/>
      <c r="F170" s="42">
        <f>F171+F173+F195+F219+F228</f>
        <v>0</v>
      </c>
      <c r="G170" s="42"/>
      <c r="H170" s="42"/>
      <c r="I170" s="42">
        <f>F170+H170</f>
        <v>0</v>
      </c>
      <c r="J170" s="88"/>
      <c r="K170" s="43"/>
    </row>
    <row r="171" spans="1:11" s="32" customFormat="1" ht="15" x14ac:dyDescent="0.25">
      <c r="A171" s="29">
        <v>1</v>
      </c>
      <c r="B171" s="118" t="s">
        <v>233</v>
      </c>
      <c r="C171" s="29" t="s">
        <v>1</v>
      </c>
      <c r="D171" s="35">
        <f>D172</f>
        <v>55.9</v>
      </c>
      <c r="E171" s="30"/>
      <c r="F171" s="31">
        <f>SUM(F172:F187)</f>
        <v>0</v>
      </c>
      <c r="G171" s="30"/>
      <c r="H171" s="31"/>
      <c r="I171" s="31">
        <f>F171+H171</f>
        <v>0</v>
      </c>
      <c r="J171" s="86"/>
    </row>
    <row r="172" spans="1:11" s="51" customFormat="1" ht="42.75" x14ac:dyDescent="0.25">
      <c r="A172" s="127"/>
      <c r="B172" s="46" t="s">
        <v>224</v>
      </c>
      <c r="C172" s="47" t="s">
        <v>1</v>
      </c>
      <c r="D172" s="59">
        <f>D170</f>
        <v>55.9</v>
      </c>
      <c r="E172" s="46"/>
      <c r="F172" s="48">
        <f t="shared" ref="F172" si="15">ROUND(D172*E172,2)</f>
        <v>0</v>
      </c>
      <c r="G172" s="60"/>
      <c r="H172" s="62"/>
      <c r="I172" s="127"/>
      <c r="J172" s="83"/>
      <c r="K172" s="49"/>
    </row>
    <row r="173" spans="1:11" s="32" customFormat="1" ht="15" x14ac:dyDescent="0.25">
      <c r="A173" s="29">
        <v>2</v>
      </c>
      <c r="B173" s="118" t="s">
        <v>58</v>
      </c>
      <c r="C173" s="29" t="s">
        <v>1</v>
      </c>
      <c r="D173" s="35">
        <f>SUM(D174:D178)</f>
        <v>4.4000000000000004</v>
      </c>
      <c r="E173" s="30"/>
      <c r="F173" s="31">
        <f>SUM(F174:F189)</f>
        <v>0</v>
      </c>
      <c r="G173" s="30"/>
      <c r="H173" s="31"/>
      <c r="I173" s="31">
        <f>F173+H173</f>
        <v>0</v>
      </c>
      <c r="J173" s="86"/>
    </row>
    <row r="174" spans="1:11" s="50" customFormat="1" ht="30" customHeight="1" x14ac:dyDescent="0.25">
      <c r="A174" s="151"/>
      <c r="B174" s="119" t="s">
        <v>234</v>
      </c>
      <c r="C174" s="47" t="s">
        <v>1</v>
      </c>
      <c r="D174" s="114">
        <v>4.4000000000000004</v>
      </c>
      <c r="E174" s="46"/>
      <c r="F174" s="48">
        <f>D174*E174</f>
        <v>0</v>
      </c>
      <c r="G174" s="46"/>
      <c r="H174" s="48"/>
      <c r="I174" s="172"/>
      <c r="J174" s="81"/>
      <c r="K174" s="49"/>
    </row>
    <row r="175" spans="1:11" s="50" customFormat="1" ht="28.5" hidden="1" x14ac:dyDescent="0.25">
      <c r="A175" s="152"/>
      <c r="B175" s="119" t="s">
        <v>64</v>
      </c>
      <c r="C175" s="47" t="s">
        <v>1</v>
      </c>
      <c r="D175" s="46"/>
      <c r="E175" s="46"/>
      <c r="F175" s="48">
        <f t="shared" ref="F175:F178" si="16">D175*E175</f>
        <v>0</v>
      </c>
      <c r="G175" s="46"/>
      <c r="H175" s="48"/>
      <c r="I175" s="173"/>
      <c r="J175" s="81"/>
      <c r="K175" s="49"/>
    </row>
    <row r="176" spans="1:11" s="50" customFormat="1" ht="28.5" hidden="1" x14ac:dyDescent="0.25">
      <c r="A176" s="152"/>
      <c r="B176" s="46" t="s">
        <v>39</v>
      </c>
      <c r="C176" s="47" t="s">
        <v>1</v>
      </c>
      <c r="D176" s="46"/>
      <c r="E176" s="46"/>
      <c r="F176" s="48">
        <f t="shared" si="16"/>
        <v>0</v>
      </c>
      <c r="G176" s="46"/>
      <c r="H176" s="48"/>
      <c r="I176" s="173"/>
      <c r="J176" s="81"/>
      <c r="K176" s="49"/>
    </row>
    <row r="177" spans="1:11" s="50" customFormat="1" ht="28.5" hidden="1" x14ac:dyDescent="0.25">
      <c r="A177" s="152"/>
      <c r="B177" s="46" t="s">
        <v>40</v>
      </c>
      <c r="C177" s="47" t="s">
        <v>1</v>
      </c>
      <c r="D177" s="46"/>
      <c r="E177" s="46"/>
      <c r="F177" s="48">
        <f t="shared" si="16"/>
        <v>0</v>
      </c>
      <c r="G177" s="46"/>
      <c r="H177" s="48"/>
      <c r="I177" s="173"/>
      <c r="J177" s="81"/>
      <c r="K177" s="49"/>
    </row>
    <row r="178" spans="1:11" s="50" customFormat="1" ht="42.75" hidden="1" x14ac:dyDescent="0.25">
      <c r="A178" s="152"/>
      <c r="B178" s="46" t="s">
        <v>41</v>
      </c>
      <c r="C178" s="47" t="s">
        <v>1</v>
      </c>
      <c r="D178" s="46"/>
      <c r="E178" s="46"/>
      <c r="F178" s="48">
        <f t="shared" si="16"/>
        <v>0</v>
      </c>
      <c r="G178" s="46"/>
      <c r="H178" s="48"/>
      <c r="I178" s="173"/>
      <c r="J178" s="81"/>
      <c r="K178" s="49"/>
    </row>
    <row r="179" spans="1:11" s="51" customFormat="1" ht="30" hidden="1" customHeight="1" x14ac:dyDescent="0.25">
      <c r="A179" s="152"/>
      <c r="B179" s="46" t="s">
        <v>43</v>
      </c>
      <c r="C179" s="47" t="s">
        <v>1</v>
      </c>
      <c r="D179" s="46"/>
      <c r="E179" s="46"/>
      <c r="F179" s="48">
        <f>ROUND(D179*E179,2)</f>
        <v>0</v>
      </c>
      <c r="G179" s="46"/>
      <c r="H179" s="48"/>
      <c r="I179" s="173"/>
      <c r="J179" s="81"/>
      <c r="K179" s="49"/>
    </row>
    <row r="180" spans="1:11" s="54" customFormat="1" ht="15" hidden="1" customHeight="1" x14ac:dyDescent="0.25">
      <c r="A180" s="152"/>
      <c r="B180" s="4" t="s">
        <v>42</v>
      </c>
      <c r="C180" s="10" t="s">
        <v>1</v>
      </c>
      <c r="D180" s="52">
        <f>D179*1.1</f>
        <v>0</v>
      </c>
      <c r="E180" s="4"/>
      <c r="F180" s="8"/>
      <c r="G180" s="69">
        <v>25.5</v>
      </c>
      <c r="H180" s="8">
        <f>ROUND(D180*G180,2)</f>
        <v>0</v>
      </c>
      <c r="I180" s="173"/>
      <c r="J180" s="77"/>
      <c r="K180" s="53" t="s">
        <v>17</v>
      </c>
    </row>
    <row r="181" spans="1:11" s="51" customFormat="1" ht="30" hidden="1" customHeight="1" x14ac:dyDescent="0.25">
      <c r="A181" s="152"/>
      <c r="B181" s="46" t="s">
        <v>18</v>
      </c>
      <c r="C181" s="47" t="s">
        <v>1</v>
      </c>
      <c r="D181" s="46"/>
      <c r="E181" s="46"/>
      <c r="F181" s="48">
        <f>ROUND(D181*E181,2)</f>
        <v>0</v>
      </c>
      <c r="G181" s="46"/>
      <c r="H181" s="48"/>
      <c r="I181" s="173"/>
      <c r="J181" s="81"/>
      <c r="K181" s="55"/>
    </row>
    <row r="182" spans="1:11" s="51" customFormat="1" ht="30" hidden="1" customHeight="1" x14ac:dyDescent="0.25">
      <c r="A182" s="152"/>
      <c r="B182" s="46" t="s">
        <v>19</v>
      </c>
      <c r="C182" s="47" t="s">
        <v>1</v>
      </c>
      <c r="D182" s="46"/>
      <c r="E182" s="46"/>
      <c r="F182" s="48">
        <f>ROUND(D182*E182,2)</f>
        <v>0</v>
      </c>
      <c r="G182" s="46"/>
      <c r="H182" s="48"/>
      <c r="I182" s="173"/>
      <c r="J182" s="81"/>
      <c r="K182" s="55"/>
    </row>
    <row r="183" spans="1:11" s="1" customFormat="1" ht="15" hidden="1" customHeight="1" x14ac:dyDescent="0.25">
      <c r="A183" s="152"/>
      <c r="B183" s="2" t="s">
        <v>20</v>
      </c>
      <c r="C183" s="56" t="s">
        <v>1</v>
      </c>
      <c r="D183" s="57">
        <f>D182*1.05</f>
        <v>0</v>
      </c>
      <c r="E183" s="2"/>
      <c r="F183" s="3"/>
      <c r="G183" s="2">
        <v>37.5</v>
      </c>
      <c r="H183" s="3">
        <f>ROUND(D183*G183,2)</f>
        <v>0</v>
      </c>
      <c r="I183" s="173"/>
      <c r="J183" s="78"/>
      <c r="K183" s="58" t="s">
        <v>21</v>
      </c>
    </row>
    <row r="184" spans="1:11" s="51" customFormat="1" hidden="1" x14ac:dyDescent="0.25">
      <c r="A184" s="152"/>
      <c r="B184" s="2" t="s">
        <v>73</v>
      </c>
      <c r="C184" s="56" t="s">
        <v>6</v>
      </c>
      <c r="D184" s="7">
        <f>D173*1.1</f>
        <v>4.8400000000000007</v>
      </c>
      <c r="E184" s="6"/>
      <c r="F184" s="15"/>
      <c r="G184" s="69">
        <v>1.63</v>
      </c>
      <c r="H184" s="8">
        <f t="shared" ref="H184" si="17">ROUND(D184*G184,2)</f>
        <v>7.89</v>
      </c>
      <c r="I184" s="173"/>
      <c r="J184" s="81"/>
      <c r="K184" s="49" t="s">
        <v>74</v>
      </c>
    </row>
    <row r="185" spans="1:11" s="51" customFormat="1" ht="28.5" x14ac:dyDescent="0.25">
      <c r="A185" s="152"/>
      <c r="B185" s="46" t="s">
        <v>65</v>
      </c>
      <c r="C185" s="47" t="s">
        <v>2</v>
      </c>
      <c r="D185" s="59">
        <f>(D174*0.08+D175*0.06)*1.02</f>
        <v>0.35904000000000003</v>
      </c>
      <c r="E185" s="46"/>
      <c r="F185" s="48">
        <f>ROUND(D185*E185,2)</f>
        <v>0</v>
      </c>
      <c r="G185" s="46"/>
      <c r="H185" s="48"/>
      <c r="I185" s="173"/>
      <c r="J185" s="81"/>
      <c r="K185" s="49"/>
    </row>
    <row r="186" spans="1:11" s="51" customFormat="1" hidden="1" x14ac:dyDescent="0.25">
      <c r="A186" s="152"/>
      <c r="B186" s="2" t="s">
        <v>62</v>
      </c>
      <c r="C186" s="56" t="s">
        <v>4</v>
      </c>
      <c r="D186" s="52">
        <f>D185*0.416</f>
        <v>0.14936064000000002</v>
      </c>
      <c r="E186" s="6"/>
      <c r="F186" s="15"/>
      <c r="G186" s="69">
        <v>1424</v>
      </c>
      <c r="H186" s="8">
        <f t="shared" ref="H186:H188" si="18">ROUND(D186*G186,2)</f>
        <v>212.69</v>
      </c>
      <c r="I186" s="173"/>
      <c r="J186" s="81"/>
      <c r="K186" s="49" t="s">
        <v>59</v>
      </c>
    </row>
    <row r="187" spans="1:11" s="51" customFormat="1" hidden="1" x14ac:dyDescent="0.25">
      <c r="A187" s="152"/>
      <c r="B187" s="4" t="s">
        <v>61</v>
      </c>
      <c r="C187" s="10" t="s">
        <v>4</v>
      </c>
      <c r="D187" s="52">
        <f>D185*1.16*1.65</f>
        <v>0.68720255999999991</v>
      </c>
      <c r="E187" s="6"/>
      <c r="F187" s="15"/>
      <c r="G187" s="69">
        <v>300</v>
      </c>
      <c r="H187" s="8">
        <f t="shared" si="18"/>
        <v>206.16</v>
      </c>
      <c r="I187" s="173"/>
      <c r="J187" s="81"/>
      <c r="K187" s="49" t="s">
        <v>60</v>
      </c>
    </row>
    <row r="188" spans="1:11" s="51" customFormat="1" ht="28.5" hidden="1" x14ac:dyDescent="0.25">
      <c r="A188" s="153"/>
      <c r="B188" s="4" t="s">
        <v>66</v>
      </c>
      <c r="C188" s="10" t="s">
        <v>7</v>
      </c>
      <c r="D188" s="8">
        <f>0.1*D186/0.025</f>
        <v>0.59744256000000007</v>
      </c>
      <c r="E188" s="4"/>
      <c r="F188" s="8"/>
      <c r="G188" s="69">
        <v>52</v>
      </c>
      <c r="H188" s="8">
        <f t="shared" si="18"/>
        <v>31.07</v>
      </c>
      <c r="I188" s="174"/>
      <c r="J188" s="81"/>
      <c r="K188" s="49" t="s">
        <v>63</v>
      </c>
    </row>
    <row r="189" spans="1:11" s="32" customFormat="1" ht="15" hidden="1" x14ac:dyDescent="0.25">
      <c r="A189" s="29">
        <v>3</v>
      </c>
      <c r="B189" s="30" t="s">
        <v>67</v>
      </c>
      <c r="C189" s="29" t="s">
        <v>1</v>
      </c>
      <c r="D189" s="30"/>
      <c r="E189" s="30"/>
      <c r="F189" s="31">
        <f>SUM(F190:F194)</f>
        <v>0</v>
      </c>
      <c r="G189" s="30"/>
      <c r="H189" s="31">
        <f>SUM(H190:H194)</f>
        <v>0</v>
      </c>
      <c r="I189" s="31">
        <f>F189+H189</f>
        <v>0</v>
      </c>
      <c r="J189" s="86"/>
    </row>
    <row r="190" spans="1:11" s="51" customFormat="1" ht="28.5" hidden="1" x14ac:dyDescent="0.25">
      <c r="A190" s="151"/>
      <c r="B190" s="46" t="s">
        <v>70</v>
      </c>
      <c r="C190" s="47" t="s">
        <v>1</v>
      </c>
      <c r="D190" s="59"/>
      <c r="E190" s="46"/>
      <c r="F190" s="48">
        <f>D190*E190</f>
        <v>0</v>
      </c>
      <c r="G190" s="46"/>
      <c r="H190" s="48"/>
      <c r="I190" s="126"/>
      <c r="J190" s="81"/>
      <c r="K190" s="49" t="s">
        <v>69</v>
      </c>
    </row>
    <row r="191" spans="1:11" s="1" customFormat="1" ht="15" hidden="1" customHeight="1" x14ac:dyDescent="0.25">
      <c r="A191" s="152"/>
      <c r="B191" s="4" t="s">
        <v>71</v>
      </c>
      <c r="C191" s="124" t="s">
        <v>7</v>
      </c>
      <c r="D191" s="7">
        <f>0.2*D190</f>
        <v>0</v>
      </c>
      <c r="E191" s="4"/>
      <c r="F191" s="8"/>
      <c r="G191" s="69">
        <v>14.21</v>
      </c>
      <c r="H191" s="8">
        <f t="shared" ref="H191" si="19">ROUND(D191*G191,2)</f>
        <v>0</v>
      </c>
      <c r="I191" s="128"/>
      <c r="J191" s="77"/>
      <c r="K191" s="58" t="s">
        <v>72</v>
      </c>
    </row>
    <row r="192" spans="1:11" s="1" customFormat="1" ht="28.5" hidden="1" x14ac:dyDescent="0.25">
      <c r="A192" s="152"/>
      <c r="B192" s="46" t="s">
        <v>75</v>
      </c>
      <c r="C192" s="47" t="s">
        <v>1</v>
      </c>
      <c r="D192" s="46"/>
      <c r="E192" s="46"/>
      <c r="F192" s="48">
        <f t="shared" ref="F192" si="20">D192*E192</f>
        <v>0</v>
      </c>
      <c r="G192" s="46"/>
      <c r="H192" s="48"/>
      <c r="I192" s="128"/>
      <c r="J192" s="77"/>
      <c r="K192" s="58"/>
    </row>
    <row r="193" spans="1:11" s="51" customFormat="1" ht="28.5" hidden="1" x14ac:dyDescent="0.25">
      <c r="A193" s="152"/>
      <c r="B193" s="2" t="s">
        <v>68</v>
      </c>
      <c r="C193" s="56" t="s">
        <v>3</v>
      </c>
      <c r="D193" s="7">
        <f>D192*1.8*10</f>
        <v>0</v>
      </c>
      <c r="E193" s="6"/>
      <c r="F193" s="15"/>
      <c r="G193" s="69">
        <v>4.55</v>
      </c>
      <c r="H193" s="8">
        <f t="shared" ref="H193:H194" si="21">ROUND(D193*G193,2)</f>
        <v>0</v>
      </c>
      <c r="I193" s="126"/>
      <c r="J193" s="81"/>
      <c r="K193" s="49" t="s">
        <v>69</v>
      </c>
    </row>
    <row r="194" spans="1:11" s="51" customFormat="1" hidden="1" x14ac:dyDescent="0.25">
      <c r="A194" s="153"/>
      <c r="B194" s="2" t="s">
        <v>73</v>
      </c>
      <c r="C194" s="56" t="s">
        <v>6</v>
      </c>
      <c r="D194" s="7">
        <f>D189*1.1</f>
        <v>0</v>
      </c>
      <c r="E194" s="6"/>
      <c r="F194" s="15"/>
      <c r="G194" s="69">
        <v>1.63</v>
      </c>
      <c r="H194" s="8">
        <f t="shared" si="21"/>
        <v>0</v>
      </c>
      <c r="I194" s="126"/>
      <c r="J194" s="81"/>
      <c r="K194" s="49"/>
    </row>
    <row r="195" spans="1:11" s="32" customFormat="1" ht="30" x14ac:dyDescent="0.25">
      <c r="A195" s="29">
        <v>3</v>
      </c>
      <c r="B195" s="36" t="s">
        <v>78</v>
      </c>
      <c r="C195" s="29" t="s">
        <v>1</v>
      </c>
      <c r="D195" s="35">
        <f>D197</f>
        <v>4.4000000000000004</v>
      </c>
      <c r="E195" s="30"/>
      <c r="F195" s="31">
        <f>SUM(F196:F207)</f>
        <v>0</v>
      </c>
      <c r="G195" s="30"/>
      <c r="H195" s="31"/>
      <c r="I195" s="31">
        <f>F195+H195</f>
        <v>0</v>
      </c>
      <c r="J195" s="79"/>
    </row>
    <row r="196" spans="1:11" s="51" customFormat="1" ht="28.5" hidden="1" x14ac:dyDescent="0.25">
      <c r="A196" s="154"/>
      <c r="B196" s="46" t="s">
        <v>79</v>
      </c>
      <c r="C196" s="47" t="s">
        <v>1</v>
      </c>
      <c r="D196" s="59"/>
      <c r="E196" s="46"/>
      <c r="F196" s="48">
        <f t="shared" ref="F196:F199" si="22">ROUND(D196*E196,2)</f>
        <v>0</v>
      </c>
      <c r="G196" s="46"/>
      <c r="H196" s="48"/>
      <c r="I196" s="155"/>
      <c r="J196" s="80"/>
      <c r="K196" s="49"/>
    </row>
    <row r="197" spans="1:11" s="51" customFormat="1" ht="28.5" x14ac:dyDescent="0.25">
      <c r="A197" s="154"/>
      <c r="B197" s="46" t="s">
        <v>80</v>
      </c>
      <c r="C197" s="47" t="s">
        <v>1</v>
      </c>
      <c r="D197" s="59">
        <v>4.4000000000000004</v>
      </c>
      <c r="E197" s="46"/>
      <c r="F197" s="48">
        <f t="shared" si="22"/>
        <v>0</v>
      </c>
      <c r="G197" s="46"/>
      <c r="H197" s="48"/>
      <c r="I197" s="155"/>
      <c r="J197" s="80"/>
      <c r="K197" s="49"/>
    </row>
    <row r="198" spans="1:11" s="51" customFormat="1" ht="42.75" hidden="1" x14ac:dyDescent="0.25">
      <c r="A198" s="154"/>
      <c r="B198" s="46" t="s">
        <v>81</v>
      </c>
      <c r="C198" s="47" t="s">
        <v>1</v>
      </c>
      <c r="D198" s="59"/>
      <c r="E198" s="46"/>
      <c r="F198" s="48">
        <f t="shared" si="22"/>
        <v>0</v>
      </c>
      <c r="G198" s="46"/>
      <c r="H198" s="48"/>
      <c r="I198" s="155"/>
      <c r="J198" s="81"/>
      <c r="K198" s="49"/>
    </row>
    <row r="199" spans="1:11" s="51" customFormat="1" ht="28.5" x14ac:dyDescent="0.25">
      <c r="A199" s="154"/>
      <c r="B199" s="46" t="s">
        <v>159</v>
      </c>
      <c r="C199" s="47" t="s">
        <v>1</v>
      </c>
      <c r="D199" s="59">
        <f>D195</f>
        <v>4.4000000000000004</v>
      </c>
      <c r="E199" s="46"/>
      <c r="F199" s="48">
        <f t="shared" si="22"/>
        <v>0</v>
      </c>
      <c r="G199" s="46"/>
      <c r="H199" s="48"/>
      <c r="I199" s="155"/>
      <c r="J199" s="81"/>
      <c r="K199" s="49"/>
    </row>
    <row r="200" spans="1:11" s="54" customFormat="1" hidden="1" x14ac:dyDescent="0.25">
      <c r="A200" s="154"/>
      <c r="B200" s="4" t="s">
        <v>76</v>
      </c>
      <c r="C200" s="124" t="s">
        <v>1</v>
      </c>
      <c r="D200" s="5">
        <f>(D195)*1.05</f>
        <v>4.620000000000001</v>
      </c>
      <c r="E200" s="4"/>
      <c r="F200" s="8"/>
      <c r="G200" s="156" t="s">
        <v>77</v>
      </c>
      <c r="H200" s="156"/>
      <c r="I200" s="155"/>
      <c r="J200" s="77"/>
      <c r="K200" s="58" t="s">
        <v>56</v>
      </c>
    </row>
    <row r="201" spans="1:11" s="54" customFormat="1" ht="28.5" hidden="1" x14ac:dyDescent="0.25">
      <c r="A201" s="154"/>
      <c r="B201" s="4" t="s">
        <v>44</v>
      </c>
      <c r="C201" s="124" t="s">
        <v>1</v>
      </c>
      <c r="D201" s="5" t="e">
        <f>#REF!*1.05*0</f>
        <v>#REF!</v>
      </c>
      <c r="E201" s="4"/>
      <c r="F201" s="8"/>
      <c r="G201" s="4">
        <v>541.36</v>
      </c>
      <c r="H201" s="3" t="e">
        <f t="shared" ref="H201:H207" si="23">ROUND(D201*G201,2)</f>
        <v>#REF!</v>
      </c>
      <c r="I201" s="155"/>
      <c r="J201" s="77"/>
      <c r="K201" s="58" t="s">
        <v>23</v>
      </c>
    </row>
    <row r="202" spans="1:11" s="54" customFormat="1" ht="15" hidden="1" customHeight="1" x14ac:dyDescent="0.25">
      <c r="A202" s="154"/>
      <c r="B202" s="4" t="s">
        <v>24</v>
      </c>
      <c r="C202" s="124" t="s">
        <v>1</v>
      </c>
      <c r="D202" s="5"/>
      <c r="E202" s="4"/>
      <c r="F202" s="8"/>
      <c r="G202" s="4"/>
      <c r="H202" s="3">
        <f t="shared" si="23"/>
        <v>0</v>
      </c>
      <c r="I202" s="155"/>
      <c r="J202" s="77"/>
      <c r="K202" s="58" t="s">
        <v>25</v>
      </c>
    </row>
    <row r="203" spans="1:11" s="54" customFormat="1" hidden="1" x14ac:dyDescent="0.25">
      <c r="A203" s="154"/>
      <c r="B203" s="4" t="s">
        <v>26</v>
      </c>
      <c r="C203" s="124" t="s">
        <v>3</v>
      </c>
      <c r="D203" s="5">
        <f>(D195)*5.2*1.1</f>
        <v>25.168000000000006</v>
      </c>
      <c r="E203" s="4"/>
      <c r="F203" s="8"/>
      <c r="G203" s="4">
        <v>3.1</v>
      </c>
      <c r="H203" s="3">
        <f t="shared" si="23"/>
        <v>78.02</v>
      </c>
      <c r="I203" s="155"/>
      <c r="J203" s="77"/>
      <c r="K203" s="58" t="s">
        <v>27</v>
      </c>
    </row>
    <row r="204" spans="1:11" s="54" customFormat="1" hidden="1" x14ac:dyDescent="0.25">
      <c r="A204" s="154"/>
      <c r="B204" s="4" t="s">
        <v>45</v>
      </c>
      <c r="C204" s="124" t="s">
        <v>3</v>
      </c>
      <c r="D204" s="5">
        <f>(D195)*0.454</f>
        <v>1.9976000000000003</v>
      </c>
      <c r="E204" s="4"/>
      <c r="F204" s="8"/>
      <c r="G204" s="4">
        <v>25.13</v>
      </c>
      <c r="H204" s="3">
        <f t="shared" si="23"/>
        <v>50.2</v>
      </c>
      <c r="I204" s="155"/>
      <c r="J204" s="77"/>
      <c r="K204" s="58" t="s">
        <v>82</v>
      </c>
    </row>
    <row r="205" spans="1:11" s="54" customFormat="1" hidden="1" x14ac:dyDescent="0.25">
      <c r="A205" s="154"/>
      <c r="B205" s="4" t="s">
        <v>84</v>
      </c>
      <c r="C205" s="124" t="s">
        <v>5</v>
      </c>
      <c r="D205" s="5">
        <f>(D195)*0.0104</f>
        <v>4.5760000000000002E-2</v>
      </c>
      <c r="E205" s="4"/>
      <c r="F205" s="8"/>
      <c r="G205" s="4">
        <v>198</v>
      </c>
      <c r="H205" s="3">
        <f t="shared" si="23"/>
        <v>9.06</v>
      </c>
      <c r="I205" s="155"/>
      <c r="J205" s="77"/>
      <c r="K205" s="58" t="s">
        <v>46</v>
      </c>
    </row>
    <row r="206" spans="1:11" s="54" customFormat="1" hidden="1" x14ac:dyDescent="0.25">
      <c r="A206" s="154"/>
      <c r="B206" s="4" t="s">
        <v>83</v>
      </c>
      <c r="C206" s="124" t="s">
        <v>5</v>
      </c>
      <c r="D206" s="66">
        <f>ROUND((D195)*7.22,0)</f>
        <v>32</v>
      </c>
      <c r="E206" s="4"/>
      <c r="F206" s="8"/>
      <c r="G206" s="4">
        <v>0.1</v>
      </c>
      <c r="H206" s="3">
        <f t="shared" si="23"/>
        <v>3.2</v>
      </c>
      <c r="I206" s="155"/>
      <c r="J206" s="77"/>
      <c r="K206" s="65"/>
    </row>
    <row r="207" spans="1:11" s="1" customFormat="1" ht="15" hidden="1" customHeight="1" x14ac:dyDescent="0.25">
      <c r="A207" s="154"/>
      <c r="B207" s="4" t="s">
        <v>71</v>
      </c>
      <c r="C207" s="124" t="s">
        <v>7</v>
      </c>
      <c r="D207" s="7">
        <f>0.2*D195</f>
        <v>0.88000000000000012</v>
      </c>
      <c r="E207" s="4"/>
      <c r="F207" s="8"/>
      <c r="G207" s="69">
        <v>14.21</v>
      </c>
      <c r="H207" s="8">
        <f t="shared" si="23"/>
        <v>12.5</v>
      </c>
      <c r="I207" s="155"/>
      <c r="J207" s="77"/>
      <c r="K207" s="58" t="s">
        <v>72</v>
      </c>
    </row>
    <row r="208" spans="1:11" s="32" customFormat="1" ht="30" hidden="1" x14ac:dyDescent="0.25">
      <c r="A208" s="29">
        <v>6</v>
      </c>
      <c r="B208" s="36" t="s">
        <v>85</v>
      </c>
      <c r="C208" s="29" t="s">
        <v>6</v>
      </c>
      <c r="D208" s="35">
        <f>SUM(D209:D211)</f>
        <v>0</v>
      </c>
      <c r="E208" s="30"/>
      <c r="F208" s="31">
        <f>SUM(F209:F218)</f>
        <v>0</v>
      </c>
      <c r="G208" s="30"/>
      <c r="H208" s="31">
        <f>SUM(H209:H218)</f>
        <v>0</v>
      </c>
      <c r="I208" s="31"/>
      <c r="J208" s="82"/>
    </row>
    <row r="209" spans="1:11" s="51" customFormat="1" ht="28.5" hidden="1" x14ac:dyDescent="0.25">
      <c r="A209" s="154"/>
      <c r="B209" s="46" t="s">
        <v>33</v>
      </c>
      <c r="C209" s="47" t="s">
        <v>6</v>
      </c>
      <c r="D209" s="59"/>
      <c r="E209" s="46"/>
      <c r="F209" s="48">
        <f>ROUND(D209*E209,2)</f>
        <v>0</v>
      </c>
      <c r="G209" s="46"/>
      <c r="H209" s="48"/>
      <c r="I209" s="155"/>
      <c r="J209" s="83"/>
      <c r="K209" s="49"/>
    </row>
    <row r="210" spans="1:11" s="51" customFormat="1" ht="30" hidden="1" customHeight="1" x14ac:dyDescent="0.25">
      <c r="A210" s="154"/>
      <c r="B210" s="46" t="s">
        <v>34</v>
      </c>
      <c r="C210" s="47" t="s">
        <v>6</v>
      </c>
      <c r="D210" s="59"/>
      <c r="E210" s="46"/>
      <c r="F210" s="48">
        <f>ROUND(D210*E210,2)</f>
        <v>0</v>
      </c>
      <c r="G210" s="46"/>
      <c r="H210" s="48"/>
      <c r="I210" s="155"/>
      <c r="J210" s="83"/>
      <c r="K210" s="49"/>
    </row>
    <row r="211" spans="1:11" s="51" customFormat="1" ht="28.5" hidden="1" x14ac:dyDescent="0.25">
      <c r="A211" s="154"/>
      <c r="B211" s="46" t="s">
        <v>34</v>
      </c>
      <c r="C211" s="47" t="s">
        <v>6</v>
      </c>
      <c r="D211" s="59"/>
      <c r="E211" s="46"/>
      <c r="F211" s="48">
        <f>ROUND(D211*E211,2)</f>
        <v>0</v>
      </c>
      <c r="G211" s="46"/>
      <c r="H211" s="48"/>
      <c r="I211" s="155"/>
      <c r="J211" s="83"/>
      <c r="K211" s="49"/>
    </row>
    <row r="212" spans="1:11" s="51" customFormat="1" ht="30" hidden="1" customHeight="1" x14ac:dyDescent="0.25">
      <c r="A212" s="154"/>
      <c r="B212" s="46" t="s">
        <v>47</v>
      </c>
      <c r="C212" s="47" t="s">
        <v>6</v>
      </c>
      <c r="D212" s="59"/>
      <c r="E212" s="46"/>
      <c r="F212" s="48">
        <f>ROUND(D212*E212,2)</f>
        <v>0</v>
      </c>
      <c r="G212" s="46"/>
      <c r="H212" s="48"/>
      <c r="I212" s="155"/>
      <c r="J212" s="83"/>
      <c r="K212" s="49"/>
    </row>
    <row r="213" spans="1:11" s="54" customFormat="1" hidden="1" x14ac:dyDescent="0.25">
      <c r="A213" s="154"/>
      <c r="B213" s="4" t="s">
        <v>22</v>
      </c>
      <c r="C213" s="124" t="s">
        <v>1</v>
      </c>
      <c r="D213" s="52">
        <f>(D209)*0.104</f>
        <v>0</v>
      </c>
      <c r="E213" s="4"/>
      <c r="F213" s="8"/>
      <c r="G213" s="4">
        <f>G198</f>
        <v>0</v>
      </c>
      <c r="H213" s="3">
        <f t="shared" ref="H213:H218" si="24">ROUND(D213*G213,2)</f>
        <v>0</v>
      </c>
      <c r="I213" s="155"/>
      <c r="J213" s="84"/>
      <c r="K213" s="65"/>
    </row>
    <row r="214" spans="1:11" s="54" customFormat="1" hidden="1" x14ac:dyDescent="0.25">
      <c r="A214" s="154"/>
      <c r="B214" s="4" t="s">
        <v>26</v>
      </c>
      <c r="C214" s="124" t="s">
        <v>3</v>
      </c>
      <c r="D214" s="52">
        <f>(D209+D211)*0.52</f>
        <v>0</v>
      </c>
      <c r="E214" s="4"/>
      <c r="F214" s="8"/>
      <c r="G214" s="4">
        <f>G201</f>
        <v>541.36</v>
      </c>
      <c r="H214" s="3">
        <f t="shared" si="24"/>
        <v>0</v>
      </c>
      <c r="I214" s="155"/>
      <c r="J214" s="84"/>
      <c r="K214" s="65"/>
    </row>
    <row r="215" spans="1:11" s="54" customFormat="1" ht="15" hidden="1" customHeight="1" x14ac:dyDescent="0.25">
      <c r="A215" s="154"/>
      <c r="B215" s="4" t="s">
        <v>28</v>
      </c>
      <c r="C215" s="124" t="s">
        <v>3</v>
      </c>
      <c r="D215" s="5"/>
      <c r="E215" s="4"/>
      <c r="F215" s="8"/>
      <c r="G215" s="4">
        <v>6.03</v>
      </c>
      <c r="H215" s="3">
        <f t="shared" si="24"/>
        <v>0</v>
      </c>
      <c r="I215" s="155"/>
      <c r="J215" s="77"/>
      <c r="K215" s="58" t="s">
        <v>29</v>
      </c>
    </row>
    <row r="216" spans="1:11" s="54" customFormat="1" hidden="1" x14ac:dyDescent="0.25">
      <c r="A216" s="154"/>
      <c r="B216" s="4" t="s">
        <v>45</v>
      </c>
      <c r="C216" s="124" t="s">
        <v>3</v>
      </c>
      <c r="D216" s="52">
        <f>(D208)*0.0456</f>
        <v>0</v>
      </c>
      <c r="E216" s="4"/>
      <c r="F216" s="8"/>
      <c r="G216" s="2">
        <f>G203</f>
        <v>3.1</v>
      </c>
      <c r="H216" s="3">
        <f t="shared" si="24"/>
        <v>0</v>
      </c>
      <c r="I216" s="155"/>
      <c r="J216" s="77"/>
      <c r="K216" s="65" t="s">
        <v>30</v>
      </c>
    </row>
    <row r="217" spans="1:11" s="54" customFormat="1" hidden="1" x14ac:dyDescent="0.25">
      <c r="A217" s="154"/>
      <c r="B217" s="4" t="s">
        <v>31</v>
      </c>
      <c r="C217" s="124" t="s">
        <v>5</v>
      </c>
      <c r="D217" s="52">
        <f>D209*0.00953</f>
        <v>0</v>
      </c>
      <c r="E217" s="4"/>
      <c r="F217" s="8"/>
      <c r="G217" s="2">
        <f>G204</f>
        <v>25.13</v>
      </c>
      <c r="H217" s="3">
        <f t="shared" si="24"/>
        <v>0</v>
      </c>
      <c r="I217" s="155"/>
      <c r="J217" s="84"/>
      <c r="K217" s="65"/>
    </row>
    <row r="218" spans="1:11" s="54" customFormat="1" hidden="1" x14ac:dyDescent="0.25">
      <c r="A218" s="154"/>
      <c r="B218" s="4" t="s">
        <v>32</v>
      </c>
      <c r="C218" s="124" t="s">
        <v>3</v>
      </c>
      <c r="D218" s="52">
        <f>D209*0.02</f>
        <v>0</v>
      </c>
      <c r="E218" s="4"/>
      <c r="F218" s="8"/>
      <c r="G218" s="2">
        <f>G207</f>
        <v>14.21</v>
      </c>
      <c r="H218" s="3">
        <f t="shared" si="24"/>
        <v>0</v>
      </c>
      <c r="I218" s="155"/>
      <c r="J218" s="84"/>
      <c r="K218" s="65"/>
    </row>
    <row r="219" spans="1:11" s="32" customFormat="1" ht="30" x14ac:dyDescent="0.25">
      <c r="A219" s="29">
        <v>4</v>
      </c>
      <c r="B219" s="36" t="s">
        <v>86</v>
      </c>
      <c r="C219" s="29" t="s">
        <v>1</v>
      </c>
      <c r="D219" s="35">
        <f>D171-D195</f>
        <v>51.5</v>
      </c>
      <c r="E219" s="30"/>
      <c r="F219" s="31">
        <f>SUM(F220:F227)</f>
        <v>0</v>
      </c>
      <c r="G219" s="30"/>
      <c r="H219" s="31"/>
      <c r="I219" s="31">
        <f>F219+H219</f>
        <v>0</v>
      </c>
      <c r="J219" s="79"/>
    </row>
    <row r="220" spans="1:11" s="51" customFormat="1" x14ac:dyDescent="0.25">
      <c r="A220" s="154"/>
      <c r="B220" s="46" t="s">
        <v>88</v>
      </c>
      <c r="C220" s="47" t="s">
        <v>1</v>
      </c>
      <c r="D220" s="59">
        <f>D171-D173</f>
        <v>51.5</v>
      </c>
      <c r="E220" s="46"/>
      <c r="F220" s="48">
        <f>ROUND(D220*E220,2)</f>
        <v>0</v>
      </c>
      <c r="G220" s="46"/>
      <c r="H220" s="48"/>
      <c r="I220" s="155"/>
      <c r="J220" s="80"/>
      <c r="K220" s="49"/>
    </row>
    <row r="221" spans="1:11" s="54" customFormat="1" ht="28.5" hidden="1" x14ac:dyDescent="0.25">
      <c r="A221" s="154"/>
      <c r="B221" s="4" t="s">
        <v>90</v>
      </c>
      <c r="C221" s="124" t="s">
        <v>1</v>
      </c>
      <c r="D221" s="5">
        <f>D220*1.05</f>
        <v>54.075000000000003</v>
      </c>
      <c r="E221" s="4"/>
      <c r="F221" s="8"/>
      <c r="G221" s="156" t="s">
        <v>77</v>
      </c>
      <c r="H221" s="156"/>
      <c r="I221" s="155"/>
      <c r="J221" s="84"/>
      <c r="K221" s="65" t="s">
        <v>53</v>
      </c>
    </row>
    <row r="222" spans="1:11" s="54" customFormat="1" ht="14.25" hidden="1" customHeight="1" x14ac:dyDescent="0.25">
      <c r="A222" s="154"/>
      <c r="B222" s="4" t="s">
        <v>48</v>
      </c>
      <c r="C222" s="124" t="s">
        <v>5</v>
      </c>
      <c r="D222" s="66"/>
      <c r="E222" s="4"/>
      <c r="F222" s="8"/>
      <c r="G222" s="2">
        <v>0.23</v>
      </c>
      <c r="H222" s="3">
        <f t="shared" ref="H222:H223" si="25">ROUND(D222*G222,2)</f>
        <v>0</v>
      </c>
      <c r="I222" s="155"/>
      <c r="J222" s="84"/>
      <c r="K222" s="65" t="s">
        <v>50</v>
      </c>
    </row>
    <row r="223" spans="1:11" s="54" customFormat="1" ht="14.25" hidden="1" customHeight="1" x14ac:dyDescent="0.25">
      <c r="A223" s="154"/>
      <c r="B223" s="4" t="s">
        <v>49</v>
      </c>
      <c r="C223" s="124" t="s">
        <v>6</v>
      </c>
      <c r="D223" s="7"/>
      <c r="E223" s="4"/>
      <c r="F223" s="8"/>
      <c r="G223" s="2">
        <v>0.76</v>
      </c>
      <c r="H223" s="3">
        <f t="shared" si="25"/>
        <v>0</v>
      </c>
      <c r="I223" s="155"/>
      <c r="J223" s="84"/>
      <c r="K223" s="65" t="s">
        <v>51</v>
      </c>
    </row>
    <row r="224" spans="1:11" s="51" customFormat="1" ht="28.5" x14ac:dyDescent="0.25">
      <c r="A224" s="154"/>
      <c r="B224" s="46" t="s">
        <v>87</v>
      </c>
      <c r="C224" s="47" t="s">
        <v>52</v>
      </c>
      <c r="D224" s="59">
        <f>D219</f>
        <v>51.5</v>
      </c>
      <c r="E224" s="46"/>
      <c r="F224" s="48">
        <f>ROUND(D224*E224,2)</f>
        <v>0</v>
      </c>
      <c r="G224" s="46"/>
      <c r="H224" s="48"/>
      <c r="I224" s="155"/>
      <c r="J224" s="80"/>
      <c r="K224" s="49"/>
    </row>
    <row r="225" spans="1:11" s="54" customFormat="1" hidden="1" x14ac:dyDescent="0.25">
      <c r="A225" s="154"/>
      <c r="B225" s="4" t="s">
        <v>89</v>
      </c>
      <c r="C225" s="124" t="s">
        <v>1</v>
      </c>
      <c r="D225" s="5">
        <f>D224*1.05</f>
        <v>54.075000000000003</v>
      </c>
      <c r="E225" s="4"/>
      <c r="F225" s="8"/>
      <c r="G225" s="156" t="s">
        <v>77</v>
      </c>
      <c r="H225" s="156"/>
      <c r="I225" s="155"/>
      <c r="J225" s="84"/>
      <c r="K225" s="65"/>
    </row>
    <row r="226" spans="1:11" s="51" customFormat="1" hidden="1" x14ac:dyDescent="0.25">
      <c r="A226" s="154"/>
      <c r="B226" s="46" t="s">
        <v>91</v>
      </c>
      <c r="C226" s="47" t="s">
        <v>52</v>
      </c>
      <c r="D226" s="59"/>
      <c r="E226" s="46"/>
      <c r="F226" s="48">
        <f>ROUND(D226*E226,2)</f>
        <v>0</v>
      </c>
      <c r="G226" s="46"/>
      <c r="H226" s="48"/>
      <c r="I226" s="143"/>
      <c r="J226" s="80"/>
      <c r="K226" s="49"/>
    </row>
    <row r="227" spans="1:11" s="54" customFormat="1" hidden="1" x14ac:dyDescent="0.25">
      <c r="A227" s="154"/>
      <c r="B227" s="4" t="s">
        <v>92</v>
      </c>
      <c r="C227" s="124" t="s">
        <v>5</v>
      </c>
      <c r="D227" s="5">
        <v>1</v>
      </c>
      <c r="E227" s="4"/>
      <c r="F227" s="8"/>
      <c r="G227" s="156" t="s">
        <v>77</v>
      </c>
      <c r="H227" s="156"/>
      <c r="I227" s="143"/>
      <c r="J227" s="84"/>
      <c r="K227" s="65"/>
    </row>
    <row r="228" spans="1:11" s="32" customFormat="1" ht="15" x14ac:dyDescent="0.25">
      <c r="A228" s="29">
        <v>5</v>
      </c>
      <c r="B228" s="36" t="s">
        <v>93</v>
      </c>
      <c r="C228" s="29" t="s">
        <v>52</v>
      </c>
      <c r="D228" s="35"/>
      <c r="E228" s="30"/>
      <c r="F228" s="31">
        <f>SUM(F229)</f>
        <v>0</v>
      </c>
      <c r="G228" s="30"/>
      <c r="H228" s="31"/>
      <c r="I228" s="31">
        <f>F228+H228</f>
        <v>0</v>
      </c>
      <c r="J228" s="79"/>
    </row>
    <row r="229" spans="1:11" s="51" customFormat="1" ht="28.5" x14ac:dyDescent="0.25">
      <c r="A229" s="123"/>
      <c r="B229" s="46" t="s">
        <v>162</v>
      </c>
      <c r="C229" s="47" t="s">
        <v>52</v>
      </c>
      <c r="D229" s="59">
        <f>((2.043+3.5+1.01+0.65+0.695+1.375+0.455+0.69+1.87+1.88+1.065+1.155+0.41+0.855+0.8+0.7+0.4)+(4.98+0.56+1.598+0.16+1.6+4.01+1.71+1.31+0.51)+(0.81+1.31+0.11+1.59+1.2+2.155)+1.59+1.59+1.5+1.5)-0.69-1.88-1.88-0.8-1+0.3+0.3+0.2+0.2</f>
        <v>44.096000000000004</v>
      </c>
      <c r="E229" s="46"/>
      <c r="F229" s="48">
        <f>ROUND(D229*E229,2)</f>
        <v>0</v>
      </c>
      <c r="G229" s="46"/>
      <c r="H229" s="48"/>
      <c r="I229" s="143"/>
      <c r="J229" s="80"/>
      <c r="K229" s="49"/>
    </row>
    <row r="230" spans="1:11" s="44" customFormat="1" ht="15.75" x14ac:dyDescent="0.25">
      <c r="A230" s="37">
        <v>6</v>
      </c>
      <c r="B230" s="38" t="s">
        <v>106</v>
      </c>
      <c r="C230" s="39"/>
      <c r="D230" s="40"/>
      <c r="E230" s="41"/>
      <c r="F230" s="42">
        <f>ROUND(F231+F234+F237+F238+F235,0)</f>
        <v>0</v>
      </c>
      <c r="G230" s="42"/>
      <c r="H230" s="42"/>
      <c r="I230" s="42">
        <f>F230+H230</f>
        <v>0</v>
      </c>
      <c r="J230" s="88"/>
      <c r="K230" s="43"/>
    </row>
    <row r="231" spans="1:11" s="32" customFormat="1" ht="30" x14ac:dyDescent="0.25">
      <c r="A231" s="29">
        <v>1</v>
      </c>
      <c r="B231" s="30" t="s">
        <v>107</v>
      </c>
      <c r="C231" s="29" t="s">
        <v>4</v>
      </c>
      <c r="D231" s="35">
        <f>D232+D233</f>
        <v>23.857520000000001</v>
      </c>
      <c r="E231" s="30"/>
      <c r="F231" s="31">
        <f>F232+F233</f>
        <v>0</v>
      </c>
      <c r="G231" s="30"/>
      <c r="H231" s="31"/>
      <c r="I231" s="31">
        <f t="shared" ref="I231" si="26">F231+H231</f>
        <v>0</v>
      </c>
      <c r="J231" s="85"/>
    </row>
    <row r="232" spans="1:11" s="1" customFormat="1" hidden="1" x14ac:dyDescent="0.25">
      <c r="A232" s="146"/>
      <c r="B232" s="46"/>
      <c r="C232" s="47" t="s">
        <v>4</v>
      </c>
      <c r="D232" s="59"/>
      <c r="E232" s="46"/>
      <c r="F232" s="48">
        <f>ROUND(D232*E232,2)</f>
        <v>0</v>
      </c>
      <c r="G232" s="46"/>
      <c r="H232" s="48"/>
      <c r="I232" s="148"/>
      <c r="J232" s="63"/>
      <c r="K232" s="58"/>
    </row>
    <row r="233" spans="1:11" s="1" customFormat="1" ht="28.5" x14ac:dyDescent="0.25">
      <c r="A233" s="147"/>
      <c r="B233" s="46" t="s">
        <v>189</v>
      </c>
      <c r="C233" s="47" t="s">
        <v>4</v>
      </c>
      <c r="D233" s="59">
        <f>(D22+D30)*0.003+(D20+D27)*0.03*2+D25*0.1*0.9+D31*0.05*2.2+D33*0.017+D21*0.03*2.2+0.3</f>
        <v>23.857520000000001</v>
      </c>
      <c r="E233" s="46"/>
      <c r="F233" s="48">
        <f>ROUND(D233*E233,2)</f>
        <v>0</v>
      </c>
      <c r="G233" s="46"/>
      <c r="H233" s="48"/>
      <c r="I233" s="149"/>
      <c r="J233" s="63"/>
      <c r="K233" s="58"/>
    </row>
    <row r="234" spans="1:11" s="32" customFormat="1" ht="15" x14ac:dyDescent="0.25">
      <c r="A234" s="29">
        <v>2</v>
      </c>
      <c r="B234" s="30" t="s">
        <v>108</v>
      </c>
      <c r="C234" s="29" t="s">
        <v>4</v>
      </c>
      <c r="D234" s="35">
        <f>D231</f>
        <v>23.857520000000001</v>
      </c>
      <c r="E234" s="30"/>
      <c r="F234" s="31">
        <f>D234*E234</f>
        <v>0</v>
      </c>
      <c r="G234" s="30"/>
      <c r="H234" s="31"/>
      <c r="I234" s="31">
        <f>F234+H234</f>
        <v>0</v>
      </c>
      <c r="J234" s="85"/>
    </row>
    <row r="235" spans="1:11" s="32" customFormat="1" ht="15" x14ac:dyDescent="0.25">
      <c r="A235" s="29">
        <v>3</v>
      </c>
      <c r="B235" s="30" t="s">
        <v>109</v>
      </c>
      <c r="C235" s="29" t="s">
        <v>5</v>
      </c>
      <c r="D235" s="91">
        <f>ROUND(D234/0.045,0)</f>
        <v>530</v>
      </c>
      <c r="E235" s="30"/>
      <c r="F235" s="31">
        <f>D235*E235</f>
        <v>0</v>
      </c>
      <c r="G235" s="30"/>
      <c r="H235" s="31"/>
      <c r="I235" s="31">
        <f>F235+H235</f>
        <v>0</v>
      </c>
      <c r="J235" s="85"/>
    </row>
    <row r="236" spans="1:11" s="54" customFormat="1" ht="15" hidden="1" x14ac:dyDescent="0.25">
      <c r="A236" s="92"/>
      <c r="B236" s="4" t="s">
        <v>110</v>
      </c>
      <c r="C236" s="124" t="s">
        <v>5</v>
      </c>
      <c r="D236" s="66">
        <f>D235</f>
        <v>530</v>
      </c>
      <c r="E236" s="4"/>
      <c r="F236" s="8"/>
      <c r="G236" s="4">
        <v>4.2</v>
      </c>
      <c r="H236" s="8">
        <f t="shared" ref="H236" si="27">ROUND(D236*G236,2)</f>
        <v>2226</v>
      </c>
      <c r="I236" s="76"/>
      <c r="J236" s="83"/>
      <c r="K236" s="58" t="s">
        <v>105</v>
      </c>
    </row>
    <row r="237" spans="1:11" s="32" customFormat="1" ht="30" x14ac:dyDescent="0.25">
      <c r="A237" s="29">
        <v>4</v>
      </c>
      <c r="B237" s="30" t="s">
        <v>171</v>
      </c>
      <c r="C237" s="29" t="s">
        <v>111</v>
      </c>
      <c r="D237" s="35">
        <f>D233</f>
        <v>23.857520000000001</v>
      </c>
      <c r="E237" s="30"/>
      <c r="F237" s="31">
        <f>D237*E237</f>
        <v>0</v>
      </c>
      <c r="G237" s="30"/>
      <c r="H237" s="31"/>
      <c r="I237" s="31">
        <f>F237+H237</f>
        <v>0</v>
      </c>
      <c r="J237" s="85"/>
    </row>
    <row r="238" spans="1:11" s="32" customFormat="1" ht="30" hidden="1" x14ac:dyDescent="0.25">
      <c r="A238" s="29">
        <v>5</v>
      </c>
      <c r="B238" s="30" t="s">
        <v>163</v>
      </c>
      <c r="C238" s="29" t="s">
        <v>1</v>
      </c>
      <c r="D238" s="35"/>
      <c r="E238" s="30">
        <v>70</v>
      </c>
      <c r="F238" s="31">
        <f>D238*E238</f>
        <v>0</v>
      </c>
      <c r="G238" s="30"/>
      <c r="H238" s="31"/>
      <c r="I238" s="31">
        <f>F238+H238</f>
        <v>0</v>
      </c>
      <c r="J238" s="85"/>
    </row>
    <row r="239" spans="1:11" s="22" customFormat="1" ht="6" customHeight="1" x14ac:dyDescent="0.25">
      <c r="A239" s="121"/>
      <c r="B239" s="26"/>
      <c r="C239" s="27"/>
      <c r="D239" s="28"/>
      <c r="E239" s="121"/>
      <c r="F239" s="121"/>
      <c r="G239" s="23"/>
      <c r="H239" s="23"/>
      <c r="I239" s="122"/>
      <c r="J239" s="20"/>
      <c r="K239" s="24"/>
    </row>
    <row r="240" spans="1:11" s="11" customFormat="1" ht="16.5" customHeight="1" x14ac:dyDescent="0.25">
      <c r="A240" s="129"/>
      <c r="B240" s="150" t="s">
        <v>172</v>
      </c>
      <c r="C240" s="150"/>
      <c r="D240" s="150"/>
      <c r="E240" s="12"/>
      <c r="F240" s="13">
        <f>F230+F170+F131+F121+F91+F9</f>
        <v>0</v>
      </c>
      <c r="G240" s="13"/>
      <c r="H240" s="13"/>
      <c r="I240" s="130"/>
      <c r="J240" s="90"/>
    </row>
    <row r="241" spans="7:11" s="71" customFormat="1" ht="15" x14ac:dyDescent="0.25">
      <c r="G241" s="72"/>
      <c r="H241" s="72"/>
      <c r="I241" s="72"/>
      <c r="J241" s="20"/>
      <c r="K241" s="73"/>
    </row>
    <row r="242" spans="7:11" s="71" customFormat="1" ht="15" x14ac:dyDescent="0.25">
      <c r="G242" s="72"/>
      <c r="H242" s="72"/>
      <c r="I242" s="72"/>
      <c r="J242" s="20"/>
      <c r="K242" s="73"/>
    </row>
  </sheetData>
  <mergeCells count="60">
    <mergeCell ref="I30:I33"/>
    <mergeCell ref="A2:I2"/>
    <mergeCell ref="A6:A7"/>
    <mergeCell ref="B6:B7"/>
    <mergeCell ref="A1:I1"/>
    <mergeCell ref="B4:I4"/>
    <mergeCell ref="G6:H6"/>
    <mergeCell ref="C6:C7"/>
    <mergeCell ref="D6:D7"/>
    <mergeCell ref="E6:F6"/>
    <mergeCell ref="I6:I7"/>
    <mergeCell ref="I174:I188"/>
    <mergeCell ref="A117:A118"/>
    <mergeCell ref="I93:I120"/>
    <mergeCell ref="A124:A128"/>
    <mergeCell ref="I124:I128"/>
    <mergeCell ref="A93:A94"/>
    <mergeCell ref="A114:A115"/>
    <mergeCell ref="A49:A67"/>
    <mergeCell ref="I49:I67"/>
    <mergeCell ref="A69:A70"/>
    <mergeCell ref="I69:I70"/>
    <mergeCell ref="I168:I169"/>
    <mergeCell ref="A145:A159"/>
    <mergeCell ref="I145:I159"/>
    <mergeCell ref="G146:H146"/>
    <mergeCell ref="A135:A137"/>
    <mergeCell ref="I135:I137"/>
    <mergeCell ref="I164:I165"/>
    <mergeCell ref="A164:A165"/>
    <mergeCell ref="A30:A33"/>
    <mergeCell ref="A3:I3"/>
    <mergeCell ref="A111:A112"/>
    <mergeCell ref="A10:I10"/>
    <mergeCell ref="A20:A25"/>
    <mergeCell ref="I20:I25"/>
    <mergeCell ref="A12:A17"/>
    <mergeCell ref="I12:I17"/>
    <mergeCell ref="A72:A90"/>
    <mergeCell ref="I72:I90"/>
    <mergeCell ref="I45:I46"/>
    <mergeCell ref="A45:A46"/>
    <mergeCell ref="I39:I43"/>
    <mergeCell ref="A39:A43"/>
    <mergeCell ref="I196:I207"/>
    <mergeCell ref="G200:H200"/>
    <mergeCell ref="A209:A218"/>
    <mergeCell ref="I209:I218"/>
    <mergeCell ref="A220:A227"/>
    <mergeCell ref="I220:I225"/>
    <mergeCell ref="G221:H221"/>
    <mergeCell ref="G225:H225"/>
    <mergeCell ref="G227:H227"/>
    <mergeCell ref="I232:I233"/>
    <mergeCell ref="B240:D240"/>
    <mergeCell ref="A168:A169"/>
    <mergeCell ref="A232:A233"/>
    <mergeCell ref="A190:A194"/>
    <mergeCell ref="A196:A207"/>
    <mergeCell ref="A174:A188"/>
  </mergeCells>
  <hyperlinks>
    <hyperlink ref="K136" r:id="rId1"/>
    <hyperlink ref="K148" r:id="rId2"/>
    <hyperlink ref="K180" r:id="rId3"/>
    <hyperlink ref="K183" r:id="rId4"/>
    <hyperlink ref="K203" r:id="rId5"/>
    <hyperlink ref="K202" r:id="rId6"/>
    <hyperlink ref="K201" r:id="rId7"/>
    <hyperlink ref="K205" r:id="rId8"/>
    <hyperlink ref="K215" r:id="rId9"/>
  </hyperlinks>
  <pageMargins left="0.78740157480314965" right="0.39370078740157483" top="0.78740157480314965" bottom="0.59055118110236227" header="0.31496062992125984" footer="0.31496062992125984"/>
  <pageSetup paperSize="9" scale="67" fitToHeight="6" orientation="portrait" r:id="rId10"/>
  <headerFooter>
    <oddHeader>&amp;RЛист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на стройремонт</vt:lpstr>
      <vt:lpstr>'Смета на стройремонт'!Заголовки_для_печати</vt:lpstr>
      <vt:lpstr>'Смета на стройремонт'!Область_печати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lastPrinted>2017-10-27T14:53:12Z</cp:lastPrinted>
  <dcterms:created xsi:type="dcterms:W3CDTF">2013-10-12T04:25:36Z</dcterms:created>
  <dcterms:modified xsi:type="dcterms:W3CDTF">2017-11-08T21:32:10Z</dcterms:modified>
</cp:coreProperties>
</file>