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Работа\АВГ Киев\"/>
    </mc:Choice>
  </mc:AlternateContent>
  <xr:revisionPtr revIDLastSave="0" documentId="13_ncr:1_{59CDE596-C113-413A-8941-B8DF9A1203A6}" xr6:coauthVersionLast="40" xr6:coauthVersionMax="40" xr10:uidLastSave="{00000000-0000-0000-0000-000000000000}"/>
  <bookViews>
    <workbookView xWindow="0" yWindow="0" windowWidth="20490" windowHeight="7545" tabRatio="722" xr2:uid="{00000000-000D-0000-FFFF-FFFF00000000}"/>
  </bookViews>
  <sheets>
    <sheet name="214 ДЦ 24.01.19 - Я" sheetId="45" r:id="rId1"/>
  </sheets>
  <definedNames>
    <definedName name="_xlnm._FilterDatabase" localSheetId="0" hidden="1">'214 ДЦ 24.01.19 - Я'!$H$1:$H$447</definedName>
    <definedName name="_xlnm.Print_Titles" localSheetId="0">'214 ДЦ 24.01.19 - Я'!$7:$8</definedName>
    <definedName name="_xlnm.Print_Area" localSheetId="0">'214 ДЦ 24.01.19 - Я'!$A$1:$M$440</definedName>
  </definedNames>
  <calcPr calcId="181029" refMode="R1C1"/>
</workbook>
</file>

<file path=xl/calcChain.xml><?xml version="1.0" encoding="utf-8"?>
<calcChain xmlns="http://schemas.openxmlformats.org/spreadsheetml/2006/main">
  <c r="E428" i="45" l="1"/>
  <c r="G357" i="45" l="1"/>
  <c r="G362" i="45"/>
  <c r="K158" i="45" l="1"/>
  <c r="G12" i="45" l="1"/>
  <c r="G13" i="45"/>
  <c r="G14" i="45"/>
  <c r="G15" i="45"/>
  <c r="G16" i="45"/>
  <c r="G17" i="45"/>
  <c r="G11" i="45"/>
  <c r="G423" i="45"/>
  <c r="K421" i="45"/>
  <c r="G426" i="45"/>
  <c r="G302" i="45"/>
  <c r="E218" i="45"/>
  <c r="E225" i="45"/>
  <c r="K227" i="45"/>
  <c r="M227" i="45" s="1"/>
  <c r="E212" i="45"/>
  <c r="E198" i="45"/>
  <c r="K198" i="45" s="1"/>
  <c r="K225" i="45"/>
  <c r="K151" i="45"/>
  <c r="K150" i="45"/>
  <c r="K149" i="45"/>
  <c r="K148" i="45"/>
  <c r="K147" i="45"/>
  <c r="K57" i="45"/>
  <c r="K69" i="45"/>
  <c r="K78" i="45"/>
  <c r="K89" i="45"/>
  <c r="K101" i="45"/>
  <c r="K104" i="45"/>
  <c r="E224" i="45"/>
  <c r="K224" i="45" s="1"/>
  <c r="E211" i="45"/>
  <c r="E189" i="45"/>
  <c r="K189" i="45" s="1"/>
  <c r="E182" i="45"/>
  <c r="K184" i="45" s="1"/>
  <c r="M184" i="45" s="1"/>
  <c r="K165" i="45"/>
  <c r="M165" i="45" s="1"/>
  <c r="E185" i="45"/>
  <c r="E67" i="45"/>
  <c r="K67" i="45" s="1"/>
  <c r="E209" i="45" l="1"/>
  <c r="K226" i="45"/>
  <c r="G182" i="45"/>
  <c r="K182" i="45"/>
  <c r="M182" i="45" s="1"/>
  <c r="K183" i="45"/>
  <c r="M183" i="45" s="1"/>
  <c r="K170" i="45"/>
  <c r="M171" i="45"/>
  <c r="E207" i="45"/>
  <c r="G207" i="45" s="1"/>
  <c r="M178" i="45" l="1"/>
  <c r="M177" i="45"/>
  <c r="G177" i="45"/>
  <c r="M417" i="45"/>
  <c r="M416" i="45"/>
  <c r="G416" i="45"/>
  <c r="M419" i="45"/>
  <c r="M418" i="45"/>
  <c r="G418" i="45"/>
  <c r="M415" i="45"/>
  <c r="G415" i="45"/>
  <c r="M414" i="45"/>
  <c r="G414" i="45"/>
  <c r="G404" i="45"/>
  <c r="G400" i="45"/>
  <c r="G399" i="45"/>
  <c r="G392" i="45"/>
  <c r="G391" i="45"/>
  <c r="G390" i="45"/>
  <c r="G384" i="45"/>
  <c r="G385" i="45"/>
  <c r="G383" i="45"/>
  <c r="G382" i="45"/>
  <c r="G406" i="45"/>
  <c r="G405" i="45"/>
  <c r="G401" i="45"/>
  <c r="M412" i="45"/>
  <c r="M407" i="45"/>
  <c r="M408" i="45"/>
  <c r="M400" i="45"/>
  <c r="M399" i="45"/>
  <c r="G398" i="45"/>
  <c r="M394" i="45"/>
  <c r="M393" i="45"/>
  <c r="M411" i="45"/>
  <c r="M410" i="45"/>
  <c r="G410" i="45"/>
  <c r="M396" i="45"/>
  <c r="M395" i="45"/>
  <c r="G395" i="45"/>
  <c r="M294" i="45"/>
  <c r="M388" i="45"/>
  <c r="M302" i="45"/>
  <c r="M349" i="45"/>
  <c r="G349" i="45"/>
  <c r="M341" i="45"/>
  <c r="M355" i="45"/>
  <c r="M356" i="45"/>
  <c r="G348" i="45"/>
  <c r="M344" i="45"/>
  <c r="M343" i="45"/>
  <c r="G343" i="45"/>
  <c r="M339" i="45"/>
  <c r="G339" i="45"/>
  <c r="M336" i="45"/>
  <c r="G336" i="45"/>
  <c r="M333" i="45"/>
  <c r="E258" i="45"/>
  <c r="E264" i="45"/>
  <c r="E270" i="45" s="1"/>
  <c r="K263" i="45"/>
  <c r="K257" i="45"/>
  <c r="M257" i="45" s="1"/>
  <c r="G263" i="45"/>
  <c r="E316" i="45"/>
  <c r="M315" i="45"/>
  <c r="K313" i="45"/>
  <c r="M312" i="45"/>
  <c r="E306" i="45"/>
  <c r="K309" i="45"/>
  <c r="M293" i="45"/>
  <c r="M287" i="45"/>
  <c r="M281" i="45"/>
  <c r="M280" i="45"/>
  <c r="K42" i="45"/>
  <c r="K43" i="45"/>
  <c r="E370" i="45"/>
  <c r="E365" i="45"/>
  <c r="E235" i="45"/>
  <c r="G234" i="45"/>
  <c r="K234" i="45"/>
  <c r="M234" i="45" s="1"/>
  <c r="E141" i="45"/>
  <c r="M172" i="45"/>
  <c r="M173" i="45"/>
  <c r="M174" i="45"/>
  <c r="M175" i="45"/>
  <c r="M176" i="45"/>
  <c r="M170" i="45"/>
  <c r="G170" i="45"/>
  <c r="M162" i="45" l="1"/>
  <c r="M163" i="45"/>
  <c r="M164" i="45"/>
  <c r="E168" i="45" l="1"/>
  <c r="E167" i="45"/>
  <c r="M151" i="45"/>
  <c r="G150" i="45"/>
  <c r="E155" i="45"/>
  <c r="K156" i="45" s="1"/>
  <c r="E152" i="45"/>
  <c r="K154" i="45" s="1"/>
  <c r="E140" i="45"/>
  <c r="E119" i="45"/>
  <c r="E22" i="45"/>
  <c r="E179" i="45"/>
  <c r="M150" i="45" l="1"/>
  <c r="K68" i="45" l="1"/>
  <c r="E121" i="45"/>
  <c r="G53" i="45" l="1"/>
  <c r="G56" i="45"/>
  <c r="G55" i="45"/>
  <c r="K56" i="45"/>
  <c r="M56" i="45" s="1"/>
  <c r="K55" i="45"/>
  <c r="M55" i="45" s="1"/>
  <c r="K54" i="45"/>
  <c r="M54" i="45" s="1"/>
  <c r="K53" i="45"/>
  <c r="M53" i="45" s="1"/>
  <c r="E37" i="45" l="1"/>
  <c r="K41" i="45" s="1"/>
  <c r="M41" i="45" s="1"/>
  <c r="E47" i="45"/>
  <c r="M43" i="45"/>
  <c r="E34" i="45"/>
  <c r="K205" i="45" l="1"/>
  <c r="M205" i="45" s="1"/>
  <c r="K206" i="45"/>
  <c r="M206" i="45" s="1"/>
  <c r="K204" i="45"/>
  <c r="M204" i="45" s="1"/>
  <c r="K200" i="45"/>
  <c r="M200" i="45" s="1"/>
  <c r="K199" i="45"/>
  <c r="M199" i="45" s="1"/>
  <c r="K201" i="45"/>
  <c r="M201" i="45" s="1"/>
  <c r="K202" i="45"/>
  <c r="M202" i="45" s="1"/>
  <c r="K203" i="45"/>
  <c r="M203" i="45" s="1"/>
  <c r="K96" i="45"/>
  <c r="M96" i="45" s="1"/>
  <c r="K95" i="45"/>
  <c r="M95" i="45" s="1"/>
  <c r="K91" i="45"/>
  <c r="M91" i="45" s="1"/>
  <c r="K90" i="45"/>
  <c r="M90" i="45" s="1"/>
  <c r="K92" i="45"/>
  <c r="M92" i="45" s="1"/>
  <c r="K93" i="45"/>
  <c r="M93" i="45" s="1"/>
  <c r="K94" i="45"/>
  <c r="M94" i="45" s="1"/>
  <c r="M89" i="45"/>
  <c r="K86" i="45"/>
  <c r="M86" i="45" s="1"/>
  <c r="K85" i="45"/>
  <c r="M85" i="45" s="1"/>
  <c r="K80" i="45"/>
  <c r="M80" i="45" s="1"/>
  <c r="K79" i="45"/>
  <c r="M79" i="45" s="1"/>
  <c r="K81" i="45"/>
  <c r="M81" i="45" s="1"/>
  <c r="K82" i="45"/>
  <c r="M82" i="45" s="1"/>
  <c r="K83" i="45"/>
  <c r="M83" i="45" s="1"/>
  <c r="K84" i="45"/>
  <c r="M84" i="45" s="1"/>
  <c r="M78" i="45"/>
  <c r="K77" i="45"/>
  <c r="M77" i="45" s="1"/>
  <c r="K76" i="45"/>
  <c r="M76" i="45" s="1"/>
  <c r="K71" i="45"/>
  <c r="M71" i="45" s="1"/>
  <c r="K70" i="45"/>
  <c r="M70" i="45" s="1"/>
  <c r="K72" i="45"/>
  <c r="M72" i="45" s="1"/>
  <c r="K73" i="45"/>
  <c r="M73" i="45" s="1"/>
  <c r="K74" i="45"/>
  <c r="M74" i="45" s="1"/>
  <c r="K75" i="45"/>
  <c r="M75" i="45" s="1"/>
  <c r="M69" i="45"/>
  <c r="K66" i="45"/>
  <c r="M66" i="45" s="1"/>
  <c r="K65" i="45"/>
  <c r="M65" i="45" s="1"/>
  <c r="K59" i="45"/>
  <c r="M59" i="45" s="1"/>
  <c r="K58" i="45"/>
  <c r="M58" i="45" s="1"/>
  <c r="K60" i="45"/>
  <c r="M60" i="45" s="1"/>
  <c r="K61" i="45"/>
  <c r="M61" i="45" s="1"/>
  <c r="K62" i="45"/>
  <c r="K63" i="45"/>
  <c r="M63" i="45" s="1"/>
  <c r="K64" i="45"/>
  <c r="M64" i="45" s="1"/>
  <c r="M57" i="45"/>
  <c r="K50" i="45"/>
  <c r="M50" i="45" s="1"/>
  <c r="K51" i="45"/>
  <c r="M51" i="45" s="1"/>
  <c r="K52" i="45"/>
  <c r="M52" i="45" s="1"/>
  <c r="K49" i="45"/>
  <c r="M49" i="45" s="1"/>
  <c r="G427" i="45"/>
  <c r="G425" i="45"/>
  <c r="G424" i="45"/>
  <c r="G422" i="45"/>
  <c r="M421" i="45"/>
  <c r="G421" i="45"/>
  <c r="M409" i="45"/>
  <c r="M406" i="45"/>
  <c r="M405" i="45"/>
  <c r="M404" i="45"/>
  <c r="M403" i="45"/>
  <c r="M402" i="45"/>
  <c r="M401" i="45"/>
  <c r="M398" i="45"/>
  <c r="M392" i="45"/>
  <c r="M391" i="45"/>
  <c r="M390" i="45"/>
  <c r="M389" i="45"/>
  <c r="M387" i="45"/>
  <c r="M386" i="45"/>
  <c r="M385" i="45"/>
  <c r="M384" i="45"/>
  <c r="M383" i="45"/>
  <c r="M382" i="45"/>
  <c r="M380" i="45"/>
  <c r="G380" i="45"/>
  <c r="M376" i="45"/>
  <c r="M375" i="45"/>
  <c r="M374" i="45"/>
  <c r="G374" i="45"/>
  <c r="M372" i="45"/>
  <c r="G372" i="45"/>
  <c r="K371" i="45"/>
  <c r="M371" i="45" s="1"/>
  <c r="K370" i="45"/>
  <c r="M370" i="45" s="1"/>
  <c r="G370" i="45"/>
  <c r="M369" i="45"/>
  <c r="K368" i="45"/>
  <c r="M368" i="45" s="1"/>
  <c r="M367" i="45"/>
  <c r="M366" i="45"/>
  <c r="J366" i="45"/>
  <c r="K365" i="45"/>
  <c r="M365" i="45" s="1"/>
  <c r="G365" i="45"/>
  <c r="G363" i="45"/>
  <c r="M361" i="45"/>
  <c r="M360" i="45"/>
  <c r="G360" i="45"/>
  <c r="G359" i="45"/>
  <c r="G358" i="45"/>
  <c r="M357" i="45"/>
  <c r="G355" i="45"/>
  <c r="M354" i="45"/>
  <c r="G354" i="45"/>
  <c r="M353" i="45"/>
  <c r="G353" i="45"/>
  <c r="G351" i="45"/>
  <c r="G352" i="45"/>
  <c r="G350" i="45"/>
  <c r="M347" i="45"/>
  <c r="G347" i="45"/>
  <c r="M346" i="45"/>
  <c r="M345" i="45"/>
  <c r="G345" i="45"/>
  <c r="M342" i="45"/>
  <c r="M340" i="45"/>
  <c r="G340" i="45"/>
  <c r="M338" i="45"/>
  <c r="G338" i="45"/>
  <c r="M337" i="45"/>
  <c r="G337" i="45"/>
  <c r="M335" i="45"/>
  <c r="G335" i="45"/>
  <c r="G334" i="45"/>
  <c r="G333" i="45"/>
  <c r="G331" i="45"/>
  <c r="E330" i="45"/>
  <c r="E332" i="45" s="1"/>
  <c r="G332" i="45" s="1"/>
  <c r="G329" i="45"/>
  <c r="E328" i="45"/>
  <c r="G327" i="45"/>
  <c r="G326" i="45"/>
  <c r="G325" i="45"/>
  <c r="M324" i="45"/>
  <c r="G324" i="45"/>
  <c r="K322" i="45"/>
  <c r="M322" i="45" s="1"/>
  <c r="G322" i="45"/>
  <c r="M321" i="45"/>
  <c r="M320" i="45"/>
  <c r="M319" i="45"/>
  <c r="M318" i="45"/>
  <c r="M317" i="45"/>
  <c r="K316" i="45"/>
  <c r="M316" i="45" s="1"/>
  <c r="G316" i="45"/>
  <c r="M314" i="45"/>
  <c r="E314" i="45"/>
  <c r="M313" i="45"/>
  <c r="M311" i="45"/>
  <c r="K310" i="45"/>
  <c r="M310" i="45" s="1"/>
  <c r="G310" i="45"/>
  <c r="M309" i="45"/>
  <c r="M308" i="45"/>
  <c r="M307" i="45"/>
  <c r="K306" i="45"/>
  <c r="M306" i="45" s="1"/>
  <c r="M305" i="45"/>
  <c r="M304" i="45"/>
  <c r="M303" i="45"/>
  <c r="G303" i="45"/>
  <c r="M301" i="45"/>
  <c r="M300" i="45"/>
  <c r="K299" i="45"/>
  <c r="M299" i="45" s="1"/>
  <c r="G299" i="45"/>
  <c r="M298" i="45"/>
  <c r="G298" i="45"/>
  <c r="M297" i="45"/>
  <c r="K296" i="45"/>
  <c r="M296" i="45" s="1"/>
  <c r="G296" i="45"/>
  <c r="M295" i="45"/>
  <c r="M292" i="45"/>
  <c r="M291" i="45"/>
  <c r="K290" i="45"/>
  <c r="M290" i="45" s="1"/>
  <c r="G290" i="45"/>
  <c r="M283" i="45"/>
  <c r="M282" i="45"/>
  <c r="M289" i="45"/>
  <c r="M288" i="45"/>
  <c r="M286" i="45"/>
  <c r="M285" i="45"/>
  <c r="M284" i="45"/>
  <c r="M277" i="45"/>
  <c r="M279" i="45"/>
  <c r="M278" i="45"/>
  <c r="M276" i="45"/>
  <c r="M275" i="45"/>
  <c r="M274" i="45"/>
  <c r="M273" i="45"/>
  <c r="M272" i="45"/>
  <c r="M271" i="45"/>
  <c r="M270" i="45"/>
  <c r="K269" i="45"/>
  <c r="M269" i="45" s="1"/>
  <c r="K265" i="45"/>
  <c r="M265" i="45" s="1"/>
  <c r="K261" i="45"/>
  <c r="M261" i="45" s="1"/>
  <c r="K260" i="45"/>
  <c r="M260" i="45" s="1"/>
  <c r="G260" i="45"/>
  <c r="K259" i="45"/>
  <c r="M259" i="45" s="1"/>
  <c r="K258" i="45"/>
  <c r="M258" i="45" s="1"/>
  <c r="G258" i="45"/>
  <c r="M263" i="45"/>
  <c r="K256" i="45"/>
  <c r="M256" i="45" s="1"/>
  <c r="K255" i="45"/>
  <c r="M255" i="45" s="1"/>
  <c r="K254" i="45"/>
  <c r="M254" i="45" s="1"/>
  <c r="K253" i="45"/>
  <c r="M253" i="45" s="1"/>
  <c r="K252" i="45"/>
  <c r="M252" i="45" s="1"/>
  <c r="G252" i="45"/>
  <c r="K251" i="45"/>
  <c r="M251" i="45" s="1"/>
  <c r="K250" i="45"/>
  <c r="M250" i="45" s="1"/>
  <c r="G250" i="45"/>
  <c r="K249" i="45"/>
  <c r="M249" i="45" s="1"/>
  <c r="M248" i="45"/>
  <c r="G248" i="45"/>
  <c r="M247" i="45"/>
  <c r="G247" i="45"/>
  <c r="M246" i="45"/>
  <c r="M245" i="45"/>
  <c r="G245" i="45"/>
  <c r="M244" i="45"/>
  <c r="M243" i="45"/>
  <c r="G243" i="45"/>
  <c r="K242" i="45"/>
  <c r="M242" i="45" s="1"/>
  <c r="K241" i="45"/>
  <c r="M241" i="45" s="1"/>
  <c r="G241" i="45"/>
  <c r="K240" i="45"/>
  <c r="M240" i="45" s="1"/>
  <c r="K239" i="45"/>
  <c r="M239" i="45" s="1"/>
  <c r="G239" i="45"/>
  <c r="M237" i="45"/>
  <c r="K236" i="45"/>
  <c r="M236" i="45" s="1"/>
  <c r="K235" i="45"/>
  <c r="M235" i="45" s="1"/>
  <c r="G235" i="45"/>
  <c r="M233" i="45"/>
  <c r="M232" i="45"/>
  <c r="M231" i="45"/>
  <c r="G231" i="45"/>
  <c r="K230" i="45"/>
  <c r="M230" i="45" s="1"/>
  <c r="G230" i="45"/>
  <c r="K229" i="45"/>
  <c r="M229" i="45" s="1"/>
  <c r="G229" i="45"/>
  <c r="K220" i="45"/>
  <c r="K208" i="45"/>
  <c r="M208" i="45" s="1"/>
  <c r="G208" i="45"/>
  <c r="M198" i="45"/>
  <c r="G198" i="45"/>
  <c r="K196" i="45"/>
  <c r="M196" i="45" s="1"/>
  <c r="K185" i="45"/>
  <c r="K211" i="45"/>
  <c r="M211" i="45" s="1"/>
  <c r="M169" i="45"/>
  <c r="G169" i="45"/>
  <c r="K168" i="45"/>
  <c r="M168" i="45" s="1"/>
  <c r="K167" i="45"/>
  <c r="M167" i="45" s="1"/>
  <c r="G167" i="45"/>
  <c r="M161" i="45"/>
  <c r="K160" i="45"/>
  <c r="M160" i="45" s="1"/>
  <c r="K159" i="45"/>
  <c r="M159" i="45" s="1"/>
  <c r="M158" i="45"/>
  <c r="K157" i="45"/>
  <c r="M157" i="45" s="1"/>
  <c r="G157" i="45"/>
  <c r="M156" i="45"/>
  <c r="K155" i="45"/>
  <c r="M155" i="45" s="1"/>
  <c r="M154" i="45"/>
  <c r="K153" i="45"/>
  <c r="M153" i="45" s="1"/>
  <c r="K152" i="45"/>
  <c r="M152" i="45" s="1"/>
  <c r="G152" i="45"/>
  <c r="M149" i="45"/>
  <c r="M148" i="45"/>
  <c r="M147" i="45"/>
  <c r="G147" i="45"/>
  <c r="M146" i="45"/>
  <c r="K145" i="45"/>
  <c r="M145" i="45" s="1"/>
  <c r="K144" i="45"/>
  <c r="M144" i="45" s="1"/>
  <c r="G144" i="45"/>
  <c r="M143" i="45"/>
  <c r="K142" i="45"/>
  <c r="M142" i="45" s="1"/>
  <c r="K141" i="45"/>
  <c r="M141" i="45" s="1"/>
  <c r="G141" i="45"/>
  <c r="K140" i="45"/>
  <c r="M140" i="45" s="1"/>
  <c r="G140" i="45"/>
  <c r="K139" i="45"/>
  <c r="M139" i="45" s="1"/>
  <c r="K138" i="45"/>
  <c r="M138" i="45" s="1"/>
  <c r="K137" i="45"/>
  <c r="M137" i="45" s="1"/>
  <c r="K136" i="45"/>
  <c r="M136" i="45" s="1"/>
  <c r="G136" i="45"/>
  <c r="K135" i="45"/>
  <c r="M135" i="45" s="1"/>
  <c r="K134" i="45"/>
  <c r="M134" i="45" s="1"/>
  <c r="K133" i="45"/>
  <c r="M133" i="45" s="1"/>
  <c r="G133" i="45"/>
  <c r="K131" i="45"/>
  <c r="M131" i="45" s="1"/>
  <c r="K126" i="45"/>
  <c r="M126" i="45" s="1"/>
  <c r="K120" i="45"/>
  <c r="M120" i="45" s="1"/>
  <c r="K119" i="45"/>
  <c r="M119" i="45" s="1"/>
  <c r="K118" i="45"/>
  <c r="M118" i="45" s="1"/>
  <c r="K117" i="45"/>
  <c r="M117" i="45" s="1"/>
  <c r="K116" i="45"/>
  <c r="M116" i="45" s="1"/>
  <c r="G116" i="45"/>
  <c r="K115" i="45"/>
  <c r="M115" i="45" s="1"/>
  <c r="E123" i="45"/>
  <c r="K111" i="45"/>
  <c r="M111" i="45" s="1"/>
  <c r="K106" i="45"/>
  <c r="M106" i="45" s="1"/>
  <c r="K100" i="45"/>
  <c r="M100" i="45" s="1"/>
  <c r="K99" i="45"/>
  <c r="M99" i="45" s="1"/>
  <c r="K98" i="45"/>
  <c r="M98" i="45" s="1"/>
  <c r="K97" i="45"/>
  <c r="M97" i="45" s="1"/>
  <c r="G97" i="45"/>
  <c r="G89" i="45"/>
  <c r="K88" i="45"/>
  <c r="M88" i="45" s="1"/>
  <c r="K87" i="45"/>
  <c r="M87" i="45" s="1"/>
  <c r="G87" i="45"/>
  <c r="G78" i="45"/>
  <c r="G69" i="45"/>
  <c r="M67" i="45"/>
  <c r="M62" i="45"/>
  <c r="G57" i="45"/>
  <c r="G49" i="45"/>
  <c r="M46" i="45"/>
  <c r="G46" i="45"/>
  <c r="M45" i="45"/>
  <c r="K44" i="45"/>
  <c r="M44" i="45" s="1"/>
  <c r="G44" i="45"/>
  <c r="K47" i="45"/>
  <c r="M47" i="45" s="1"/>
  <c r="M42" i="45"/>
  <c r="K37" i="45"/>
  <c r="M36" i="45"/>
  <c r="K29" i="45"/>
  <c r="M29" i="45" s="1"/>
  <c r="G29" i="45"/>
  <c r="M27" i="45"/>
  <c r="G27" i="45"/>
  <c r="K26" i="45"/>
  <c r="M26" i="45" s="1"/>
  <c r="G26" i="45"/>
  <c r="K25" i="45"/>
  <c r="M25" i="45" s="1"/>
  <c r="G25" i="45"/>
  <c r="G24" i="45"/>
  <c r="K23" i="45"/>
  <c r="M23" i="45" s="1"/>
  <c r="G22" i="45"/>
  <c r="K22" i="45"/>
  <c r="M22" i="45" s="1"/>
  <c r="K21" i="45"/>
  <c r="M21" i="45" s="1"/>
  <c r="G21" i="45"/>
  <c r="G20" i="45"/>
  <c r="K19" i="45"/>
  <c r="M19" i="45" s="1"/>
  <c r="K18" i="45"/>
  <c r="M18" i="45" s="1"/>
  <c r="G18" i="45"/>
  <c r="G123" i="45" l="1"/>
  <c r="G112" i="45"/>
  <c r="K107" i="45"/>
  <c r="M107" i="45" s="1"/>
  <c r="K113" i="45"/>
  <c r="M113" i="45" s="1"/>
  <c r="K197" i="45"/>
  <c r="M197" i="45" s="1"/>
  <c r="K38" i="45"/>
  <c r="M38" i="45" s="1"/>
  <c r="G104" i="45"/>
  <c r="G306" i="45"/>
  <c r="K34" i="45"/>
  <c r="M34" i="45" s="1"/>
  <c r="G47" i="45"/>
  <c r="K105" i="45"/>
  <c r="M105" i="45" s="1"/>
  <c r="G120" i="45"/>
  <c r="K122" i="45"/>
  <c r="M122" i="45" s="1"/>
  <c r="M189" i="45"/>
  <c r="K31" i="45"/>
  <c r="M31" i="45" s="1"/>
  <c r="K192" i="45"/>
  <c r="M192" i="45" s="1"/>
  <c r="K222" i="45"/>
  <c r="M222" i="45" s="1"/>
  <c r="K30" i="45"/>
  <c r="M30" i="45" s="1"/>
  <c r="K190" i="45"/>
  <c r="M190" i="45" s="1"/>
  <c r="K221" i="45"/>
  <c r="M221" i="45" s="1"/>
  <c r="K132" i="45"/>
  <c r="M132" i="45" s="1"/>
  <c r="K124" i="45"/>
  <c r="M124" i="45" s="1"/>
  <c r="G127" i="45"/>
  <c r="G185" i="45"/>
  <c r="G224" i="45"/>
  <c r="G264" i="45"/>
  <c r="G314" i="45"/>
  <c r="K33" i="45"/>
  <c r="M33" i="45" s="1"/>
  <c r="K40" i="45"/>
  <c r="M40" i="45" s="1"/>
  <c r="K121" i="45"/>
  <c r="M121" i="45" s="1"/>
  <c r="K188" i="45"/>
  <c r="M188" i="45" s="1"/>
  <c r="K194" i="45"/>
  <c r="M194" i="45" s="1"/>
  <c r="K191" i="45"/>
  <c r="M191" i="45" s="1"/>
  <c r="K218" i="45"/>
  <c r="M218" i="45" s="1"/>
  <c r="K130" i="45"/>
  <c r="M130" i="45" s="1"/>
  <c r="K186" i="45"/>
  <c r="M186" i="45" s="1"/>
  <c r="K128" i="45"/>
  <c r="M128" i="45" s="1"/>
  <c r="G168" i="45"/>
  <c r="G211" i="45"/>
  <c r="G330" i="45"/>
  <c r="K32" i="45"/>
  <c r="M32" i="45" s="1"/>
  <c r="K39" i="45"/>
  <c r="M39" i="45" s="1"/>
  <c r="K187" i="45"/>
  <c r="M187" i="45" s="1"/>
  <c r="K193" i="45"/>
  <c r="M193" i="45" s="1"/>
  <c r="K195" i="45"/>
  <c r="M195" i="45" s="1"/>
  <c r="K223" i="45"/>
  <c r="M223" i="45" s="1"/>
  <c r="K219" i="45"/>
  <c r="M219" i="45" s="1"/>
  <c r="M37" i="45"/>
  <c r="M101" i="45"/>
  <c r="K109" i="45"/>
  <c r="M109" i="45" s="1"/>
  <c r="G30" i="45"/>
  <c r="G34" i="45"/>
  <c r="K35" i="45"/>
  <c r="M35" i="45" s="1"/>
  <c r="K125" i="45"/>
  <c r="M125" i="45" s="1"/>
  <c r="G124" i="45"/>
  <c r="G155" i="45"/>
  <c r="K180" i="45"/>
  <c r="M180" i="45" s="1"/>
  <c r="G179" i="45"/>
  <c r="K179" i="45"/>
  <c r="M179" i="45" s="1"/>
  <c r="K103" i="45"/>
  <c r="M103" i="45" s="1"/>
  <c r="K110" i="45"/>
  <c r="M110" i="45" s="1"/>
  <c r="K108" i="45"/>
  <c r="M108" i="45" s="1"/>
  <c r="G107" i="45"/>
  <c r="G37" i="45"/>
  <c r="G101" i="45"/>
  <c r="K102" i="45"/>
  <c r="M102" i="45" s="1"/>
  <c r="K123" i="45"/>
  <c r="M123" i="45" s="1"/>
  <c r="G115" i="45"/>
  <c r="G119" i="45"/>
  <c r="G121" i="45"/>
  <c r="G189" i="45"/>
  <c r="M220" i="45"/>
  <c r="M224" i="45"/>
  <c r="K264" i="45"/>
  <c r="M264" i="45" s="1"/>
  <c r="K266" i="45"/>
  <c r="M266" i="45" s="1"/>
  <c r="G267" i="45"/>
  <c r="K268" i="45"/>
  <c r="M268" i="45" s="1"/>
  <c r="G328" i="45"/>
  <c r="M104" i="45"/>
  <c r="K112" i="45"/>
  <c r="M112" i="45" s="1"/>
  <c r="K114" i="45"/>
  <c r="M114" i="45" s="1"/>
  <c r="K127" i="45"/>
  <c r="M127" i="45" s="1"/>
  <c r="K129" i="45"/>
  <c r="M129" i="45" s="1"/>
  <c r="M185" i="45"/>
  <c r="G428" i="45"/>
  <c r="G218" i="45"/>
  <c r="K267" i="45"/>
  <c r="M267" i="45" s="1"/>
  <c r="K215" i="45" l="1"/>
  <c r="M215" i="45" s="1"/>
  <c r="K214" i="45"/>
  <c r="M214" i="45" s="1"/>
  <c r="K216" i="45"/>
  <c r="M216" i="45" s="1"/>
  <c r="K212" i="45"/>
  <c r="M212" i="45" s="1"/>
  <c r="K213" i="45"/>
  <c r="M213" i="45" s="1"/>
  <c r="K217" i="45"/>
  <c r="M217" i="45" s="1"/>
  <c r="G67" i="45"/>
  <c r="M68" i="45"/>
  <c r="G270" i="45"/>
  <c r="G212" i="45"/>
  <c r="K210" i="45"/>
  <c r="M210" i="45" s="1"/>
  <c r="G209" i="45"/>
  <c r="K209" i="45"/>
  <c r="M209" i="45" s="1"/>
  <c r="M225" i="45" l="1"/>
  <c r="M226" i="45"/>
  <c r="G225" i="45"/>
  <c r="G429" i="45" s="1"/>
  <c r="M429" i="45" l="1"/>
  <c r="M431" i="45" l="1"/>
  <c r="M430" i="45"/>
  <c r="G432" i="45"/>
</calcChain>
</file>

<file path=xl/sharedStrings.xml><?xml version="1.0" encoding="utf-8"?>
<sst xmlns="http://schemas.openxmlformats.org/spreadsheetml/2006/main" count="1249" uniqueCount="567">
  <si>
    <t>№
з/п</t>
  </si>
  <si>
    <t>Роботи</t>
  </si>
  <si>
    <t>Матеріали</t>
  </si>
  <si>
    <t>Найменування робіт</t>
  </si>
  <si>
    <t>Од.
вим.</t>
  </si>
  <si>
    <t>Кількість</t>
  </si>
  <si>
    <t>Найменування матеріалів</t>
  </si>
  <si>
    <t>Од. 
вим.</t>
  </si>
  <si>
    <t>Норма  витрат</t>
  </si>
  <si>
    <t>Підлоги</t>
  </si>
  <si>
    <t>м2</t>
  </si>
  <si>
    <t>кг</t>
  </si>
  <si>
    <t>шт</t>
  </si>
  <si>
    <t>м.п.</t>
  </si>
  <si>
    <t>Стiни</t>
  </si>
  <si>
    <t>мп</t>
  </si>
  <si>
    <t>шт.</t>
  </si>
  <si>
    <t xml:space="preserve">Стелi </t>
  </si>
  <si>
    <t>Електрика</t>
  </si>
  <si>
    <t>Допомiжнi роботи</t>
  </si>
  <si>
    <t>Мішки для сміття</t>
  </si>
  <si>
    <t>л</t>
  </si>
  <si>
    <t>Демонтажні роботи</t>
  </si>
  <si>
    <t>м3</t>
  </si>
  <si>
    <t>Прорізи</t>
  </si>
  <si>
    <t>Транспортні витрати, грн.</t>
  </si>
  <si>
    <t xml:space="preserve">Вартість робіт за од. вим., грн. </t>
  </si>
  <si>
    <t xml:space="preserve">Всього вартість робіт, грн. </t>
  </si>
  <si>
    <t xml:space="preserve">Вартість матеріалів за од. вим., грн. </t>
  </si>
  <si>
    <t>Всього вартість матеріалів, грн.</t>
  </si>
  <si>
    <t>Всього вартість матеріалів, грн:</t>
  </si>
  <si>
    <t>Демонтаж капітальних стін цегляних</t>
  </si>
  <si>
    <t xml:space="preserve">Круг алмазний 230 бетон  </t>
  </si>
  <si>
    <t>Піка до відбійного молотку 400 мм</t>
  </si>
  <si>
    <t>Демонтаж столярки</t>
  </si>
  <si>
    <t>Захист підлоги, стін і інших конструкцій плівкою п / е</t>
  </si>
  <si>
    <t>Захист підлоги, стін і інших конструкцій гофрокартоном</t>
  </si>
  <si>
    <t>Гофрокартон</t>
  </si>
  <si>
    <t>Закладення отворів під комунікації</t>
  </si>
  <si>
    <t>місце</t>
  </si>
  <si>
    <t>Піна монтажна Soudal 750 мл</t>
  </si>
  <si>
    <t>Винос сміття з 1-го поверху після демонтажних і будівельних робіт</t>
  </si>
  <si>
    <t>Навантаження сміття на машину вручну</t>
  </si>
  <si>
    <t>Вивіз будівельного сміття</t>
  </si>
  <si>
    <t>Підйом (спуск) матеріалів вручну за 1пов або ліфтом</t>
  </si>
  <si>
    <t>Допоміжні роботи</t>
  </si>
  <si>
    <t>чол./дн.</t>
  </si>
  <si>
    <t>Маяк направляючий штукатурний</t>
  </si>
  <si>
    <t>Цемент М 500</t>
  </si>
  <si>
    <t>Бетонконтакт СТ-19</t>
  </si>
  <si>
    <t>Клей Vermeister для фанери</t>
  </si>
  <si>
    <t>Штифт компресорний СТ25</t>
  </si>
  <si>
    <t xml:space="preserve">Грунтовка CT-17 </t>
  </si>
  <si>
    <t xml:space="preserve">Круг алмазний 125 бетон </t>
  </si>
  <si>
    <t>Рідкі цвяхи Момент Монтаж 250 мл</t>
  </si>
  <si>
    <t>Влаштування перегородок з ГКЛ</t>
  </si>
  <si>
    <t>Дюбель БМ 6*40</t>
  </si>
  <si>
    <t>Кріплення ES 60\125</t>
  </si>
  <si>
    <t>Стрічка звукоізоляційна</t>
  </si>
  <si>
    <t>Круг відрізний 125 метал</t>
  </si>
  <si>
    <t>Саморіз 3,5*25</t>
  </si>
  <si>
    <t>Саморіз 3,5*9,5</t>
  </si>
  <si>
    <t xml:space="preserve">Профіль CD-60  0,45 мм </t>
  </si>
  <si>
    <t xml:space="preserve">Профіль UD-27  0,45 мм </t>
  </si>
  <si>
    <t xml:space="preserve">Профіль CW-50  0,45 мм </t>
  </si>
  <si>
    <t xml:space="preserve">Профіль UW-50  0,45 мм </t>
  </si>
  <si>
    <t>"Краб" з'єднувач універсальний</t>
  </si>
  <si>
    <t>Профіль CD-60  0,45 мм</t>
  </si>
  <si>
    <t>Профіль UD-27  0,45 мм</t>
  </si>
  <si>
    <t>З'єднувач 60/60</t>
  </si>
  <si>
    <t>Решітка вентиляційна</t>
  </si>
  <si>
    <t>Анкер 10*150</t>
  </si>
  <si>
    <t xml:space="preserve">Піна монтажна Soudal 750 мл </t>
  </si>
  <si>
    <t>Дюбель БМ 8*100</t>
  </si>
  <si>
    <t>к-т</t>
  </si>
  <si>
    <t>Герметик Soudal Силікон 300 мл</t>
  </si>
  <si>
    <t>Штукатурка стін механізована</t>
  </si>
  <si>
    <t>Штукатурка  Knauf  MP-75 машинного нанесення</t>
  </si>
  <si>
    <t>Затирка рустів штукатурним розчином і штроб під труби сантехнічні</t>
  </si>
  <si>
    <t>Набивання металевої сітки</t>
  </si>
  <si>
    <t>Сітка штукатурна оцинкованна (20х20х1)</t>
  </si>
  <si>
    <t>Штукатурка EURO-GIPS Ізо старт</t>
  </si>
  <si>
    <t>Шпаклівка Knauf Multifinish</t>
  </si>
  <si>
    <t>Підготовка стін під фарбування ( зі склохолстом)</t>
  </si>
  <si>
    <t>Клей Semin</t>
  </si>
  <si>
    <t>Підготовка відкосів під фарбування (зі склохолстом)</t>
  </si>
  <si>
    <t xml:space="preserve">Склохолст ХСН-40 </t>
  </si>
  <si>
    <t>Виготовка стельових карнизних ніш, криволінійних ділянок під забарвлення (зі скловолокном) розгортка</t>
  </si>
  <si>
    <t>Шпаклівка фінішна BauGut super finish</t>
  </si>
  <si>
    <t>Фарбування стін за 2 рази</t>
  </si>
  <si>
    <t>Герметик  Ceresit акрил 300 мл</t>
  </si>
  <si>
    <t>Фарбування відкосів за 2 рази</t>
  </si>
  <si>
    <t>Затирка Ceresit CE-33 Plus</t>
  </si>
  <si>
    <t>Підрізка плитки під кутом 45 °</t>
  </si>
  <si>
    <t>Круг алмазний 125 бетон</t>
  </si>
  <si>
    <t>Заробка швів гіпсокартонних конструкцій</t>
  </si>
  <si>
    <t>Сітка-серпянка для швів в гіпсокартону 50 мм</t>
  </si>
  <si>
    <t>Шпаклівка Фугенфюллер Knauf для стиків по гіпсокартону</t>
  </si>
  <si>
    <t>Монтаж автоматов 3-х ф, УЗО (от 140 А)</t>
  </si>
  <si>
    <t>Монтаж автоматов однофазних</t>
  </si>
  <si>
    <t>Монтаж диференціального автомата</t>
  </si>
  <si>
    <t>Диференціальний автомат С-25</t>
  </si>
  <si>
    <t>Електрощит</t>
  </si>
  <si>
    <t>Автомат однофазний С-16</t>
  </si>
  <si>
    <t>Автомат однофазний С-25</t>
  </si>
  <si>
    <t>Монтаж реле напруги, струму</t>
  </si>
  <si>
    <t>Розведення слабкострумкової проводки</t>
  </si>
  <si>
    <t>м</t>
  </si>
  <si>
    <t>Кабель F 690 BV Finmark</t>
  </si>
  <si>
    <t>Кабель IP</t>
  </si>
  <si>
    <t>Розведення ел.проводкі мідної прихованої до 6 мм2</t>
  </si>
  <si>
    <t xml:space="preserve">Кабель ВВГ  3х1,5 нгд </t>
  </si>
  <si>
    <t xml:space="preserve">Кабель ВВГ  3х2,5 нгд </t>
  </si>
  <si>
    <t xml:space="preserve">Кабель ВВГ  5х4 нгд </t>
  </si>
  <si>
    <t>Коробка розподільча d - 100</t>
  </si>
  <si>
    <t>Кліпса кріпильна d-15-24мм</t>
  </si>
  <si>
    <t>Заробка кабельних штроб</t>
  </si>
  <si>
    <t>Демонтаж перегородок цегляних, піногазо-гіпсоблочних</t>
  </si>
  <si>
    <t>Пробивання штроби в цегляній стіні під ел.проводку</t>
  </si>
  <si>
    <t>Пробивання штроби в цегляній стіні під ел.проводку перетином більше 25 см2</t>
  </si>
  <si>
    <t>Коронка алмазна d 65 мм</t>
  </si>
  <si>
    <t>Коробка установочна</t>
  </si>
  <si>
    <t>Клеми</t>
  </si>
  <si>
    <t>Монтаж переговорного пристрою</t>
  </si>
  <si>
    <t>Монтаж електрообігріву підлоги</t>
  </si>
  <si>
    <t>Розпаювання монтажної коробки (до 5 пайок)</t>
  </si>
  <si>
    <t>Перемичка заземлювальна</t>
  </si>
  <si>
    <t>Водопровід, водовідведення. Сантехніка</t>
  </si>
  <si>
    <t>Різання штроби в цегляній стіні під труби</t>
  </si>
  <si>
    <t>Влаштування виводів каналізації d-32-50мм</t>
  </si>
  <si>
    <t>Влаштування виводів каналізації d-110мм</t>
  </si>
  <si>
    <t>Монтаж пластикової каналізації d- 32-50 мм</t>
  </si>
  <si>
    <t>Монтаж пластикової каналізації діаметром до 100 мм</t>
  </si>
  <si>
    <t>Монтаж металопластикової труби d- 16-24 мм.</t>
  </si>
  <si>
    <t>Монтаж металопластикової труби d- 25 - 32 мм.</t>
  </si>
  <si>
    <t>Ізоляція труб d-16-32 мірелоном</t>
  </si>
  <si>
    <t>Зняття / встановлення опалювальних приладів для технологічних потреб</t>
  </si>
  <si>
    <t>Монтаж умивальників</t>
  </si>
  <si>
    <t>Монтаж змішувача</t>
  </si>
  <si>
    <t>Штукатурка Ротбанд  Knauf універсальна гіпсова</t>
  </si>
  <si>
    <t>Монтаж душової штанги</t>
  </si>
  <si>
    <t>Влаштування виводів водопостачання d- 15-20 мм</t>
  </si>
  <si>
    <t>Монтаж кульових кранів d- 25-32 мм</t>
  </si>
  <si>
    <t>Підключення пральної машини</t>
  </si>
  <si>
    <t>Підключення посудомийної машини</t>
  </si>
  <si>
    <t>Монтаж бойлера навісного до 100 л</t>
  </si>
  <si>
    <t>Врізка в діючі мережі внутрішніх каналізаційних мереж</t>
  </si>
  <si>
    <t>Врізка в діючі мережі водопостачання та опалення</t>
  </si>
  <si>
    <t>Випробування внутрішнього трубопроводу довжиною до 50 м</t>
  </si>
  <si>
    <t>Проливання системи каналізації довжиною понад 10 м</t>
  </si>
  <si>
    <t>с-ма</t>
  </si>
  <si>
    <t>Прокладка трубопроводу вентиляції d- 125-150 мм.</t>
  </si>
  <si>
    <t>Вентиляція, кондиціонування</t>
  </si>
  <si>
    <t>Ізоляція труб вентиляції d- 125-150 мм.</t>
  </si>
  <si>
    <t>Влаштування ГКЛ пристінків місцями до 3 м2</t>
  </si>
  <si>
    <t>компл</t>
  </si>
  <si>
    <t>Гідроізоляція полімерцементна за 2 рази</t>
  </si>
  <si>
    <t>Гідроізоляційна суміш CR-65</t>
  </si>
  <si>
    <t>Штукатурка відкосів механізована</t>
  </si>
  <si>
    <t>Установка перфорованих кутиків</t>
  </si>
  <si>
    <t>Накінцівники 125мм</t>
  </si>
  <si>
    <t>Монтаж кульових кранів d- 15-20 мм</t>
  </si>
  <si>
    <t>Кухня-гостинна</t>
  </si>
  <si>
    <t>Кронштейн радіаторний L = 220 мм</t>
  </si>
  <si>
    <t>хомути вентиляції</t>
  </si>
  <si>
    <t>скотч К2</t>
  </si>
  <si>
    <t>Підключення кух.мийки</t>
  </si>
  <si>
    <t>Зрубування укосів з цегли та бетону</t>
  </si>
  <si>
    <t>Саморіз 3,5*35</t>
  </si>
  <si>
    <t>Влаштування простого пристінку з ГКЛ</t>
  </si>
  <si>
    <t>Монтаж освітлювальних приладів (світильники врізні і накладні на стелі і настінні врізні) вагою до 5 кг. (Без складання)</t>
  </si>
  <si>
    <t>Монтаж освітлювальних приладів (люстр, бра) вагою понад 5 кг. (Без складання)</t>
  </si>
  <si>
    <t>Монтаж гігієнічного душа прихованої установки</t>
  </si>
  <si>
    <t>Монтаж опалювальних приладів типу "Кермі"</t>
  </si>
  <si>
    <t xml:space="preserve">Комплект сантехнічних матеріалів </t>
  </si>
  <si>
    <t>Всього вартість робіт, грн з ПДВ.:</t>
  </si>
  <si>
    <t>Всього вартість робіт з матеріалами,грн з ПДВ</t>
  </si>
  <si>
    <t>Монтаж електрощита до 48 модулей</t>
  </si>
  <si>
    <t xml:space="preserve">Плівка п/е 1500*100 </t>
  </si>
  <si>
    <t>Піна-клей для пінополістиролу 750 мл</t>
  </si>
  <si>
    <t>Мінеральна вата 50 мм</t>
  </si>
  <si>
    <t>Дюбель для изоляции 10*160</t>
  </si>
  <si>
    <t>Утеплення стін балкону (2 шару ППС )</t>
  </si>
  <si>
    <t xml:space="preserve">Пінополістірол 50 мм </t>
  </si>
  <si>
    <t>Плівка гідроізоляційна 110 г/м2</t>
  </si>
  <si>
    <t xml:space="preserve">Монтаж відкосів з ГКЛ на клею (підвіконня) </t>
  </si>
  <si>
    <t>Клей Perflix</t>
  </si>
  <si>
    <t>Штукатурка стін маячна</t>
  </si>
  <si>
    <t>Розчин вапняний</t>
  </si>
  <si>
    <t>Монтаж електрощита до 36 модулей</t>
  </si>
  <si>
    <t>Індікатор наприги струму Зубр</t>
  </si>
  <si>
    <t>Клінінг з миттям світлопрозорих поверхонь</t>
  </si>
  <si>
    <t>Влаштування прорізів у ГКЛ конструкціях під вентиляційні витяжки</t>
  </si>
  <si>
    <t>Фольгірований поліетилен</t>
  </si>
  <si>
    <t>Фольгоізол</t>
  </si>
  <si>
    <t>Монтаж ел.вивода TV, TF розетки</t>
  </si>
  <si>
    <t>Утеплення стелі (1 шар ППС)</t>
  </si>
  <si>
    <t>Влаштуання перехідних планок, накладок</t>
  </si>
  <si>
    <t>Вирізання круглих отворів в плитці під обладнання</t>
  </si>
  <si>
    <t>Коронка алмазна 65мм</t>
  </si>
  <si>
    <t>Пристрій лінійних освітлювальних приладів (ЛЕД, Дюралайт та ін.) На профіль</t>
  </si>
  <si>
    <t>Плед на ліжко</t>
  </si>
  <si>
    <t xml:space="preserve">Клей Quelyd Экспресс Супер </t>
  </si>
  <si>
    <t>Карниз у зборі</t>
  </si>
  <si>
    <t>Профіль накладний анодований ПФ-18 1М</t>
  </si>
  <si>
    <t>Підготовка стін під фарбування (без склохолста)</t>
  </si>
  <si>
    <t>Підготовка відкосів під фарбування (без склохолста)</t>
  </si>
  <si>
    <t>Гофротруба</t>
  </si>
  <si>
    <t>Меблі, техніка та аксесуари</t>
  </si>
  <si>
    <t>Технічні системи і види робіт</t>
  </si>
  <si>
    <t>Нанесення технологічного грунту (Грунтування стяжки)</t>
  </si>
  <si>
    <t>сист</t>
  </si>
  <si>
    <t xml:space="preserve">Монтаж вентилятору </t>
  </si>
  <si>
    <t>посл</t>
  </si>
  <si>
    <t>Підключення електроплити, кухонних елементів</t>
  </si>
  <si>
    <t>порізка</t>
  </si>
  <si>
    <t>Автомат трифазний С-32</t>
  </si>
  <si>
    <t>Автомат трифазний С-40</t>
  </si>
  <si>
    <t>Коробка розподільча 70*7</t>
  </si>
  <si>
    <t xml:space="preserve">Монтаж дверей </t>
  </si>
  <si>
    <t xml:space="preserve">Добавка поверхнево- активна  </t>
  </si>
  <si>
    <t>Монтаж тепло та пароізоляції пристінку</t>
  </si>
  <si>
    <t>Демонтаж пристінка з ГКЛ</t>
  </si>
  <si>
    <t>Гіпсокартон  вологостійкий t-12,5 мм</t>
  </si>
  <si>
    <t xml:space="preserve">Дверна коробка </t>
  </si>
  <si>
    <t>Монтаж підготовчого шару з фанери на дюбелях та клею з шліфовкою</t>
  </si>
  <si>
    <t xml:space="preserve">Стрічка абразивна "Профіт" </t>
  </si>
  <si>
    <t>Хол</t>
  </si>
  <si>
    <t>Облицювання стін керамогранітом</t>
  </si>
  <si>
    <t xml:space="preserve">Шлангове підключення </t>
  </si>
  <si>
    <t>Фарбування двері</t>
  </si>
  <si>
    <t>Фарбування стін за меблями</t>
  </si>
  <si>
    <t xml:space="preserve">Подушка </t>
  </si>
  <si>
    <t>Маршрутизатор (роутер)</t>
  </si>
  <si>
    <t xml:space="preserve">Монтаж дзеркал </t>
  </si>
  <si>
    <t>Картина</t>
  </si>
  <si>
    <t xml:space="preserve">Ґрунтовка CT-17 </t>
  </si>
  <si>
    <t>Пінополістірол 50мм</t>
  </si>
  <si>
    <t xml:space="preserve">Відеодомофон + панель </t>
  </si>
  <si>
    <t xml:space="preserve">Вентилятор витяжний </t>
  </si>
  <si>
    <t>Влаштування багаторівневих стель з ГКЛ</t>
  </si>
  <si>
    <t>Влаштування стель з ГКЛ, коробів П і Г-образних (счит. Розгортку по г / к)</t>
  </si>
  <si>
    <t>Витратні матеріали, грн</t>
  </si>
  <si>
    <t>Фанера t-18 мм</t>
  </si>
  <si>
    <t>Монтаж підлоги з готової паркет-дошки на клею</t>
  </si>
  <si>
    <t>Клей Vermeister  для паркету</t>
  </si>
  <si>
    <t>Монтаж електрофурнітури</t>
  </si>
  <si>
    <t xml:space="preserve">Повітропровід 60х200 мм </t>
  </si>
  <si>
    <t>Кутники</t>
  </si>
  <si>
    <t>Кутик перфорований з сіткою</t>
  </si>
  <si>
    <t>Блок 600*100*200 G D500 Стоунлайн</t>
  </si>
  <si>
    <t>Клей для піноблоків Polimin ПБ-55</t>
  </si>
  <si>
    <t>Кладка під штукатурку  стовпів перерізом 510х510 та менше, кладка місцями до 1м3</t>
  </si>
  <si>
    <t>2-01</t>
  </si>
  <si>
    <t>2-05</t>
  </si>
  <si>
    <t>3-05</t>
  </si>
  <si>
    <t>5-05</t>
  </si>
  <si>
    <t>2-11</t>
  </si>
  <si>
    <t>2-13</t>
  </si>
  <si>
    <t>2-20</t>
  </si>
  <si>
    <t>2-54</t>
  </si>
  <si>
    <t>2-55</t>
  </si>
  <si>
    <t>2-56</t>
  </si>
  <si>
    <t>Демонтаж електрощита</t>
  </si>
  <si>
    <t>Демонтаж автоматов однофазних</t>
  </si>
  <si>
    <t>Демонтаж автоматов 3-х ф, УЗО (от 140 А)</t>
  </si>
  <si>
    <t>Демонтаж  ел.проводки мідної в гофрорукаві до 6мм</t>
  </si>
  <si>
    <t>Демонтаж  ел.точки в цегляній стіні</t>
  </si>
  <si>
    <t>Демонтаж  електрофурнітури в стіні</t>
  </si>
  <si>
    <t>Демонтаж  ел.проводкі до 6 мм2</t>
  </si>
  <si>
    <t>Паркетна дошка "Barlinek  Tastes of Life PUDDING" 180*2200</t>
  </si>
  <si>
    <t>Плитка Alaplane Re Vilema Beige 1200x230мм</t>
  </si>
  <si>
    <t>7-19</t>
  </si>
  <si>
    <t>7-22-1</t>
  </si>
  <si>
    <t>Влаштування підлоги з керамограніта</t>
  </si>
  <si>
    <t>Затирка Mapei Ultracolor Plus 100</t>
  </si>
  <si>
    <t>Клей Ceresit CM-12 для керамогранита</t>
  </si>
  <si>
    <t>Смывка для плитки Mapei Keranet (0,75 л)</t>
  </si>
  <si>
    <t>7-16</t>
  </si>
  <si>
    <t>7-08</t>
  </si>
  <si>
    <t>8-12</t>
  </si>
  <si>
    <t>7-38</t>
  </si>
  <si>
    <t>Порожек алюминиевый TIS 2700мм дуб белый или аналог</t>
  </si>
  <si>
    <t>Улаштування плінтуса МДФ</t>
  </si>
  <si>
    <t>7-32</t>
  </si>
  <si>
    <t>Плінтус підлоговий МДФ  2005-Y50R</t>
  </si>
  <si>
    <t>Виготовлення та монтаж закладних, дрібних деталей вагою до 50 кг</t>
  </si>
  <si>
    <t>тн</t>
  </si>
  <si>
    <t>Круг відрізний 230 метал</t>
  </si>
  <si>
    <t>Арматура ф10мм</t>
  </si>
  <si>
    <t>Влаштування перемичок із арматури</t>
  </si>
  <si>
    <t>Арматура ф12мм</t>
  </si>
  <si>
    <t>Грунтування перемичок із арматури за 2 рази</t>
  </si>
  <si>
    <t>Грунт ГФ-021</t>
  </si>
  <si>
    <t>4-24</t>
  </si>
  <si>
    <t>9-26</t>
  </si>
  <si>
    <t>3-04</t>
  </si>
  <si>
    <t>9-01</t>
  </si>
  <si>
    <t>9-01-1</t>
  </si>
  <si>
    <t>9-01-2</t>
  </si>
  <si>
    <t>9-11</t>
  </si>
  <si>
    <t>Нанесення технологічного грунту  (відкоси)</t>
  </si>
  <si>
    <t>9-07</t>
  </si>
  <si>
    <t>9-07-1</t>
  </si>
  <si>
    <t>9-10</t>
  </si>
  <si>
    <t>Нанесення технологічного грунту  на стіни</t>
  </si>
  <si>
    <t>9-13</t>
  </si>
  <si>
    <t>9-13-1</t>
  </si>
  <si>
    <t>9-14</t>
  </si>
  <si>
    <t>9-14-1</t>
  </si>
  <si>
    <t>9-17-1</t>
  </si>
  <si>
    <t>5-02</t>
  </si>
  <si>
    <t>5-06</t>
  </si>
  <si>
    <t xml:space="preserve">Обшивка конструкцій  ГКЛ на клею </t>
  </si>
  <si>
    <t>5-11</t>
  </si>
  <si>
    <t>Влаштування ГКЛ конструкцій об'ємних (інсталяції, ніши)</t>
  </si>
  <si>
    <t>5-08</t>
  </si>
  <si>
    <t>5-10</t>
  </si>
  <si>
    <t>5-07</t>
  </si>
  <si>
    <t>Обшивка ГКЛ по ГКЛ подвійний шар або ГКЛ по готовому каркасу</t>
  </si>
  <si>
    <t>8-11</t>
  </si>
  <si>
    <t>5-03</t>
  </si>
  <si>
    <t>9-47</t>
  </si>
  <si>
    <t>9-23-1</t>
  </si>
  <si>
    <t>Фарбування відкосів за меблями</t>
  </si>
  <si>
    <t>9-23</t>
  </si>
  <si>
    <t>9-36-1</t>
  </si>
  <si>
    <t>9-39</t>
  </si>
  <si>
    <t>9-40</t>
  </si>
  <si>
    <t>Фарба Caporol Samtex 20 (біла)</t>
  </si>
  <si>
    <t xml:space="preserve">Клей Ceresit CM-117 </t>
  </si>
  <si>
    <t>Керамогранит Ragho Woodpeace Caffe 200*1200 (санвузол)</t>
  </si>
  <si>
    <t>Керамогранит Atlas Concore 3D Solid White Matt 400*800 (санвузол)</t>
  </si>
  <si>
    <t>Керамогранит Atlas Concore 3D Blade White Matt 400*800 (санвузол)</t>
  </si>
  <si>
    <t>Керамогранит SP GolCalacate 600*600 (кух.фартук)</t>
  </si>
  <si>
    <t>Дзеркало з підсвіткою 1080*1000мм (санвузол)</t>
  </si>
  <si>
    <t>Скляні полки 500мм</t>
  </si>
  <si>
    <t xml:space="preserve">Йоржик для унітазу </t>
  </si>
  <si>
    <t xml:space="preserve">Стакан </t>
  </si>
  <si>
    <t xml:space="preserve">Дозатор для рідкого мила </t>
  </si>
  <si>
    <t xml:space="preserve">Гачок </t>
  </si>
  <si>
    <t xml:space="preserve">Тримач туалетного паперу </t>
  </si>
  <si>
    <t>ДСП панель ТП1 CLEAF FB 11 ARES 18мм</t>
  </si>
  <si>
    <t>Монтаж накладки на дверь вхідну</t>
  </si>
  <si>
    <t xml:space="preserve">Монтаж ДСП панель </t>
  </si>
  <si>
    <t>Накладка на двері ДСП панель ТП1 CLEAF FB 11 ARES 18мм</t>
  </si>
  <si>
    <t>Дверне полотно прихованого монтажа з магнітним замком, защелкой  (МДФ крашений RAL 7022/МДФ крашений RAL 7022) санвузол 800*2100мм=1,68м2</t>
  </si>
  <si>
    <t>Дверне полотно прихованого монтажа з магнітним замком, защелкой  (МДФ крашений RAL 7022/дзеркало) спальня 900*2100мм=1,89м3</t>
  </si>
  <si>
    <t>6-02</t>
  </si>
  <si>
    <t>6-09</t>
  </si>
  <si>
    <t>Монтаж відбійника на підлогу</t>
  </si>
  <si>
    <t>Відбійник</t>
  </si>
  <si>
    <t>6-18</t>
  </si>
  <si>
    <t>Установка підвіконь з штучного каменю</t>
  </si>
  <si>
    <t>Підвіконня Штучний камень, колір білий (Topalit (Austria) Снежно-білий полуглянцевий 406) (ширина 200-250мм)</t>
  </si>
  <si>
    <t>Гардеробна шафа 1850*600мм (двері-дзеркало+торець-ДСП панель ТП-1 CLEAF FB 11 ARES 18мм)</t>
  </si>
  <si>
    <t>Монтажні роботи, проектні послуги, доставка підйом до квартири</t>
  </si>
  <si>
    <t>Кондиционер Тип 1 COOPER&amp;HUNTER CH-S09FTXE Белый (производительность холод - 2,6кВт, габариты внутр.блок 20*79*27,5мм, габариты внешн.блок 77,6*32*54см)</t>
  </si>
  <si>
    <t>Кондиционер Тип 2 COOPER&amp;HUNTER CH-S09FTXE Белый (производительность холод - 2,6кВт, габариты внутр.блок 20*79*27,5мм, габариты внешн.блок 77,6*32*54см)</t>
  </si>
  <si>
    <t>Монтаж систем кондиціонування, проектні послуги, доставка підйом до квартири, випробування</t>
  </si>
  <si>
    <t>14-01</t>
  </si>
  <si>
    <t>14-02</t>
  </si>
  <si>
    <t>14-03</t>
  </si>
  <si>
    <t>Тумба під умивальник 1080*450мм</t>
  </si>
  <si>
    <t>Фасад ніши для бойлера</t>
  </si>
  <si>
    <t>Збірка і установка сантехмебелі, проектні послуги, доставка підйом до квартири</t>
  </si>
  <si>
    <t>Бойлер 950*500мм ширина 270мм</t>
  </si>
  <si>
    <t>13-80</t>
  </si>
  <si>
    <t>Плитка Ragho Woodpeace Caffe 200х1200мм</t>
  </si>
  <si>
    <t>12-30</t>
  </si>
  <si>
    <t>12-31</t>
  </si>
  <si>
    <t>12-33</t>
  </si>
  <si>
    <t xml:space="preserve">Монтаж електроприладів </t>
  </si>
  <si>
    <t>Рушникосушка Класік 400*600 електричний</t>
  </si>
  <si>
    <t>Телевізор (спальня)</t>
  </si>
  <si>
    <t>Телевізор 55" (кухня-столова)</t>
  </si>
  <si>
    <t>Витяжна кухонна вбудована телескопічна</t>
  </si>
  <si>
    <t>12-34</t>
  </si>
  <si>
    <t>13-97</t>
  </si>
  <si>
    <t>12-35</t>
  </si>
  <si>
    <t>12-39</t>
  </si>
  <si>
    <t>Тепла підлога</t>
  </si>
  <si>
    <t xml:space="preserve">Монтаж регулятора підлоги </t>
  </si>
  <si>
    <t>12-40</t>
  </si>
  <si>
    <t>Терморегулятор теплої підлоги</t>
  </si>
  <si>
    <t>12-41</t>
  </si>
  <si>
    <t xml:space="preserve">Духова шафа </t>
  </si>
  <si>
    <t xml:space="preserve">Холодильник </t>
  </si>
  <si>
    <t xml:space="preserve">Варильна nоверхня </t>
  </si>
  <si>
    <t>12-43</t>
  </si>
  <si>
    <t>Лампа светодиодная LED 220V</t>
  </si>
  <si>
    <t>12-44</t>
  </si>
  <si>
    <t>Точковий свiтильник одинарний вбудований (Philips 80080/40 или аналог, цвет 4400, размер d=100vмм, H=150мм)</t>
  </si>
  <si>
    <t>Точковий свiтильник одинарний вбудований Вологостійкий (Philips 80080/40 или аналог, цвет 4400, размер d=100vмм, H=150мм)</t>
  </si>
  <si>
    <t>Підвісний світильник на 3 лампи</t>
  </si>
  <si>
    <t>Підвісний світильник на 8 ламп</t>
  </si>
  <si>
    <t>12-46</t>
  </si>
  <si>
    <t>Збирання світильників</t>
  </si>
  <si>
    <t>Світильник настільний Markslojd 106080 Valencia или аналог (на 1 лампу)</t>
  </si>
  <si>
    <t>12-47-2</t>
  </si>
  <si>
    <t xml:space="preserve">Стрічка LED 12в 4,8 вт,IP65 </t>
  </si>
  <si>
    <t>Трансформатор гермітичний ІР65 20Вт</t>
  </si>
  <si>
    <t>Трансформатор гермітичний ІР65 40Вт</t>
  </si>
  <si>
    <t>Трансформатор гермітичний ІР65 120Вт</t>
  </si>
  <si>
    <t>12-53</t>
  </si>
  <si>
    <t>12-01-2</t>
  </si>
  <si>
    <t>12-03</t>
  </si>
  <si>
    <t>12-04-1</t>
  </si>
  <si>
    <t>12-05</t>
  </si>
  <si>
    <t>12-06</t>
  </si>
  <si>
    <t>12-15</t>
  </si>
  <si>
    <t>12-16</t>
  </si>
  <si>
    <t>12-24</t>
  </si>
  <si>
    <t>12-25</t>
  </si>
  <si>
    <t>12-28</t>
  </si>
  <si>
    <t>Монтаж ел.вивода розеток, вимикачів в цегляній стіні</t>
  </si>
  <si>
    <t>Монтаж ел.точки в гіпсокартонній стіні</t>
  </si>
  <si>
    <t>Розетка одинарна 220V Legrand Velena</t>
  </si>
  <si>
    <t>Розетка одинарна 220V Влагостійка Legrand Velena</t>
  </si>
  <si>
    <t>Розетка одинарна 220V Влагостійка з кришкою Legrand Velena</t>
  </si>
  <si>
    <t>Розетка одинарна 220V із заземленням 32А Legrand Velena</t>
  </si>
  <si>
    <t>Одноклавішний вимикач Legrand Velena</t>
  </si>
  <si>
    <t>Одноклавішний вимикач влагостійкий Legrand Velena</t>
  </si>
  <si>
    <t>Одноклавішний вимикач (прохідний) Legrand Velena</t>
  </si>
  <si>
    <t>Одноклавишный перекрёстный выключатель Legrand Velena</t>
  </si>
  <si>
    <t>Мастер вимикач на кілька груп одноклавішний прохідний Legrand Velena</t>
  </si>
  <si>
    <t>Двухклавішний вимикач Legrand Velena</t>
  </si>
  <si>
    <t>Двухклавішний вимикач влагостійкий Legrand Velena</t>
  </si>
  <si>
    <t>Двухклавішний вимикач прохідний Legrand Velena</t>
  </si>
  <si>
    <t>Розетка під антену AN Legrand Velena</t>
  </si>
  <si>
    <t>Розетка під інтернет IN CAT 5х2 Legrand Velena</t>
  </si>
  <si>
    <t>Рамка 1-м, гориз Legrand Velena</t>
  </si>
  <si>
    <t>Рамка 2-м, гориз Legrand Velena</t>
  </si>
  <si>
    <t>Рамка 3-м гориз Legrand Velena</t>
  </si>
  <si>
    <t>Рамка 3-м вертик Legrand Velena</t>
  </si>
  <si>
    <t>Рамка 4-м, гориз Legrand Velena</t>
  </si>
  <si>
    <t>Рамка 5-м, гориз Legrand Velena</t>
  </si>
  <si>
    <t>13-30</t>
  </si>
  <si>
    <t>Опалювальний прилад 1510мм, Р=350мм, 200мм</t>
  </si>
  <si>
    <t>13-33</t>
  </si>
  <si>
    <t>13-01</t>
  </si>
  <si>
    <t>13-06-1</t>
  </si>
  <si>
    <t>Демонтаж опалювальних приладів без повторного застосування</t>
  </si>
  <si>
    <t>13-08</t>
  </si>
  <si>
    <t>13-08-01</t>
  </si>
  <si>
    <t>13-11</t>
  </si>
  <si>
    <t>13-12</t>
  </si>
  <si>
    <t>13-16</t>
  </si>
  <si>
    <t>13-17</t>
  </si>
  <si>
    <t>13-18</t>
  </si>
  <si>
    <t>13-38</t>
  </si>
  <si>
    <t>Умивальник 1080*600мм з сифоном</t>
  </si>
  <si>
    <t>13-41</t>
  </si>
  <si>
    <t>Монтаж ванни</t>
  </si>
  <si>
    <t>Ванна 800*1800мм с сифоном</t>
  </si>
  <si>
    <t>13-42-1</t>
  </si>
  <si>
    <t>Монтаж шторки для ванни</t>
  </si>
  <si>
    <t>Скляна шторка1500*500мм</t>
  </si>
  <si>
    <t>13-44</t>
  </si>
  <si>
    <t>Монтаж унітазу консольного</t>
  </si>
  <si>
    <t>Унитаз консольний з кришкой</t>
  </si>
  <si>
    <t>13-44-1</t>
  </si>
  <si>
    <t>Монтаж  інсталяції для унітазу</t>
  </si>
  <si>
    <t>Інсталяція для унітазу з кнопкою</t>
  </si>
  <si>
    <t>13-45</t>
  </si>
  <si>
    <t>Змiшувач для умивальника</t>
  </si>
  <si>
    <t>13-46</t>
  </si>
  <si>
    <t>Монтаж змішувача прихованої установки</t>
  </si>
  <si>
    <t>Змiшувач для ванни</t>
  </si>
  <si>
    <t>13-46-1</t>
  </si>
  <si>
    <t>Шланг в металевій оплітці</t>
  </si>
  <si>
    <t>Гігієнічний душ</t>
  </si>
  <si>
    <t>13-47</t>
  </si>
  <si>
    <t>Душева штанга з змішувачем та ручним душем</t>
  </si>
  <si>
    <t>Монтаж фільтрів грубої очистки d- 10-32 мм</t>
  </si>
  <si>
    <t>13-50</t>
  </si>
  <si>
    <t>13-59-2</t>
  </si>
  <si>
    <t>13-60</t>
  </si>
  <si>
    <t>13-61</t>
  </si>
  <si>
    <t>13-65</t>
  </si>
  <si>
    <t>Пральна машина</t>
  </si>
  <si>
    <t>13-66</t>
  </si>
  <si>
    <t xml:space="preserve">Посудомийна машина </t>
  </si>
  <si>
    <t>13-67</t>
  </si>
  <si>
    <t>Кухонна мийка з сифоном</t>
  </si>
  <si>
    <t>Змiшувач для кухонної мойки з краном для фільтрованої води</t>
  </si>
  <si>
    <t>13-54</t>
  </si>
  <si>
    <t>Монтаж фільтра тонкої очистки</t>
  </si>
  <si>
    <t>Фільтр для води</t>
  </si>
  <si>
    <t>13-95</t>
  </si>
  <si>
    <t>13-96</t>
  </si>
  <si>
    <t>13-99</t>
  </si>
  <si>
    <t>13-101</t>
  </si>
  <si>
    <t>Монтаж системи "Аквастоп"</t>
  </si>
  <si>
    <t>Система "Аквастоп" на 5 датчиків</t>
  </si>
  <si>
    <t>Спальня-балкон</t>
  </si>
  <si>
    <t xml:space="preserve">Шафа з нішею під ТВ 3400*600*2850Нмм </t>
  </si>
  <si>
    <t>Ліжко з ізголов'ем 1800*2100мм</t>
  </si>
  <si>
    <t>Ортопедичний матрац 1800*2000мм</t>
  </si>
  <si>
    <t>Тумби приліжкові 450*600мм Н=450мм</t>
  </si>
  <si>
    <t>Килимове покриття для підлоги 2800*1900мм</t>
  </si>
  <si>
    <t>Подушка-валік</t>
  </si>
  <si>
    <t>Кронштейн для ТВ</t>
  </si>
  <si>
    <t>Стіл комп'ютерний 1100*600*750Нмм</t>
  </si>
  <si>
    <t>Крісло 560*560мм</t>
  </si>
  <si>
    <t>Пуф 600*600мм</t>
  </si>
  <si>
    <t xml:space="preserve">Монтаж штор и карнизів </t>
  </si>
  <si>
    <t>Комплект штор с карнизом (тюль - 1шт + штора - 1шт (1500*Н=3000м), тюль - 1шт + штора - 1шт (2760*Н=3000м))</t>
  </si>
  <si>
    <t>Аксесуар</t>
  </si>
  <si>
    <t>Кухонна стінка 3400*2850Нмм з LED підсвіткою кух.фартука та столешнею з штучного каменю 2770*600Нмм (ТriStone Grey Pearl S-216)</t>
  </si>
  <si>
    <t>Стіл обідній розсувний 900*1600мм Bamax, коллекция Slash</t>
  </si>
  <si>
    <t>Стілець обідній Bamax, коллекция Slash</t>
  </si>
  <si>
    <t>Діван 2300*900мм</t>
  </si>
  <si>
    <t>Подушки на діван</t>
  </si>
  <si>
    <t>Плед на діван</t>
  </si>
  <si>
    <t>Стіл придіванний круглий</t>
  </si>
  <si>
    <t>Консоль під ТВ 2500*365*400Нмм</t>
  </si>
  <si>
    <t>Полка над ТВ 2500*30мм</t>
  </si>
  <si>
    <t>Ваза з цветком</t>
  </si>
  <si>
    <t>Картина  1500*900мм</t>
  </si>
  <si>
    <t>Килимове покриття для підлоги 28300*1700мм</t>
  </si>
  <si>
    <t>Комплект штор с карнизом(тюль-2шт+штора-2шт (4350*Н=3000м))</t>
  </si>
  <si>
    <t>Доставка підйом до квартири</t>
  </si>
  <si>
    <t>Балкон</t>
  </si>
  <si>
    <t xml:space="preserve">Шафа 1100*600*2850Нмм </t>
  </si>
  <si>
    <t>Пуф 100*500*400Нмм</t>
  </si>
  <si>
    <t>Комплект Римських штор</t>
  </si>
  <si>
    <t>Комплект штор с карнизом  (штора-2шт (2760*3000Нмм; 1500*3000Нмм))</t>
  </si>
  <si>
    <t>9-44-1</t>
  </si>
  <si>
    <t>9-46</t>
  </si>
  <si>
    <t>Монтаж лючка ревізійного з плитки на магнітах</t>
  </si>
  <si>
    <t>Магніти для лючка</t>
  </si>
  <si>
    <t>Люк ревізійний 800*470Нмм</t>
  </si>
  <si>
    <t>Влаштування прорізів у ГКЛ конструкціях під розетки, вимикачі, вивида трубопроводів</t>
  </si>
  <si>
    <t>Кріплення сантехаксесуарів</t>
  </si>
  <si>
    <t>Штукатурка стель</t>
  </si>
  <si>
    <t>9-06</t>
  </si>
  <si>
    <t>Профіль для плитки кутовий</t>
  </si>
  <si>
    <t xml:space="preserve">Ґрунтування  стель </t>
  </si>
  <si>
    <t>8-09</t>
  </si>
  <si>
    <t>5-13</t>
  </si>
  <si>
    <t>5-13-1</t>
  </si>
  <si>
    <t>5-21</t>
  </si>
  <si>
    <t>5-16</t>
  </si>
  <si>
    <t>Шпаклювання швів гіпсокартонних конструкцій</t>
  </si>
  <si>
    <t>9-17</t>
  </si>
  <si>
    <t>9-17-2</t>
  </si>
  <si>
    <t>Виготовка стелі під фарбування (зі склохолстом)</t>
  </si>
  <si>
    <t>Монтаж кутиків перфорованих</t>
  </si>
  <si>
    <t>Фарбування стель в/ем.фарбою за 2 р.</t>
  </si>
  <si>
    <t>9-24</t>
  </si>
  <si>
    <t>2-59</t>
  </si>
  <si>
    <t>2-60</t>
  </si>
  <si>
    <t>Винос сміття з 2-го поверху та вище вручну (за 1 поверх)</t>
  </si>
  <si>
    <t>2-61</t>
  </si>
  <si>
    <t>2-62</t>
  </si>
  <si>
    <t>2-63</t>
  </si>
  <si>
    <t>2-64</t>
  </si>
  <si>
    <t>2-69</t>
  </si>
  <si>
    <t>2-70</t>
  </si>
  <si>
    <t xml:space="preserve">Доставка матеріалів для місця укладки вручну на відстань більше 30 м </t>
  </si>
  <si>
    <t>5-27</t>
  </si>
  <si>
    <t>Додаток №2</t>
  </si>
  <si>
    <t>до Договору будівельного подряду № ___________ від ________________</t>
  </si>
  <si>
    <t xml:space="preserve">Замовник: </t>
  </si>
  <si>
    <t xml:space="preserve">Підрядник: </t>
  </si>
  <si>
    <t xml:space="preserve">Об'єкт: "Ремонтно-будівельні та оздоблювальні роботи квартири площею 53,89 м2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</si>
</sst>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\-??_р_._-;_-@_-"/>
    <numFmt numFmtId="166" formatCode="_-* #,##0.00_р_._-;\-* #,##0.00_р_._-;_-* &quot;-&quot;??_р_._-;_-@_-"/>
    <numFmt numFmtId="167" formatCode="#,##0.000"/>
    <numFmt numFmtId="168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165" fontId="4" fillId="0" borderId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250">
    <xf numFmtId="0" fontId="0" fillId="0" borderId="0" xfId="0"/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9" fontId="7" fillId="0" borderId="1" xfId="8" applyFont="1" applyFill="1" applyBorder="1" applyAlignment="1">
      <alignment horizontal="center" vertical="center"/>
    </xf>
    <xf numFmtId="9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7" fillId="0" borderId="1" xfId="1" quotePrefix="1" applyFont="1" applyFill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right" vertical="center"/>
    </xf>
    <xf numFmtId="0" fontId="6" fillId="0" borderId="1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2" fontId="6" fillId="0" borderId="1" xfId="2" applyNumberFormat="1" applyFont="1" applyFill="1" applyBorder="1" applyAlignment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vertical="center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/>
    </xf>
    <xf numFmtId="4" fontId="7" fillId="0" borderId="6" xfId="1" applyNumberFormat="1" applyFont="1" applyFill="1" applyBorder="1" applyAlignment="1">
      <alignment horizontal="right" vertical="center" wrapText="1"/>
    </xf>
    <xf numFmtId="4" fontId="7" fillId="0" borderId="9" xfId="1" applyNumberFormat="1" applyFont="1" applyFill="1" applyBorder="1" applyAlignment="1">
      <alignment horizontal="right" vertical="center" wrapText="1"/>
    </xf>
    <xf numFmtId="0" fontId="6" fillId="0" borderId="5" xfId="2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right" vertical="center" wrapText="1"/>
    </xf>
    <xf numFmtId="0" fontId="6" fillId="0" borderId="7" xfId="1" applyFont="1" applyFill="1" applyBorder="1" applyAlignment="1">
      <alignment vertical="center"/>
    </xf>
    <xf numFmtId="49" fontId="7" fillId="0" borderId="8" xfId="1" quotePrefix="1" applyNumberFormat="1" applyFont="1" applyFill="1" applyBorder="1" applyAlignment="1">
      <alignment horizontal="right" vertical="center" wrapText="1"/>
    </xf>
    <xf numFmtId="9" fontId="7" fillId="0" borderId="8" xfId="8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right" vertical="center"/>
    </xf>
    <xf numFmtId="164" fontId="9" fillId="0" borderId="8" xfId="1" applyNumberFormat="1" applyFont="1" applyFill="1" applyBorder="1" applyAlignment="1">
      <alignment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7" fontId="6" fillId="0" borderId="1" xfId="2" applyNumberFormat="1" applyFont="1" applyFill="1" applyBorder="1" applyAlignment="1">
      <alignment horizontal="right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vertical="center" wrapText="1"/>
    </xf>
    <xf numFmtId="4" fontId="9" fillId="0" borderId="14" xfId="1" applyNumberFormat="1" applyFont="1" applyFill="1" applyBorder="1" applyAlignment="1">
      <alignment horizontal="right" vertical="center" wrapText="1"/>
    </xf>
    <xf numFmtId="4" fontId="9" fillId="0" borderId="13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2" borderId="5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right" vertical="center" wrapText="1"/>
    </xf>
    <xf numFmtId="4" fontId="6" fillId="2" borderId="6" xfId="2" applyNumberFormat="1" applyFont="1" applyFill="1" applyBorder="1" applyAlignment="1">
      <alignment horizontal="right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2" fontId="14" fillId="4" borderId="1" xfId="0" applyNumberFormat="1" applyFont="1" applyFill="1" applyBorder="1" applyAlignment="1">
      <alignment horizontal="right" vertical="center"/>
    </xf>
    <xf numFmtId="0" fontId="14" fillId="4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right" vertical="center" wrapText="1"/>
    </xf>
    <xf numFmtId="164" fontId="7" fillId="0" borderId="10" xfId="1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18" xfId="1" applyNumberFormat="1" applyFont="1" applyFill="1" applyBorder="1" applyAlignment="1">
      <alignment horizontal="right" vertical="center" wrapText="1"/>
    </xf>
    <xf numFmtId="4" fontId="7" fillId="0" borderId="10" xfId="1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wrapText="1"/>
    </xf>
    <xf numFmtId="168" fontId="14" fillId="4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 shrinkToFi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 shrinkToFit="1"/>
    </xf>
    <xf numFmtId="2" fontId="6" fillId="2" borderId="1" xfId="2" applyNumberFormat="1" applyFont="1" applyFill="1" applyBorder="1" applyAlignment="1">
      <alignment horizontal="right" vertical="center" wrapText="1"/>
    </xf>
    <xf numFmtId="167" fontId="6" fillId="0" borderId="1" xfId="4" applyNumberFormat="1" applyFont="1" applyFill="1" applyBorder="1" applyAlignment="1">
      <alignment horizontal="right" vertical="center" wrapText="1"/>
    </xf>
    <xf numFmtId="4" fontId="6" fillId="2" borderId="6" xfId="2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" fontId="16" fillId="0" borderId="1" xfId="2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1" fontId="7" fillId="2" borderId="23" xfId="0" applyNumberFormat="1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9" fontId="6" fillId="0" borderId="24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24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vertical="center"/>
    </xf>
    <xf numFmtId="2" fontId="6" fillId="3" borderId="1" xfId="2" applyNumberFormat="1" applyFont="1" applyFill="1" applyBorder="1" applyAlignment="1">
      <alignment vertical="center" wrapText="1"/>
    </xf>
    <xf numFmtId="2" fontId="14" fillId="3" borderId="1" xfId="0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vertical="center"/>
    </xf>
    <xf numFmtId="2" fontId="17" fillId="3" borderId="1" xfId="0" applyNumberFormat="1" applyFont="1" applyFill="1" applyBorder="1" applyAlignment="1">
      <alignment vertical="center" wrapText="1"/>
    </xf>
    <xf numFmtId="4" fontId="6" fillId="3" borderId="6" xfId="2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6" fillId="5" borderId="1" xfId="3" applyNumberFormat="1" applyFont="1" applyFill="1" applyBorder="1" applyAlignment="1">
      <alignment horizontal="right" vertical="center"/>
    </xf>
    <xf numFmtId="0" fontId="6" fillId="5" borderId="1" xfId="1" applyFont="1" applyFill="1" applyBorder="1" applyAlignment="1">
      <alignment vertical="center"/>
    </xf>
    <xf numFmtId="4" fontId="6" fillId="5" borderId="6" xfId="2" applyNumberFormat="1" applyFont="1" applyFill="1" applyBorder="1" applyAlignment="1">
      <alignment horizontal="right" vertical="center" wrapText="1"/>
    </xf>
    <xf numFmtId="0" fontId="6" fillId="5" borderId="1" xfId="1" applyFont="1" applyFill="1" applyBorder="1" applyAlignment="1">
      <alignment horizontal="left" vertical="center" wrapText="1"/>
    </xf>
    <xf numFmtId="4" fontId="6" fillId="5" borderId="1" xfId="2" applyNumberFormat="1" applyFont="1" applyFill="1" applyBorder="1" applyAlignment="1">
      <alignment horizontal="right" vertical="center" wrapText="1"/>
    </xf>
    <xf numFmtId="4" fontId="6" fillId="5" borderId="1" xfId="1" applyNumberFormat="1" applyFont="1" applyFill="1" applyBorder="1" applyAlignment="1">
      <alignment horizontal="right" vertical="center"/>
    </xf>
    <xf numFmtId="0" fontId="6" fillId="5" borderId="1" xfId="4" applyFont="1" applyFill="1" applyBorder="1" applyAlignment="1">
      <alignment horizontal="left" vertical="center" wrapText="1"/>
    </xf>
    <xf numFmtId="0" fontId="6" fillId="5" borderId="1" xfId="4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right" vertical="center" wrapText="1"/>
    </xf>
    <xf numFmtId="0" fontId="6" fillId="5" borderId="1" xfId="4" applyFont="1" applyFill="1" applyBorder="1" applyAlignment="1">
      <alignment vertical="center" wrapText="1"/>
    </xf>
    <xf numFmtId="4" fontId="6" fillId="5" borderId="1" xfId="1" applyNumberFormat="1" applyFont="1" applyFill="1" applyBorder="1" applyAlignment="1">
      <alignment horizontal="right" vertical="center" wrapText="1"/>
    </xf>
    <xf numFmtId="0" fontId="6" fillId="5" borderId="1" xfId="2" applyFont="1" applyFill="1" applyBorder="1" applyAlignment="1">
      <alignment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right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vertical="center" wrapText="1"/>
    </xf>
    <xf numFmtId="4" fontId="6" fillId="5" borderId="1" xfId="2" applyNumberFormat="1" applyFont="1" applyFill="1" applyBorder="1" applyAlignment="1">
      <alignment horizontal="center" vertical="center" wrapText="1"/>
    </xf>
    <xf numFmtId="4" fontId="6" fillId="5" borderId="1" xfId="2" applyNumberFormat="1" applyFont="1" applyFill="1" applyBorder="1" applyAlignment="1">
      <alignment vertical="center" wrapText="1"/>
    </xf>
    <xf numFmtId="4" fontId="6" fillId="5" borderId="1" xfId="2" applyNumberFormat="1" applyFont="1" applyFill="1" applyBorder="1" applyAlignment="1">
      <alignment horizontal="left" vertical="center" wrapText="1"/>
    </xf>
    <xf numFmtId="2" fontId="6" fillId="5" borderId="1" xfId="1" applyNumberFormat="1" applyFont="1" applyFill="1" applyBorder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167" fontId="6" fillId="5" borderId="1" xfId="2" applyNumberFormat="1" applyFont="1" applyFill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vertical="top" wrapText="1"/>
    </xf>
    <xf numFmtId="168" fontId="6" fillId="5" borderId="1" xfId="1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wrapText="1"/>
    </xf>
    <xf numFmtId="2" fontId="6" fillId="5" borderId="1" xfId="0" applyNumberFormat="1" applyFont="1" applyFill="1" applyBorder="1" applyAlignment="1">
      <alignment horizontal="right" vertical="center"/>
    </xf>
    <xf numFmtId="49" fontId="14" fillId="4" borderId="24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right" vertical="center"/>
    </xf>
    <xf numFmtId="49" fontId="6" fillId="4" borderId="24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2" fontId="11" fillId="0" borderId="0" xfId="1" applyNumberFormat="1" applyFont="1" applyFill="1" applyBorder="1" applyAlignment="1">
      <alignment vertical="center" wrapText="1"/>
    </xf>
    <xf numFmtId="0" fontId="6" fillId="0" borderId="16" xfId="2" applyFont="1" applyFill="1" applyBorder="1" applyAlignment="1">
      <alignment horizontal="center" vertical="center" wrapText="1"/>
    </xf>
    <xf numFmtId="49" fontId="14" fillId="4" borderId="11" xfId="0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vertical="center" wrapText="1"/>
    </xf>
    <xf numFmtId="0" fontId="6" fillId="0" borderId="11" xfId="2" applyFont="1" applyFill="1" applyBorder="1" applyAlignment="1">
      <alignment horizontal="center" vertical="center" wrapText="1"/>
    </xf>
    <xf numFmtId="4" fontId="6" fillId="0" borderId="11" xfId="2" applyNumberFormat="1" applyFont="1" applyFill="1" applyBorder="1" applyAlignment="1">
      <alignment horizontal="right" vertical="center" wrapText="1"/>
    </xf>
    <xf numFmtId="4" fontId="6" fillId="0" borderId="11" xfId="2" applyNumberFormat="1" applyFont="1" applyFill="1" applyBorder="1" applyAlignment="1">
      <alignment horizontal="center" vertical="center" wrapText="1"/>
    </xf>
    <xf numFmtId="4" fontId="6" fillId="0" borderId="17" xfId="2" applyNumberFormat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right" vertical="center"/>
    </xf>
    <xf numFmtId="164" fontId="7" fillId="0" borderId="3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7" fillId="0" borderId="12" xfId="1" applyNumberFormat="1" applyFont="1" applyFill="1" applyBorder="1" applyAlignment="1">
      <alignment horizontal="right" vertical="center" wrapText="1"/>
    </xf>
    <xf numFmtId="4" fontId="7" fillId="0" borderId="3" xfId="1" applyNumberFormat="1" applyFont="1" applyFill="1" applyBorder="1" applyAlignment="1">
      <alignment horizontal="right" vertical="center" wrapText="1"/>
    </xf>
    <xf numFmtId="4" fontId="7" fillId="0" borderId="4" xfId="1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vertical="center" wrapText="1"/>
    </xf>
    <xf numFmtId="4" fontId="17" fillId="0" borderId="1" xfId="2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/>
    </xf>
    <xf numFmtId="2" fontId="17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</cellXfs>
  <cellStyles count="10">
    <cellStyle name="Normal_Золотая смета" xfId="3" xr:uid="{00000000-0005-0000-0000-000000000000}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3 2" xfId="5" xr:uid="{00000000-0005-0000-0000-000004000000}"/>
    <cellStyle name="Обычный 4" xfId="4" xr:uid="{00000000-0005-0000-0000-000005000000}"/>
    <cellStyle name="Процентный" xfId="8" builtinId="5"/>
    <cellStyle name="Стиль 1" xfId="6" xr:uid="{00000000-0005-0000-0000-000007000000}"/>
    <cellStyle name="Финансовый 2" xfId="7" xr:uid="{00000000-0005-0000-0000-000008000000}"/>
    <cellStyle name="Финансовый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447"/>
  <sheetViews>
    <sheetView tabSelected="1" view="pageBreakPreview" topLeftCell="C421" zoomScale="80" zoomScaleNormal="80" zoomScaleSheetLayoutView="80" workbookViewId="0">
      <selection activeCell="G4" sqref="G4"/>
    </sheetView>
  </sheetViews>
  <sheetFormatPr defaultColWidth="62.85546875" defaultRowHeight="12.75" x14ac:dyDescent="0.25"/>
  <cols>
    <col min="1" max="1" width="4.42578125" style="5" customWidth="1"/>
    <col min="2" max="2" width="8.7109375" style="5" customWidth="1"/>
    <col min="3" max="3" width="49.42578125" style="5" customWidth="1"/>
    <col min="4" max="4" width="9" style="6" customWidth="1"/>
    <col min="5" max="5" width="12.7109375" style="7" customWidth="1"/>
    <col min="6" max="7" width="12.7109375" style="6" customWidth="1"/>
    <col min="8" max="8" width="40.85546875" style="5" customWidth="1"/>
    <col min="9" max="9" width="9" style="6" customWidth="1"/>
    <col min="10" max="10" width="9.5703125" style="93" customWidth="1"/>
    <col min="11" max="11" width="12.7109375" style="6" customWidth="1"/>
    <col min="12" max="13" width="13.7109375" style="6" customWidth="1"/>
    <col min="14" max="14" width="12.5703125" style="5" bestFit="1" customWidth="1"/>
    <col min="15" max="16384" width="62.85546875" style="5"/>
  </cols>
  <sheetData>
    <row r="1" spans="1:13" x14ac:dyDescent="0.25">
      <c r="A1" s="237" t="s">
        <v>564</v>
      </c>
      <c r="B1" s="237"/>
      <c r="C1" s="237"/>
      <c r="D1" s="2"/>
      <c r="E1" s="2"/>
      <c r="F1" s="2"/>
      <c r="G1" s="2"/>
      <c r="H1" s="46"/>
      <c r="I1" s="46"/>
      <c r="J1" s="92"/>
      <c r="L1" s="5"/>
      <c r="M1" s="47" t="s">
        <v>562</v>
      </c>
    </row>
    <row r="2" spans="1:13" x14ac:dyDescent="0.25">
      <c r="A2" s="78" t="s">
        <v>565</v>
      </c>
      <c r="B2" s="78"/>
      <c r="C2" s="2"/>
      <c r="D2" s="2"/>
      <c r="E2" s="2"/>
      <c r="F2" s="2"/>
      <c r="G2" s="2"/>
      <c r="H2" s="46"/>
      <c r="I2" s="46"/>
      <c r="J2" s="92"/>
      <c r="L2" s="5"/>
      <c r="M2" s="48" t="s">
        <v>563</v>
      </c>
    </row>
    <row r="3" spans="1:13" ht="26.25" customHeight="1" x14ac:dyDescent="0.25">
      <c r="A3" s="238" t="s">
        <v>566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5"/>
      <c r="M3" s="5"/>
    </row>
    <row r="4" spans="1:13" x14ac:dyDescent="0.25">
      <c r="A4" s="124"/>
      <c r="B4" s="131"/>
      <c r="C4" s="124"/>
      <c r="D4" s="124"/>
      <c r="E4" s="124"/>
      <c r="F4" s="124"/>
      <c r="G4" s="124"/>
      <c r="H4" s="124"/>
      <c r="I4" s="124"/>
      <c r="J4" s="47"/>
      <c r="K4" s="124"/>
      <c r="L4" s="5"/>
      <c r="M4" s="5"/>
    </row>
    <row r="5" spans="1:13" s="1" customFormat="1" ht="26.25" customHeight="1" x14ac:dyDescent="0.25">
      <c r="A5" s="239"/>
      <c r="B5" s="239"/>
      <c r="C5" s="239"/>
      <c r="D5" s="239"/>
      <c r="E5" s="239"/>
      <c r="F5" s="239"/>
      <c r="G5" s="239"/>
      <c r="H5" s="240"/>
      <c r="I5" s="239"/>
      <c r="J5" s="239"/>
      <c r="K5" s="239"/>
    </row>
    <row r="6" spans="1:13" s="1" customFormat="1" ht="15.75" customHeight="1" thickBot="1" x14ac:dyDescent="0.3">
      <c r="A6" s="241"/>
      <c r="B6" s="241"/>
      <c r="C6" s="241"/>
      <c r="D6" s="241"/>
      <c r="E6" s="241"/>
      <c r="F6" s="241"/>
      <c r="G6" s="241"/>
      <c r="H6" s="242"/>
      <c r="I6" s="241"/>
      <c r="J6" s="241"/>
      <c r="K6" s="241"/>
    </row>
    <row r="7" spans="1:13" s="72" customFormat="1" ht="15.75" customHeight="1" x14ac:dyDescent="0.25">
      <c r="A7" s="243" t="s">
        <v>0</v>
      </c>
      <c r="B7" s="132"/>
      <c r="C7" s="245" t="s">
        <v>1</v>
      </c>
      <c r="D7" s="246"/>
      <c r="E7" s="246"/>
      <c r="F7" s="246"/>
      <c r="G7" s="246"/>
      <c r="H7" s="247" t="s">
        <v>2</v>
      </c>
      <c r="I7" s="248"/>
      <c r="J7" s="248"/>
      <c r="K7" s="248"/>
      <c r="L7" s="248"/>
      <c r="M7" s="249"/>
    </row>
    <row r="8" spans="1:13" s="72" customFormat="1" ht="40.5" customHeight="1" x14ac:dyDescent="0.25">
      <c r="A8" s="244"/>
      <c r="B8" s="137"/>
      <c r="C8" s="114" t="s">
        <v>3</v>
      </c>
      <c r="D8" s="115" t="s">
        <v>4</v>
      </c>
      <c r="E8" s="116" t="s">
        <v>5</v>
      </c>
      <c r="F8" s="117" t="s">
        <v>26</v>
      </c>
      <c r="G8" s="117" t="s">
        <v>27</v>
      </c>
      <c r="H8" s="114" t="s">
        <v>6</v>
      </c>
      <c r="I8" s="114" t="s">
        <v>7</v>
      </c>
      <c r="J8" s="118" t="s">
        <v>8</v>
      </c>
      <c r="K8" s="114" t="s">
        <v>5</v>
      </c>
      <c r="L8" s="117" t="s">
        <v>28</v>
      </c>
      <c r="M8" s="119" t="s">
        <v>29</v>
      </c>
    </row>
    <row r="9" spans="1:13" s="72" customFormat="1" ht="15.75" customHeight="1" x14ac:dyDescent="0.25">
      <c r="A9" s="88">
        <v>1</v>
      </c>
      <c r="B9" s="88">
        <v>2</v>
      </c>
      <c r="C9" s="88">
        <v>3</v>
      </c>
      <c r="D9" s="88">
        <v>4</v>
      </c>
      <c r="E9" s="88">
        <v>5</v>
      </c>
      <c r="F9" s="88">
        <v>6</v>
      </c>
      <c r="G9" s="88">
        <v>7</v>
      </c>
      <c r="H9" s="88">
        <v>8</v>
      </c>
      <c r="I9" s="88">
        <v>9</v>
      </c>
      <c r="J9" s="88">
        <v>10</v>
      </c>
      <c r="K9" s="88">
        <v>11</v>
      </c>
      <c r="L9" s="88">
        <v>12</v>
      </c>
      <c r="M9" s="88">
        <v>13</v>
      </c>
    </row>
    <row r="10" spans="1:13" s="11" customFormat="1" x14ac:dyDescent="0.25">
      <c r="A10" s="86"/>
      <c r="B10" s="138"/>
      <c r="C10" s="87" t="s">
        <v>22</v>
      </c>
      <c r="D10" s="88"/>
      <c r="E10" s="91"/>
      <c r="F10" s="91"/>
      <c r="G10" s="91"/>
      <c r="H10" s="87"/>
      <c r="I10" s="88"/>
      <c r="J10" s="120"/>
      <c r="K10" s="91"/>
      <c r="L10" s="91"/>
      <c r="M10" s="122"/>
    </row>
    <row r="11" spans="1:13" s="144" customFormat="1" x14ac:dyDescent="0.25">
      <c r="A11" s="56">
        <v>1</v>
      </c>
      <c r="B11" s="145"/>
      <c r="C11" s="148" t="s">
        <v>263</v>
      </c>
      <c r="D11" s="12" t="s">
        <v>12</v>
      </c>
      <c r="E11" s="229">
        <v>1</v>
      </c>
      <c r="F11" s="229"/>
      <c r="G11" s="18">
        <f t="shared" ref="G11:G18" si="0">E11*F11</f>
        <v>0</v>
      </c>
      <c r="H11" s="146"/>
      <c r="I11" s="12"/>
      <c r="J11" s="41"/>
      <c r="K11" s="13"/>
      <c r="L11" s="13"/>
      <c r="M11" s="147"/>
    </row>
    <row r="12" spans="1:13" s="144" customFormat="1" x14ac:dyDescent="0.25">
      <c r="A12" s="56">
        <v>2</v>
      </c>
      <c r="B12" s="145"/>
      <c r="C12" s="148" t="s">
        <v>264</v>
      </c>
      <c r="D12" s="12" t="s">
        <v>12</v>
      </c>
      <c r="E12" s="229">
        <v>5</v>
      </c>
      <c r="F12" s="229"/>
      <c r="G12" s="18">
        <f t="shared" si="0"/>
        <v>0</v>
      </c>
      <c r="H12" s="146"/>
      <c r="I12" s="12"/>
      <c r="J12" s="41"/>
      <c r="K12" s="13"/>
      <c r="L12" s="13"/>
      <c r="M12" s="147"/>
    </row>
    <row r="13" spans="1:13" s="144" customFormat="1" x14ac:dyDescent="0.25">
      <c r="A13" s="56">
        <v>3</v>
      </c>
      <c r="B13" s="145"/>
      <c r="C13" s="148" t="s">
        <v>265</v>
      </c>
      <c r="D13" s="12" t="s">
        <v>12</v>
      </c>
      <c r="E13" s="229">
        <v>1</v>
      </c>
      <c r="F13" s="229"/>
      <c r="G13" s="18">
        <f t="shared" si="0"/>
        <v>0</v>
      </c>
      <c r="H13" s="146"/>
      <c r="I13" s="12"/>
      <c r="J13" s="41"/>
      <c r="K13" s="13"/>
      <c r="L13" s="13"/>
      <c r="M13" s="147"/>
    </row>
    <row r="14" spans="1:13" s="144" customFormat="1" x14ac:dyDescent="0.25">
      <c r="A14" s="56">
        <v>4</v>
      </c>
      <c r="B14" s="145"/>
      <c r="C14" s="148" t="s">
        <v>266</v>
      </c>
      <c r="D14" s="12" t="s">
        <v>12</v>
      </c>
      <c r="E14" s="229">
        <v>3</v>
      </c>
      <c r="F14" s="229"/>
      <c r="G14" s="18">
        <f t="shared" si="0"/>
        <v>0</v>
      </c>
      <c r="H14" s="146"/>
      <c r="I14" s="12"/>
      <c r="J14" s="41"/>
      <c r="K14" s="13"/>
      <c r="L14" s="13"/>
      <c r="M14" s="147"/>
    </row>
    <row r="15" spans="1:13" s="144" customFormat="1" x14ac:dyDescent="0.25">
      <c r="A15" s="56">
        <v>5</v>
      </c>
      <c r="B15" s="145"/>
      <c r="C15" s="148" t="s">
        <v>269</v>
      </c>
      <c r="D15" s="12" t="s">
        <v>13</v>
      </c>
      <c r="E15" s="229">
        <v>85</v>
      </c>
      <c r="F15" s="229"/>
      <c r="G15" s="18">
        <f t="shared" si="0"/>
        <v>0</v>
      </c>
      <c r="H15" s="146"/>
      <c r="I15" s="12"/>
      <c r="J15" s="41"/>
      <c r="K15" s="13"/>
      <c r="L15" s="13"/>
      <c r="M15" s="147"/>
    </row>
    <row r="16" spans="1:13" s="144" customFormat="1" x14ac:dyDescent="0.25">
      <c r="A16" s="56">
        <v>6</v>
      </c>
      <c r="B16" s="145"/>
      <c r="C16" s="149" t="s">
        <v>267</v>
      </c>
      <c r="D16" s="12" t="s">
        <v>12</v>
      </c>
      <c r="E16" s="229">
        <v>9</v>
      </c>
      <c r="F16" s="229"/>
      <c r="G16" s="18">
        <f t="shared" si="0"/>
        <v>0</v>
      </c>
      <c r="H16" s="146"/>
      <c r="I16" s="12"/>
      <c r="J16" s="41"/>
      <c r="K16" s="13"/>
      <c r="L16" s="13"/>
      <c r="M16" s="147"/>
    </row>
    <row r="17" spans="1:13" s="144" customFormat="1" x14ac:dyDescent="0.25">
      <c r="A17" s="56">
        <v>7</v>
      </c>
      <c r="B17" s="145"/>
      <c r="C17" s="149" t="s">
        <v>268</v>
      </c>
      <c r="D17" s="12" t="s">
        <v>12</v>
      </c>
      <c r="E17" s="229">
        <v>9</v>
      </c>
      <c r="F17" s="229"/>
      <c r="G17" s="18">
        <f t="shared" si="0"/>
        <v>0</v>
      </c>
      <c r="H17" s="146"/>
      <c r="I17" s="12"/>
      <c r="J17" s="41"/>
      <c r="K17" s="13"/>
      <c r="L17" s="13"/>
      <c r="M17" s="147"/>
    </row>
    <row r="18" spans="1:13" s="11" customFormat="1" x14ac:dyDescent="0.25">
      <c r="A18" s="56">
        <v>9</v>
      </c>
      <c r="B18" s="143" t="s">
        <v>253</v>
      </c>
      <c r="C18" s="22" t="s">
        <v>31</v>
      </c>
      <c r="D18" s="8" t="s">
        <v>23</v>
      </c>
      <c r="E18" s="70">
        <v>0.28999999999999998</v>
      </c>
      <c r="F18" s="229"/>
      <c r="G18" s="18">
        <f t="shared" si="0"/>
        <v>0</v>
      </c>
      <c r="H18" s="10" t="s">
        <v>32</v>
      </c>
      <c r="I18" s="13" t="s">
        <v>16</v>
      </c>
      <c r="J18" s="41">
        <v>0.3</v>
      </c>
      <c r="K18" s="18">
        <f>J18*E18</f>
        <v>8.6999999999999994E-2</v>
      </c>
      <c r="L18" s="99"/>
      <c r="M18" s="57">
        <f>K18*L18</f>
        <v>0</v>
      </c>
    </row>
    <row r="19" spans="1:13" s="11" customFormat="1" x14ac:dyDescent="0.25">
      <c r="A19" s="56"/>
      <c r="B19" s="139"/>
      <c r="C19" s="22"/>
      <c r="D19" s="8"/>
      <c r="E19" s="23"/>
      <c r="F19" s="18"/>
      <c r="G19" s="18"/>
      <c r="H19" s="10" t="s">
        <v>33</v>
      </c>
      <c r="I19" s="13" t="s">
        <v>16</v>
      </c>
      <c r="J19" s="41">
        <v>0.3</v>
      </c>
      <c r="K19" s="18">
        <f>J19*E18</f>
        <v>8.6999999999999994E-2</v>
      </c>
      <c r="L19" s="18"/>
      <c r="M19" s="57">
        <f t="shared" ref="M19:M74" si="1">K19*L19</f>
        <v>0</v>
      </c>
    </row>
    <row r="20" spans="1:13" s="11" customFormat="1" ht="27.75" customHeight="1" x14ac:dyDescent="0.25">
      <c r="A20" s="56">
        <v>10</v>
      </c>
      <c r="B20" s="143" t="s">
        <v>254</v>
      </c>
      <c r="C20" s="24" t="s">
        <v>117</v>
      </c>
      <c r="D20" s="8" t="s">
        <v>10</v>
      </c>
      <c r="E20" s="14">
        <v>1.37</v>
      </c>
      <c r="F20" s="18"/>
      <c r="G20" s="18">
        <f>E20*F20</f>
        <v>0</v>
      </c>
      <c r="H20" s="13"/>
      <c r="I20" s="13"/>
      <c r="J20" s="18"/>
      <c r="K20" s="18"/>
      <c r="L20" s="18"/>
      <c r="M20" s="57"/>
    </row>
    <row r="21" spans="1:13" s="11" customFormat="1" x14ac:dyDescent="0.25">
      <c r="A21" s="56">
        <v>11</v>
      </c>
      <c r="B21" s="143" t="s">
        <v>257</v>
      </c>
      <c r="C21" s="29" t="s">
        <v>222</v>
      </c>
      <c r="D21" s="27" t="s">
        <v>10</v>
      </c>
      <c r="E21" s="20">
        <v>4.5999999999999996</v>
      </c>
      <c r="F21" s="18"/>
      <c r="G21" s="18">
        <f>E21*F21</f>
        <v>0</v>
      </c>
      <c r="H21" s="10" t="s">
        <v>32</v>
      </c>
      <c r="I21" s="13" t="s">
        <v>16</v>
      </c>
      <c r="J21" s="41">
        <v>0.12</v>
      </c>
      <c r="K21" s="18">
        <f>J21*E21</f>
        <v>0.55199999999999994</v>
      </c>
      <c r="L21" s="99"/>
      <c r="M21" s="57">
        <f t="shared" ref="M21" si="2">K21*L21</f>
        <v>0</v>
      </c>
    </row>
    <row r="22" spans="1:13" s="11" customFormat="1" ht="21" customHeight="1" x14ac:dyDescent="0.25">
      <c r="A22" s="56">
        <v>12</v>
      </c>
      <c r="B22" s="143" t="s">
        <v>258</v>
      </c>
      <c r="C22" s="24" t="s">
        <v>167</v>
      </c>
      <c r="D22" s="12" t="s">
        <v>15</v>
      </c>
      <c r="E22" s="233">
        <f>2.1*2+3.1+2.7*2+1.8</f>
        <v>14.500000000000002</v>
      </c>
      <c r="F22" s="18"/>
      <c r="G22" s="18">
        <f>E22*F22</f>
        <v>0</v>
      </c>
      <c r="H22" s="10" t="s">
        <v>32</v>
      </c>
      <c r="I22" s="13" t="s">
        <v>16</v>
      </c>
      <c r="J22" s="41">
        <v>0.12</v>
      </c>
      <c r="K22" s="18">
        <f>J22*E22</f>
        <v>1.7400000000000002</v>
      </c>
      <c r="L22" s="99"/>
      <c r="M22" s="57">
        <f t="shared" si="1"/>
        <v>0</v>
      </c>
    </row>
    <row r="23" spans="1:13" s="11" customFormat="1" ht="13.5" customHeight="1" x14ac:dyDescent="0.25">
      <c r="A23" s="56"/>
      <c r="B23" s="139"/>
      <c r="C23" s="24"/>
      <c r="D23" s="12"/>
      <c r="E23" s="14"/>
      <c r="F23" s="18"/>
      <c r="G23" s="18"/>
      <c r="H23" s="10" t="s">
        <v>33</v>
      </c>
      <c r="I23" s="13" t="s">
        <v>16</v>
      </c>
      <c r="J23" s="41">
        <v>0.02</v>
      </c>
      <c r="K23" s="18">
        <f>J23*E22</f>
        <v>0.29000000000000004</v>
      </c>
      <c r="L23" s="18"/>
      <c r="M23" s="57">
        <f t="shared" si="1"/>
        <v>0</v>
      </c>
    </row>
    <row r="24" spans="1:13" s="11" customFormat="1" x14ac:dyDescent="0.25">
      <c r="A24" s="56">
        <v>13</v>
      </c>
      <c r="B24" s="143" t="s">
        <v>259</v>
      </c>
      <c r="C24" s="22" t="s">
        <v>34</v>
      </c>
      <c r="D24" s="8" t="s">
        <v>16</v>
      </c>
      <c r="E24" s="23">
        <v>2</v>
      </c>
      <c r="F24" s="18"/>
      <c r="G24" s="18">
        <f>E24*F24</f>
        <v>0</v>
      </c>
      <c r="H24" s="13"/>
      <c r="I24" s="13"/>
      <c r="J24" s="18"/>
      <c r="K24" s="18"/>
      <c r="L24" s="18"/>
      <c r="M24" s="57"/>
    </row>
    <row r="25" spans="1:13" s="11" customFormat="1" x14ac:dyDescent="0.2">
      <c r="A25" s="56">
        <v>14</v>
      </c>
      <c r="B25" s="143" t="s">
        <v>260</v>
      </c>
      <c r="C25" s="22" t="s">
        <v>35</v>
      </c>
      <c r="D25" s="8" t="s">
        <v>10</v>
      </c>
      <c r="E25" s="23">
        <v>360</v>
      </c>
      <c r="F25" s="18"/>
      <c r="G25" s="18">
        <f>E25*F25</f>
        <v>0</v>
      </c>
      <c r="H25" s="40" t="s">
        <v>178</v>
      </c>
      <c r="I25" s="13" t="s">
        <v>10</v>
      </c>
      <c r="J25" s="18">
        <v>1.1499999999999999</v>
      </c>
      <c r="K25" s="18">
        <f>J25*E25</f>
        <v>413.99999999999994</v>
      </c>
      <c r="L25" s="18"/>
      <c r="M25" s="57">
        <f t="shared" si="1"/>
        <v>0</v>
      </c>
    </row>
    <row r="26" spans="1:13" s="11" customFormat="1" x14ac:dyDescent="0.25">
      <c r="A26" s="56">
        <v>15</v>
      </c>
      <c r="B26" s="143" t="s">
        <v>261</v>
      </c>
      <c r="C26" s="22" t="s">
        <v>36</v>
      </c>
      <c r="D26" s="8" t="s">
        <v>10</v>
      </c>
      <c r="E26" s="23">
        <v>220</v>
      </c>
      <c r="F26" s="18"/>
      <c r="G26" s="18">
        <f>E26*F26</f>
        <v>0</v>
      </c>
      <c r="H26" s="10" t="s">
        <v>37</v>
      </c>
      <c r="I26" s="13" t="s">
        <v>10</v>
      </c>
      <c r="J26" s="18">
        <v>1.1499999999999999</v>
      </c>
      <c r="K26" s="18">
        <f>J26*E26</f>
        <v>252.99999999999997</v>
      </c>
      <c r="L26" s="18"/>
      <c r="M26" s="57">
        <f t="shared" si="1"/>
        <v>0</v>
      </c>
    </row>
    <row r="27" spans="1:13" s="11" customFormat="1" x14ac:dyDescent="0.25">
      <c r="A27" s="56">
        <v>16</v>
      </c>
      <c r="B27" s="143" t="s">
        <v>262</v>
      </c>
      <c r="C27" s="22" t="s">
        <v>38</v>
      </c>
      <c r="D27" s="8" t="s">
        <v>39</v>
      </c>
      <c r="E27" s="23">
        <v>10</v>
      </c>
      <c r="F27" s="18"/>
      <c r="G27" s="18">
        <f>E27*F27</f>
        <v>0</v>
      </c>
      <c r="H27" s="127" t="s">
        <v>40</v>
      </c>
      <c r="I27" s="13" t="s">
        <v>16</v>
      </c>
      <c r="J27" s="18">
        <v>0.3</v>
      </c>
      <c r="K27" s="18">
        <v>2</v>
      </c>
      <c r="L27" s="18"/>
      <c r="M27" s="57">
        <f t="shared" si="1"/>
        <v>0</v>
      </c>
    </row>
    <row r="28" spans="1:13" s="11" customFormat="1" x14ac:dyDescent="0.25">
      <c r="A28" s="86"/>
      <c r="B28" s="138"/>
      <c r="C28" s="87" t="s">
        <v>9</v>
      </c>
      <c r="D28" s="88"/>
      <c r="E28" s="89"/>
      <c r="F28" s="89"/>
      <c r="G28" s="89"/>
      <c r="H28" s="87"/>
      <c r="I28" s="91"/>
      <c r="J28" s="89"/>
      <c r="K28" s="89"/>
      <c r="L28" s="89"/>
      <c r="M28" s="90"/>
    </row>
    <row r="29" spans="1:13" s="11" customFormat="1" x14ac:dyDescent="0.25">
      <c r="A29" s="56">
        <v>17</v>
      </c>
      <c r="B29" s="143" t="s">
        <v>279</v>
      </c>
      <c r="C29" s="25" t="s">
        <v>210</v>
      </c>
      <c r="D29" s="27" t="s">
        <v>10</v>
      </c>
      <c r="E29" s="23">
        <v>53.86</v>
      </c>
      <c r="F29" s="18"/>
      <c r="G29" s="18">
        <f>E29*F29</f>
        <v>0</v>
      </c>
      <c r="H29" s="65" t="s">
        <v>49</v>
      </c>
      <c r="I29" s="12" t="s">
        <v>11</v>
      </c>
      <c r="J29" s="18">
        <v>0.4</v>
      </c>
      <c r="K29" s="18">
        <f>J29*E29</f>
        <v>21.544</v>
      </c>
      <c r="L29" s="18"/>
      <c r="M29" s="57">
        <f t="shared" si="1"/>
        <v>0</v>
      </c>
    </row>
    <row r="30" spans="1:13" s="11" customFormat="1" ht="25.5" x14ac:dyDescent="0.25">
      <c r="A30" s="56">
        <v>18</v>
      </c>
      <c r="B30" s="143" t="s">
        <v>278</v>
      </c>
      <c r="C30" s="98" t="s">
        <v>225</v>
      </c>
      <c r="D30" s="102" t="s">
        <v>10</v>
      </c>
      <c r="E30" s="18">
        <v>37.590000000000003</v>
      </c>
      <c r="F30" s="18"/>
      <c r="G30" s="18">
        <f>E30*F30</f>
        <v>0</v>
      </c>
      <c r="H30" s="101" t="s">
        <v>50</v>
      </c>
      <c r="I30" s="103" t="s">
        <v>11</v>
      </c>
      <c r="J30" s="104">
        <v>1.25</v>
      </c>
      <c r="K30" s="28">
        <f>J30*$E$30</f>
        <v>46.987500000000004</v>
      </c>
      <c r="L30" s="28"/>
      <c r="M30" s="57">
        <f t="shared" si="1"/>
        <v>0</v>
      </c>
    </row>
    <row r="31" spans="1:13" s="11" customFormat="1" x14ac:dyDescent="0.25">
      <c r="A31" s="56"/>
      <c r="B31" s="139"/>
      <c r="C31" s="25"/>
      <c r="D31" s="12"/>
      <c r="E31" s="18"/>
      <c r="F31" s="18"/>
      <c r="G31" s="18"/>
      <c r="H31" s="101" t="s">
        <v>226</v>
      </c>
      <c r="I31" s="103" t="s">
        <v>15</v>
      </c>
      <c r="J31" s="104">
        <v>7.0000000000000007E-2</v>
      </c>
      <c r="K31" s="28">
        <f t="shared" ref="K31:K33" si="3">J31*$E$30</f>
        <v>2.6313000000000004</v>
      </c>
      <c r="L31" s="104"/>
      <c r="M31" s="57">
        <f t="shared" si="1"/>
        <v>0</v>
      </c>
    </row>
    <row r="32" spans="1:13" s="11" customFormat="1" x14ac:dyDescent="0.25">
      <c r="A32" s="56"/>
      <c r="B32" s="139"/>
      <c r="C32" s="25"/>
      <c r="D32" s="12"/>
      <c r="E32" s="18"/>
      <c r="F32" s="18"/>
      <c r="G32" s="18"/>
      <c r="H32" s="101" t="s">
        <v>243</v>
      </c>
      <c r="I32" s="103" t="s">
        <v>10</v>
      </c>
      <c r="J32" s="104">
        <v>1.1000000000000001</v>
      </c>
      <c r="K32" s="28">
        <f t="shared" si="3"/>
        <v>41.349000000000004</v>
      </c>
      <c r="L32" s="104"/>
      <c r="M32" s="57">
        <f t="shared" si="1"/>
        <v>0</v>
      </c>
    </row>
    <row r="33" spans="1:13" s="11" customFormat="1" x14ac:dyDescent="0.25">
      <c r="A33" s="56"/>
      <c r="B33" s="139"/>
      <c r="C33" s="25"/>
      <c r="D33" s="12"/>
      <c r="E33" s="18"/>
      <c r="F33" s="18"/>
      <c r="G33" s="18"/>
      <c r="H33" s="101" t="s">
        <v>51</v>
      </c>
      <c r="I33" s="103" t="s">
        <v>12</v>
      </c>
      <c r="J33" s="104">
        <v>20</v>
      </c>
      <c r="K33" s="28">
        <f t="shared" si="3"/>
        <v>751.80000000000007</v>
      </c>
      <c r="L33" s="104"/>
      <c r="M33" s="57">
        <f t="shared" si="1"/>
        <v>0</v>
      </c>
    </row>
    <row r="34" spans="1:13" s="11" customFormat="1" ht="27.75" customHeight="1" x14ac:dyDescent="0.25">
      <c r="A34" s="56">
        <v>19</v>
      </c>
      <c r="B34" s="143" t="s">
        <v>272</v>
      </c>
      <c r="C34" s="30" t="s">
        <v>244</v>
      </c>
      <c r="D34" s="27" t="s">
        <v>10</v>
      </c>
      <c r="E34" s="28">
        <f>37.59</f>
        <v>37.590000000000003</v>
      </c>
      <c r="F34" s="18"/>
      <c r="G34" s="18">
        <f>E34*F34</f>
        <v>0</v>
      </c>
      <c r="H34" s="101" t="s">
        <v>245</v>
      </c>
      <c r="I34" s="103" t="s">
        <v>11</v>
      </c>
      <c r="J34" s="104">
        <v>1.25</v>
      </c>
      <c r="K34" s="18">
        <f>E34*J34</f>
        <v>46.987500000000004</v>
      </c>
      <c r="L34" s="28"/>
      <c r="M34" s="57">
        <f t="shared" si="1"/>
        <v>0</v>
      </c>
    </row>
    <row r="35" spans="1:13" s="11" customFormat="1" x14ac:dyDescent="0.25">
      <c r="A35" s="56"/>
      <c r="B35" s="139"/>
      <c r="C35" s="30"/>
      <c r="D35" s="27"/>
      <c r="E35" s="28"/>
      <c r="F35" s="18"/>
      <c r="G35" s="18"/>
      <c r="H35" s="101" t="s">
        <v>51</v>
      </c>
      <c r="I35" s="103" t="s">
        <v>12</v>
      </c>
      <c r="J35" s="104">
        <v>30</v>
      </c>
      <c r="K35" s="18">
        <f>E34*J35</f>
        <v>1127.7</v>
      </c>
      <c r="L35" s="104"/>
      <c r="M35" s="57">
        <f t="shared" si="1"/>
        <v>0</v>
      </c>
    </row>
    <row r="36" spans="1:13" s="11" customFormat="1" ht="25.5" x14ac:dyDescent="0.25">
      <c r="A36" s="56"/>
      <c r="B36" s="139"/>
      <c r="C36" s="30"/>
      <c r="D36" s="27"/>
      <c r="E36" s="28"/>
      <c r="F36" s="18"/>
      <c r="G36" s="18"/>
      <c r="H36" s="170" t="s">
        <v>270</v>
      </c>
      <c r="I36" s="171" t="s">
        <v>10</v>
      </c>
      <c r="J36" s="183"/>
      <c r="K36" s="197"/>
      <c r="L36" s="194"/>
      <c r="M36" s="175">
        <f>K36*L36*1.1</f>
        <v>0</v>
      </c>
    </row>
    <row r="37" spans="1:13" s="11" customFormat="1" x14ac:dyDescent="0.25">
      <c r="A37" s="56">
        <v>20</v>
      </c>
      <c r="B37" s="143" t="s">
        <v>273</v>
      </c>
      <c r="C37" s="30" t="s">
        <v>274</v>
      </c>
      <c r="D37" s="27" t="s">
        <v>10</v>
      </c>
      <c r="E37" s="28">
        <f>15.67</f>
        <v>15.67</v>
      </c>
      <c r="F37" s="18"/>
      <c r="G37" s="18">
        <f>E37*F37</f>
        <v>0</v>
      </c>
      <c r="H37" s="24" t="s">
        <v>52</v>
      </c>
      <c r="I37" s="69" t="s">
        <v>21</v>
      </c>
      <c r="J37" s="39">
        <v>0.1</v>
      </c>
      <c r="K37" s="18">
        <f>$E$37*J37</f>
        <v>1.5670000000000002</v>
      </c>
      <c r="L37" s="28"/>
      <c r="M37" s="57">
        <f t="shared" si="1"/>
        <v>0</v>
      </c>
    </row>
    <row r="38" spans="1:13" s="11" customFormat="1" x14ac:dyDescent="0.25">
      <c r="A38" s="56"/>
      <c r="B38" s="139"/>
      <c r="C38" s="26"/>
      <c r="D38" s="12"/>
      <c r="E38" s="18"/>
      <c r="F38" s="18"/>
      <c r="G38" s="18"/>
      <c r="H38" s="24" t="s">
        <v>275</v>
      </c>
      <c r="I38" s="27" t="s">
        <v>11</v>
      </c>
      <c r="J38" s="18">
        <v>0.5</v>
      </c>
      <c r="K38" s="18">
        <f t="shared" ref="K38:K40" si="4">$E$37*J38</f>
        <v>7.835</v>
      </c>
      <c r="L38" s="18"/>
      <c r="M38" s="57">
        <f t="shared" si="1"/>
        <v>0</v>
      </c>
    </row>
    <row r="39" spans="1:13" s="11" customFormat="1" x14ac:dyDescent="0.25">
      <c r="A39" s="56"/>
      <c r="B39" s="139"/>
      <c r="C39" s="26"/>
      <c r="D39" s="12"/>
      <c r="E39" s="18"/>
      <c r="F39" s="18"/>
      <c r="G39" s="18"/>
      <c r="H39" s="24" t="s">
        <v>276</v>
      </c>
      <c r="I39" s="27" t="s">
        <v>11</v>
      </c>
      <c r="J39" s="18">
        <v>8</v>
      </c>
      <c r="K39" s="18">
        <f t="shared" si="4"/>
        <v>125.36</v>
      </c>
      <c r="L39" s="18"/>
      <c r="M39" s="57">
        <f t="shared" si="1"/>
        <v>0</v>
      </c>
    </row>
    <row r="40" spans="1:13" s="11" customFormat="1" x14ac:dyDescent="0.25">
      <c r="A40" s="56"/>
      <c r="B40" s="139"/>
      <c r="C40" s="26"/>
      <c r="D40" s="12"/>
      <c r="E40" s="18"/>
      <c r="F40" s="18"/>
      <c r="G40" s="18"/>
      <c r="H40" s="24" t="s">
        <v>53</v>
      </c>
      <c r="I40" s="27" t="s">
        <v>16</v>
      </c>
      <c r="J40" s="18">
        <v>0.05</v>
      </c>
      <c r="K40" s="18">
        <f t="shared" si="4"/>
        <v>0.78350000000000009</v>
      </c>
      <c r="L40" s="18"/>
      <c r="M40" s="57">
        <f t="shared" si="1"/>
        <v>0</v>
      </c>
    </row>
    <row r="41" spans="1:13" s="11" customFormat="1" x14ac:dyDescent="0.25">
      <c r="A41" s="56"/>
      <c r="B41" s="139"/>
      <c r="C41" s="26"/>
      <c r="D41" s="12"/>
      <c r="E41" s="18"/>
      <c r="F41" s="18"/>
      <c r="G41" s="18"/>
      <c r="H41" s="24" t="s">
        <v>277</v>
      </c>
      <c r="I41" s="27" t="s">
        <v>16</v>
      </c>
      <c r="J41" s="18">
        <v>0.15</v>
      </c>
      <c r="K41" s="18">
        <f>$E$37*J41</f>
        <v>2.3504999999999998</v>
      </c>
      <c r="L41" s="18"/>
      <c r="M41" s="57">
        <f t="shared" si="1"/>
        <v>0</v>
      </c>
    </row>
    <row r="42" spans="1:13" s="11" customFormat="1" ht="13.5" customHeight="1" x14ac:dyDescent="0.25">
      <c r="A42" s="56"/>
      <c r="B42" s="139"/>
      <c r="C42" s="31"/>
      <c r="D42" s="27"/>
      <c r="E42" s="18"/>
      <c r="F42" s="18"/>
      <c r="G42" s="18"/>
      <c r="H42" s="170" t="s">
        <v>271</v>
      </c>
      <c r="I42" s="171" t="s">
        <v>10</v>
      </c>
      <c r="J42" s="198"/>
      <c r="K42" s="173">
        <f>6.62+4.14+5.8</f>
        <v>16.559999999999999</v>
      </c>
      <c r="L42" s="199"/>
      <c r="M42" s="175">
        <f>K42*L42*1.1</f>
        <v>0</v>
      </c>
    </row>
    <row r="43" spans="1:13" s="11" customFormat="1" ht="13.5" customHeight="1" x14ac:dyDescent="0.25">
      <c r="A43" s="56"/>
      <c r="B43" s="139"/>
      <c r="C43" s="31"/>
      <c r="D43" s="27"/>
      <c r="E43" s="18"/>
      <c r="F43" s="18"/>
      <c r="G43" s="18"/>
      <c r="H43" s="170" t="s">
        <v>368</v>
      </c>
      <c r="I43" s="171" t="s">
        <v>10</v>
      </c>
      <c r="J43" s="198"/>
      <c r="K43" s="173">
        <f>4.56</f>
        <v>4.5599999999999996</v>
      </c>
      <c r="L43" s="199"/>
      <c r="M43" s="175">
        <f>K43*L43*1.1</f>
        <v>0</v>
      </c>
    </row>
    <row r="44" spans="1:13" s="11" customFormat="1" x14ac:dyDescent="0.25">
      <c r="A44" s="56">
        <v>21</v>
      </c>
      <c r="B44" s="143" t="s">
        <v>284</v>
      </c>
      <c r="C44" s="26" t="s">
        <v>283</v>
      </c>
      <c r="D44" s="12" t="s">
        <v>15</v>
      </c>
      <c r="E44" s="18">
        <v>42.6</v>
      </c>
      <c r="F44" s="18"/>
      <c r="G44" s="18">
        <f>E44*F44</f>
        <v>0</v>
      </c>
      <c r="H44" s="30" t="s">
        <v>54</v>
      </c>
      <c r="I44" s="13" t="s">
        <v>16</v>
      </c>
      <c r="J44" s="18">
        <v>0.2</v>
      </c>
      <c r="K44" s="18">
        <f>E44*J44</f>
        <v>8.5200000000000014</v>
      </c>
      <c r="L44" s="18"/>
      <c r="M44" s="57">
        <f t="shared" si="1"/>
        <v>0</v>
      </c>
    </row>
    <row r="45" spans="1:13" s="11" customFormat="1" ht="15" customHeight="1" x14ac:dyDescent="0.25">
      <c r="A45" s="56"/>
      <c r="B45" s="139"/>
      <c r="C45" s="26"/>
      <c r="D45" s="12"/>
      <c r="E45" s="18"/>
      <c r="F45" s="18"/>
      <c r="G45" s="18"/>
      <c r="H45" s="170" t="s">
        <v>285</v>
      </c>
      <c r="I45" s="171" t="s">
        <v>15</v>
      </c>
      <c r="J45" s="192"/>
      <c r="K45" s="197"/>
      <c r="L45" s="174"/>
      <c r="M45" s="175">
        <f t="shared" ref="M45:M46" si="5">K45*L45*1.1</f>
        <v>0</v>
      </c>
    </row>
    <row r="46" spans="1:13" s="11" customFormat="1" ht="28.5" customHeight="1" x14ac:dyDescent="0.25">
      <c r="A46" s="56">
        <v>22</v>
      </c>
      <c r="B46" s="143" t="s">
        <v>281</v>
      </c>
      <c r="C46" s="26" t="s">
        <v>197</v>
      </c>
      <c r="D46" s="12" t="s">
        <v>15</v>
      </c>
      <c r="E46" s="18">
        <v>6</v>
      </c>
      <c r="F46" s="18"/>
      <c r="G46" s="18">
        <f>E46*F46</f>
        <v>0</v>
      </c>
      <c r="H46" s="190" t="s">
        <v>282</v>
      </c>
      <c r="I46" s="171" t="s">
        <v>15</v>
      </c>
      <c r="J46" s="177"/>
      <c r="K46" s="181">
        <v>6</v>
      </c>
      <c r="L46" s="183"/>
      <c r="M46" s="175">
        <f t="shared" si="5"/>
        <v>0</v>
      </c>
    </row>
    <row r="47" spans="1:13" s="11" customFormat="1" x14ac:dyDescent="0.25">
      <c r="A47" s="56">
        <v>23</v>
      </c>
      <c r="B47" s="143" t="s">
        <v>280</v>
      </c>
      <c r="C47" s="26" t="s">
        <v>156</v>
      </c>
      <c r="D47" s="12" t="s">
        <v>10</v>
      </c>
      <c r="E47" s="18">
        <f>3.54+(1.8+0.8+0.23+1.08+0.43+0.595+1.08+0.155+0.8)*0.6+3.4*0.9+0.6*2*0.6</f>
        <v>11.502000000000001</v>
      </c>
      <c r="F47" s="18"/>
      <c r="G47" s="18">
        <f>E47*F47</f>
        <v>0</v>
      </c>
      <c r="H47" s="30" t="s">
        <v>157</v>
      </c>
      <c r="I47" s="13" t="s">
        <v>11</v>
      </c>
      <c r="J47" s="18">
        <v>6</v>
      </c>
      <c r="K47" s="18">
        <f>J47*E47</f>
        <v>69.012</v>
      </c>
      <c r="L47" s="18"/>
      <c r="M47" s="57">
        <f>K47*L47</f>
        <v>0</v>
      </c>
    </row>
    <row r="48" spans="1:13" s="11" customFormat="1" x14ac:dyDescent="0.25">
      <c r="A48" s="86"/>
      <c r="B48" s="138"/>
      <c r="C48" s="87" t="s">
        <v>14</v>
      </c>
      <c r="D48" s="88"/>
      <c r="E48" s="89"/>
      <c r="F48" s="89"/>
      <c r="G48" s="89"/>
      <c r="H48" s="87"/>
      <c r="I48" s="88"/>
      <c r="J48" s="89"/>
      <c r="K48" s="89"/>
      <c r="L48" s="89"/>
      <c r="M48" s="90"/>
    </row>
    <row r="49" spans="1:13" s="11" customFormat="1" ht="25.5" x14ac:dyDescent="0.25">
      <c r="A49" s="56">
        <v>24</v>
      </c>
      <c r="B49" s="143" t="s">
        <v>255</v>
      </c>
      <c r="C49" s="26" t="s">
        <v>252</v>
      </c>
      <c r="D49" s="12" t="s">
        <v>23</v>
      </c>
      <c r="E49" s="18">
        <v>0.03</v>
      </c>
      <c r="F49" s="18"/>
      <c r="G49" s="18">
        <f>E49*F49</f>
        <v>0</v>
      </c>
      <c r="H49" s="133" t="s">
        <v>250</v>
      </c>
      <c r="I49" s="134" t="s">
        <v>23</v>
      </c>
      <c r="J49" s="135">
        <v>0.1</v>
      </c>
      <c r="K49" s="18">
        <f>J49*$E$49</f>
        <v>3.0000000000000001E-3</v>
      </c>
      <c r="L49" s="18"/>
      <c r="M49" s="57">
        <f t="shared" si="1"/>
        <v>0</v>
      </c>
    </row>
    <row r="50" spans="1:13" s="11" customFormat="1" x14ac:dyDescent="0.25">
      <c r="A50" s="56"/>
      <c r="B50" s="139"/>
      <c r="C50" s="26"/>
      <c r="D50" s="12"/>
      <c r="E50" s="18"/>
      <c r="F50" s="18"/>
      <c r="G50" s="18"/>
      <c r="H50" s="101" t="s">
        <v>53</v>
      </c>
      <c r="I50" s="103" t="s">
        <v>12</v>
      </c>
      <c r="J50" s="104">
        <v>0.3</v>
      </c>
      <c r="K50" s="18">
        <f t="shared" ref="K50:K52" si="6">J50*$E$49</f>
        <v>8.9999999999999993E-3</v>
      </c>
      <c r="L50" s="18"/>
      <c r="M50" s="57">
        <f t="shared" si="1"/>
        <v>0</v>
      </c>
    </row>
    <row r="51" spans="1:13" s="11" customFormat="1" x14ac:dyDescent="0.25">
      <c r="A51" s="56"/>
      <c r="B51" s="139"/>
      <c r="C51" s="26"/>
      <c r="D51" s="12"/>
      <c r="E51" s="18"/>
      <c r="F51" s="18"/>
      <c r="G51" s="18"/>
      <c r="H51" s="101" t="s">
        <v>220</v>
      </c>
      <c r="I51" s="69" t="s">
        <v>21</v>
      </c>
      <c r="J51" s="39">
        <v>0.2</v>
      </c>
      <c r="K51" s="18">
        <f t="shared" si="6"/>
        <v>6.0000000000000001E-3</v>
      </c>
      <c r="L51" s="28"/>
      <c r="M51" s="57">
        <f t="shared" si="1"/>
        <v>0</v>
      </c>
    </row>
    <row r="52" spans="1:13" s="11" customFormat="1" x14ac:dyDescent="0.25">
      <c r="A52" s="56"/>
      <c r="B52" s="139"/>
      <c r="C52" s="26"/>
      <c r="D52" s="12"/>
      <c r="E52" s="18"/>
      <c r="F52" s="18"/>
      <c r="G52" s="18"/>
      <c r="H52" s="136" t="s">
        <v>251</v>
      </c>
      <c r="I52" s="134" t="s">
        <v>11</v>
      </c>
      <c r="J52" s="135">
        <v>5</v>
      </c>
      <c r="K52" s="73">
        <f t="shared" si="6"/>
        <v>0.15</v>
      </c>
      <c r="L52" s="28"/>
      <c r="M52" s="57">
        <f t="shared" si="1"/>
        <v>0</v>
      </c>
    </row>
    <row r="53" spans="1:13" s="11" customFormat="1" ht="25.5" x14ac:dyDescent="0.25">
      <c r="A53" s="56">
        <v>25</v>
      </c>
      <c r="B53" s="143" t="s">
        <v>294</v>
      </c>
      <c r="C53" s="150" t="s">
        <v>286</v>
      </c>
      <c r="D53" s="151" t="s">
        <v>287</v>
      </c>
      <c r="E53" s="104">
        <v>6.4000000000000003E-3</v>
      </c>
      <c r="F53" s="18"/>
      <c r="G53" s="16">
        <f>E53*F53</f>
        <v>0</v>
      </c>
      <c r="H53" s="150" t="s">
        <v>288</v>
      </c>
      <c r="I53" s="152" t="s">
        <v>12</v>
      </c>
      <c r="J53" s="153">
        <v>15</v>
      </c>
      <c r="K53" s="154">
        <f>J53*E53</f>
        <v>9.6000000000000002E-2</v>
      </c>
      <c r="L53" s="155"/>
      <c r="M53" s="165">
        <f t="shared" si="1"/>
        <v>0</v>
      </c>
    </row>
    <row r="54" spans="1:13" s="11" customFormat="1" x14ac:dyDescent="0.25">
      <c r="A54" s="56"/>
      <c r="B54" s="139"/>
      <c r="C54" s="156"/>
      <c r="D54" s="157"/>
      <c r="E54" s="18"/>
      <c r="F54" s="18"/>
      <c r="G54" s="16"/>
      <c r="H54" s="136" t="s">
        <v>289</v>
      </c>
      <c r="I54" s="158" t="s">
        <v>287</v>
      </c>
      <c r="J54" s="153">
        <v>1.2</v>
      </c>
      <c r="K54" s="154">
        <f>J54*E53</f>
        <v>7.6800000000000002E-3</v>
      </c>
      <c r="L54" s="159"/>
      <c r="M54" s="165">
        <f t="shared" si="1"/>
        <v>0</v>
      </c>
    </row>
    <row r="55" spans="1:13" s="11" customFormat="1" x14ac:dyDescent="0.25">
      <c r="A55" s="56">
        <v>26</v>
      </c>
      <c r="B55" s="143" t="s">
        <v>296</v>
      </c>
      <c r="C55" s="160" t="s">
        <v>290</v>
      </c>
      <c r="D55" s="161" t="s">
        <v>12</v>
      </c>
      <c r="E55" s="18">
        <v>2</v>
      </c>
      <c r="F55" s="230"/>
      <c r="G55" s="16">
        <f>E55*F55</f>
        <v>0</v>
      </c>
      <c r="H55" s="160" t="s">
        <v>291</v>
      </c>
      <c r="I55" s="162" t="s">
        <v>13</v>
      </c>
      <c r="J55" s="163"/>
      <c r="K55" s="154">
        <f>J55*E55</f>
        <v>0</v>
      </c>
      <c r="L55" s="164"/>
      <c r="M55" s="165">
        <f t="shared" si="1"/>
        <v>0</v>
      </c>
    </row>
    <row r="56" spans="1:13" s="11" customFormat="1" x14ac:dyDescent="0.25">
      <c r="A56" s="56">
        <v>27</v>
      </c>
      <c r="B56" s="143" t="s">
        <v>295</v>
      </c>
      <c r="C56" s="160" t="s">
        <v>292</v>
      </c>
      <c r="D56" s="162" t="s">
        <v>10</v>
      </c>
      <c r="E56" s="232">
        <v>0.16719999999999999</v>
      </c>
      <c r="F56" s="230"/>
      <c r="G56" s="16">
        <f>E56*F56</f>
        <v>0</v>
      </c>
      <c r="H56" s="160" t="s">
        <v>293</v>
      </c>
      <c r="I56" s="162" t="s">
        <v>11</v>
      </c>
      <c r="J56" s="163">
        <v>0.1</v>
      </c>
      <c r="K56" s="154">
        <f>J56*E56</f>
        <v>1.6719999999999999E-2</v>
      </c>
      <c r="L56" s="164"/>
      <c r="M56" s="165">
        <f t="shared" si="1"/>
        <v>0</v>
      </c>
    </row>
    <row r="57" spans="1:13" s="11" customFormat="1" ht="13.5" customHeight="1" x14ac:dyDescent="0.25">
      <c r="A57" s="56">
        <v>28</v>
      </c>
      <c r="B57" s="143" t="s">
        <v>311</v>
      </c>
      <c r="C57" s="26" t="s">
        <v>55</v>
      </c>
      <c r="D57" s="12" t="s">
        <v>10</v>
      </c>
      <c r="E57" s="18">
        <v>4.67</v>
      </c>
      <c r="F57" s="18"/>
      <c r="G57" s="18">
        <f>E57*F57</f>
        <v>0</v>
      </c>
      <c r="H57" s="24" t="s">
        <v>223</v>
      </c>
      <c r="I57" s="27" t="s">
        <v>10</v>
      </c>
      <c r="J57" s="18">
        <v>2.1</v>
      </c>
      <c r="K57" s="42">
        <f>J57*$E$57</f>
        <v>9.8070000000000004</v>
      </c>
      <c r="L57" s="104"/>
      <c r="M57" s="57">
        <f t="shared" si="1"/>
        <v>0</v>
      </c>
    </row>
    <row r="58" spans="1:13" s="11" customFormat="1" ht="13.5" customHeight="1" x14ac:dyDescent="0.25">
      <c r="A58" s="56"/>
      <c r="B58" s="139"/>
      <c r="C58" s="26"/>
      <c r="D58" s="12"/>
      <c r="E58" s="18"/>
      <c r="F58" s="18"/>
      <c r="G58" s="18"/>
      <c r="H58" s="128" t="s">
        <v>56</v>
      </c>
      <c r="I58" s="27" t="s">
        <v>16</v>
      </c>
      <c r="J58" s="18">
        <v>8.8000000000000007</v>
      </c>
      <c r="K58" s="42">
        <f>ROUND(J58*$E$57,0)</f>
        <v>41</v>
      </c>
      <c r="L58" s="104"/>
      <c r="M58" s="57">
        <f t="shared" si="1"/>
        <v>0</v>
      </c>
    </row>
    <row r="59" spans="1:13" s="11" customFormat="1" ht="13.5" customHeight="1" x14ac:dyDescent="0.25">
      <c r="A59" s="56"/>
      <c r="B59" s="139"/>
      <c r="C59" s="26"/>
      <c r="D59" s="12"/>
      <c r="E59" s="18"/>
      <c r="F59" s="18"/>
      <c r="G59" s="18"/>
      <c r="H59" s="128" t="s">
        <v>57</v>
      </c>
      <c r="I59" s="27" t="s">
        <v>16</v>
      </c>
      <c r="J59" s="18">
        <v>3.34</v>
      </c>
      <c r="K59" s="42">
        <f>ROUND(J59*$E$57,0)</f>
        <v>16</v>
      </c>
      <c r="L59" s="104"/>
      <c r="M59" s="57">
        <f t="shared" si="1"/>
        <v>0</v>
      </c>
    </row>
    <row r="60" spans="1:13" s="11" customFormat="1" x14ac:dyDescent="0.25">
      <c r="A60" s="56"/>
      <c r="B60" s="139"/>
      <c r="C60" s="26"/>
      <c r="D60" s="12"/>
      <c r="E60" s="18"/>
      <c r="F60" s="18"/>
      <c r="G60" s="18"/>
      <c r="H60" s="24" t="s">
        <v>59</v>
      </c>
      <c r="I60" s="27" t="s">
        <v>16</v>
      </c>
      <c r="J60" s="18">
        <v>0.03</v>
      </c>
      <c r="K60" s="42">
        <f t="shared" ref="K60:K64" si="7">J60*$E$57</f>
        <v>0.1401</v>
      </c>
      <c r="L60" s="104"/>
      <c r="M60" s="57">
        <f t="shared" si="1"/>
        <v>0</v>
      </c>
    </row>
    <row r="61" spans="1:13" s="11" customFormat="1" x14ac:dyDescent="0.25">
      <c r="A61" s="56"/>
      <c r="B61" s="139"/>
      <c r="C61" s="29"/>
      <c r="D61" s="27"/>
      <c r="E61" s="20"/>
      <c r="F61" s="18"/>
      <c r="G61" s="18"/>
      <c r="H61" s="24" t="s">
        <v>58</v>
      </c>
      <c r="I61" s="27" t="s">
        <v>13</v>
      </c>
      <c r="J61" s="20">
        <v>1.49</v>
      </c>
      <c r="K61" s="42">
        <f t="shared" si="7"/>
        <v>6.9582999999999995</v>
      </c>
      <c r="L61" s="104"/>
      <c r="M61" s="57">
        <f t="shared" si="1"/>
        <v>0</v>
      </c>
    </row>
    <row r="62" spans="1:13" s="11" customFormat="1" x14ac:dyDescent="0.25">
      <c r="A62" s="56"/>
      <c r="B62" s="139"/>
      <c r="C62" s="30"/>
      <c r="D62" s="27"/>
      <c r="E62" s="20"/>
      <c r="F62" s="18"/>
      <c r="G62" s="18"/>
      <c r="H62" s="24" t="s">
        <v>180</v>
      </c>
      <c r="I62" s="27" t="s">
        <v>10</v>
      </c>
      <c r="J62" s="20">
        <v>1.05</v>
      </c>
      <c r="K62" s="42">
        <f t="shared" si="7"/>
        <v>4.9035000000000002</v>
      </c>
      <c r="L62" s="104"/>
      <c r="M62" s="57">
        <f t="shared" si="1"/>
        <v>0</v>
      </c>
    </row>
    <row r="63" spans="1:13" s="11" customFormat="1" x14ac:dyDescent="0.25">
      <c r="A63" s="56"/>
      <c r="B63" s="139"/>
      <c r="C63" s="30"/>
      <c r="D63" s="27"/>
      <c r="E63" s="20"/>
      <c r="F63" s="18"/>
      <c r="G63" s="18"/>
      <c r="H63" s="24" t="s">
        <v>64</v>
      </c>
      <c r="I63" s="27" t="s">
        <v>13</v>
      </c>
      <c r="J63" s="20">
        <v>2.1800000000000002</v>
      </c>
      <c r="K63" s="42">
        <f t="shared" si="7"/>
        <v>10.1806</v>
      </c>
      <c r="L63" s="104"/>
      <c r="M63" s="57">
        <f t="shared" si="1"/>
        <v>0</v>
      </c>
    </row>
    <row r="64" spans="1:13" s="11" customFormat="1" x14ac:dyDescent="0.25">
      <c r="A64" s="56"/>
      <c r="B64" s="139"/>
      <c r="C64" s="29"/>
      <c r="D64" s="27"/>
      <c r="E64" s="20"/>
      <c r="F64" s="18"/>
      <c r="G64" s="18"/>
      <c r="H64" s="24" t="s">
        <v>65</v>
      </c>
      <c r="I64" s="27" t="s">
        <v>13</v>
      </c>
      <c r="J64" s="20">
        <v>1.5</v>
      </c>
      <c r="K64" s="42">
        <f t="shared" si="7"/>
        <v>7.0049999999999999</v>
      </c>
      <c r="L64" s="104"/>
      <c r="M64" s="57">
        <f t="shared" si="1"/>
        <v>0</v>
      </c>
    </row>
    <row r="65" spans="1:13" s="11" customFormat="1" x14ac:dyDescent="0.25">
      <c r="A65" s="56"/>
      <c r="B65" s="139"/>
      <c r="C65" s="29"/>
      <c r="D65" s="27"/>
      <c r="E65" s="20"/>
      <c r="F65" s="18"/>
      <c r="G65" s="18"/>
      <c r="H65" s="128" t="s">
        <v>60</v>
      </c>
      <c r="I65" s="27" t="s">
        <v>16</v>
      </c>
      <c r="J65" s="20">
        <v>30</v>
      </c>
      <c r="K65" s="42">
        <f>ROUND(J65*$E$57,0)</f>
        <v>140</v>
      </c>
      <c r="L65" s="104"/>
      <c r="M65" s="57">
        <f t="shared" si="1"/>
        <v>0</v>
      </c>
    </row>
    <row r="66" spans="1:13" s="11" customFormat="1" x14ac:dyDescent="0.25">
      <c r="A66" s="56"/>
      <c r="B66" s="139"/>
      <c r="C66" s="29"/>
      <c r="D66" s="27"/>
      <c r="E66" s="20"/>
      <c r="F66" s="18"/>
      <c r="G66" s="18"/>
      <c r="H66" s="128" t="s">
        <v>61</v>
      </c>
      <c r="I66" s="27" t="s">
        <v>16</v>
      </c>
      <c r="J66" s="20">
        <v>8.68</v>
      </c>
      <c r="K66" s="42">
        <f>ROUND(J66*$E$57,0)</f>
        <v>41</v>
      </c>
      <c r="L66" s="104"/>
      <c r="M66" s="57">
        <f t="shared" si="1"/>
        <v>0</v>
      </c>
    </row>
    <row r="67" spans="1:13" s="11" customFormat="1" ht="27.75" customHeight="1" x14ac:dyDescent="0.25">
      <c r="A67" s="56">
        <v>29</v>
      </c>
      <c r="B67" s="143" t="s">
        <v>321</v>
      </c>
      <c r="C67" s="29" t="s">
        <v>319</v>
      </c>
      <c r="D67" s="12" t="s">
        <v>10</v>
      </c>
      <c r="E67" s="18">
        <f>36.1</f>
        <v>36.1</v>
      </c>
      <c r="F67" s="18"/>
      <c r="G67" s="18">
        <f>E67*F67</f>
        <v>0</v>
      </c>
      <c r="H67" s="24" t="s">
        <v>223</v>
      </c>
      <c r="I67" s="27" t="s">
        <v>10</v>
      </c>
      <c r="J67" s="18">
        <v>1.05</v>
      </c>
      <c r="K67" s="42">
        <f>J67*E67</f>
        <v>37.905000000000001</v>
      </c>
      <c r="L67" s="104"/>
      <c r="M67" s="57">
        <f t="shared" si="1"/>
        <v>0</v>
      </c>
    </row>
    <row r="68" spans="1:13" s="11" customFormat="1" x14ac:dyDescent="0.25">
      <c r="A68" s="56"/>
      <c r="B68" s="139"/>
      <c r="C68" s="29"/>
      <c r="D68" s="27"/>
      <c r="E68" s="20"/>
      <c r="F68" s="18"/>
      <c r="G68" s="18"/>
      <c r="H68" s="128" t="s">
        <v>168</v>
      </c>
      <c r="I68" s="27" t="s">
        <v>16</v>
      </c>
      <c r="J68" s="20">
        <v>20</v>
      </c>
      <c r="K68" s="45">
        <f>ROUND(J68*E67,0)</f>
        <v>722</v>
      </c>
      <c r="L68" s="28"/>
      <c r="M68" s="57">
        <f t="shared" si="1"/>
        <v>0</v>
      </c>
    </row>
    <row r="69" spans="1:13" s="11" customFormat="1" x14ac:dyDescent="0.25">
      <c r="A69" s="56">
        <v>30</v>
      </c>
      <c r="B69" s="143" t="s">
        <v>256</v>
      </c>
      <c r="C69" s="29" t="s">
        <v>169</v>
      </c>
      <c r="D69" s="12" t="s">
        <v>10</v>
      </c>
      <c r="E69" s="18">
        <v>8.09</v>
      </c>
      <c r="F69" s="18"/>
      <c r="G69" s="18">
        <f>E69*F69</f>
        <v>0</v>
      </c>
      <c r="H69" s="24" t="s">
        <v>223</v>
      </c>
      <c r="I69" s="27" t="s">
        <v>10</v>
      </c>
      <c r="J69" s="18">
        <v>1.05</v>
      </c>
      <c r="K69" s="42">
        <f>J69*$E$69</f>
        <v>8.4945000000000004</v>
      </c>
      <c r="L69" s="104"/>
      <c r="M69" s="57">
        <f t="shared" si="1"/>
        <v>0</v>
      </c>
    </row>
    <row r="70" spans="1:13" s="11" customFormat="1" x14ac:dyDescent="0.25">
      <c r="A70" s="56"/>
      <c r="B70" s="139"/>
      <c r="C70" s="29"/>
      <c r="D70" s="27"/>
      <c r="E70" s="20"/>
      <c r="F70" s="18"/>
      <c r="G70" s="18"/>
      <c r="H70" s="128" t="s">
        <v>56</v>
      </c>
      <c r="I70" s="27" t="s">
        <v>16</v>
      </c>
      <c r="J70" s="18">
        <v>4.4000000000000004</v>
      </c>
      <c r="K70" s="42">
        <f>ROUND(J70*$E$69,0)</f>
        <v>36</v>
      </c>
      <c r="L70" s="104"/>
      <c r="M70" s="57">
        <f t="shared" si="1"/>
        <v>0</v>
      </c>
    </row>
    <row r="71" spans="1:13" s="11" customFormat="1" x14ac:dyDescent="0.25">
      <c r="A71" s="56"/>
      <c r="B71" s="139"/>
      <c r="C71" s="29"/>
      <c r="D71" s="27"/>
      <c r="E71" s="20"/>
      <c r="F71" s="18"/>
      <c r="G71" s="18"/>
      <c r="H71" s="128" t="s">
        <v>57</v>
      </c>
      <c r="I71" s="27" t="s">
        <v>16</v>
      </c>
      <c r="J71" s="18">
        <v>1.67</v>
      </c>
      <c r="K71" s="42">
        <f>ROUND(J71*$E$69,0)</f>
        <v>14</v>
      </c>
      <c r="L71" s="104"/>
      <c r="M71" s="57">
        <f t="shared" si="1"/>
        <v>0</v>
      </c>
    </row>
    <row r="72" spans="1:13" s="11" customFormat="1" x14ac:dyDescent="0.25">
      <c r="A72" s="56"/>
      <c r="B72" s="139"/>
      <c r="C72" s="29"/>
      <c r="D72" s="27"/>
      <c r="E72" s="20"/>
      <c r="F72" s="18"/>
      <c r="G72" s="18"/>
      <c r="H72" s="24" t="s">
        <v>59</v>
      </c>
      <c r="I72" s="27" t="s">
        <v>16</v>
      </c>
      <c r="J72" s="18">
        <v>0.03</v>
      </c>
      <c r="K72" s="42">
        <f t="shared" ref="K72:K75" si="8">J72*$E$69</f>
        <v>0.2427</v>
      </c>
      <c r="L72" s="104"/>
      <c r="M72" s="57">
        <f t="shared" si="1"/>
        <v>0</v>
      </c>
    </row>
    <row r="73" spans="1:13" s="11" customFormat="1" x14ac:dyDescent="0.25">
      <c r="A73" s="56"/>
      <c r="B73" s="139"/>
      <c r="C73" s="29"/>
      <c r="D73" s="27"/>
      <c r="E73" s="20"/>
      <c r="F73" s="18"/>
      <c r="G73" s="18"/>
      <c r="H73" s="24" t="s">
        <v>58</v>
      </c>
      <c r="I73" s="27" t="s">
        <v>13</v>
      </c>
      <c r="J73" s="20">
        <v>1.49</v>
      </c>
      <c r="K73" s="42">
        <f t="shared" si="8"/>
        <v>12.0541</v>
      </c>
      <c r="L73" s="104"/>
      <c r="M73" s="57">
        <f t="shared" si="1"/>
        <v>0</v>
      </c>
    </row>
    <row r="74" spans="1:13" s="11" customFormat="1" x14ac:dyDescent="0.25">
      <c r="A74" s="56"/>
      <c r="B74" s="139"/>
      <c r="C74" s="29"/>
      <c r="D74" s="27"/>
      <c r="E74" s="20"/>
      <c r="F74" s="18"/>
      <c r="G74" s="18"/>
      <c r="H74" s="24" t="s">
        <v>62</v>
      </c>
      <c r="I74" s="27" t="s">
        <v>13</v>
      </c>
      <c r="J74" s="20">
        <v>2.1800000000000002</v>
      </c>
      <c r="K74" s="42">
        <f t="shared" si="8"/>
        <v>17.636200000000002</v>
      </c>
      <c r="L74" s="104"/>
      <c r="M74" s="57">
        <f t="shared" si="1"/>
        <v>0</v>
      </c>
    </row>
    <row r="75" spans="1:13" s="11" customFormat="1" x14ac:dyDescent="0.25">
      <c r="A75" s="56"/>
      <c r="B75" s="139"/>
      <c r="C75" s="29"/>
      <c r="D75" s="27"/>
      <c r="E75" s="20"/>
      <c r="F75" s="18"/>
      <c r="G75" s="18"/>
      <c r="H75" s="24" t="s">
        <v>63</v>
      </c>
      <c r="I75" s="27" t="s">
        <v>13</v>
      </c>
      <c r="J75" s="20">
        <v>1.49</v>
      </c>
      <c r="K75" s="42">
        <f t="shared" si="8"/>
        <v>12.0541</v>
      </c>
      <c r="L75" s="104"/>
      <c r="M75" s="57">
        <f t="shared" ref="M75:M141" si="9">K75*L75</f>
        <v>0</v>
      </c>
    </row>
    <row r="76" spans="1:13" s="11" customFormat="1" x14ac:dyDescent="0.25">
      <c r="A76" s="56"/>
      <c r="B76" s="139"/>
      <c r="C76" s="29"/>
      <c r="D76" s="27"/>
      <c r="E76" s="20"/>
      <c r="F76" s="18"/>
      <c r="G76" s="18"/>
      <c r="H76" s="128" t="s">
        <v>60</v>
      </c>
      <c r="I76" s="27" t="s">
        <v>16</v>
      </c>
      <c r="J76" s="20">
        <v>15</v>
      </c>
      <c r="K76" s="42">
        <f>ROUND(J76*$E$69,0)</f>
        <v>121</v>
      </c>
      <c r="L76" s="104"/>
      <c r="M76" s="57">
        <f t="shared" si="9"/>
        <v>0</v>
      </c>
    </row>
    <row r="77" spans="1:13" s="11" customFormat="1" x14ac:dyDescent="0.25">
      <c r="A77" s="56"/>
      <c r="B77" s="139"/>
      <c r="C77" s="29"/>
      <c r="D77" s="27"/>
      <c r="E77" s="20"/>
      <c r="F77" s="18"/>
      <c r="G77" s="18"/>
      <c r="H77" s="128" t="s">
        <v>61</v>
      </c>
      <c r="I77" s="27" t="s">
        <v>16</v>
      </c>
      <c r="J77" s="20">
        <v>4.34</v>
      </c>
      <c r="K77" s="42">
        <f>ROUND(J77*$E$69,0)</f>
        <v>35</v>
      </c>
      <c r="L77" s="104"/>
      <c r="M77" s="57">
        <f t="shared" si="9"/>
        <v>0</v>
      </c>
    </row>
    <row r="78" spans="1:13" s="11" customFormat="1" x14ac:dyDescent="0.25">
      <c r="A78" s="56">
        <v>31</v>
      </c>
      <c r="B78" s="143" t="s">
        <v>312</v>
      </c>
      <c r="C78" s="29" t="s">
        <v>154</v>
      </c>
      <c r="D78" s="27" t="s">
        <v>10</v>
      </c>
      <c r="E78" s="20">
        <v>6.71</v>
      </c>
      <c r="F78" s="18"/>
      <c r="G78" s="18">
        <f>E78*F78</f>
        <v>0</v>
      </c>
      <c r="H78" s="24" t="s">
        <v>223</v>
      </c>
      <c r="I78" s="27" t="s">
        <v>10</v>
      </c>
      <c r="J78" s="18">
        <v>1.1499999999999999</v>
      </c>
      <c r="K78" s="42">
        <f>J78*$E$78</f>
        <v>7.716499999999999</v>
      </c>
      <c r="L78" s="104"/>
      <c r="M78" s="57">
        <f t="shared" si="9"/>
        <v>0</v>
      </c>
    </row>
    <row r="79" spans="1:13" s="11" customFormat="1" x14ac:dyDescent="0.25">
      <c r="A79" s="56"/>
      <c r="B79" s="139"/>
      <c r="C79" s="29"/>
      <c r="D79" s="27"/>
      <c r="E79" s="20"/>
      <c r="F79" s="18"/>
      <c r="G79" s="18"/>
      <c r="H79" s="128" t="s">
        <v>56</v>
      </c>
      <c r="I79" s="27" t="s">
        <v>16</v>
      </c>
      <c r="J79" s="18">
        <v>4.4000000000000004</v>
      </c>
      <c r="K79" s="42">
        <f>ROUND(J79*$E$78,0)</f>
        <v>30</v>
      </c>
      <c r="L79" s="104"/>
      <c r="M79" s="57">
        <f t="shared" si="9"/>
        <v>0</v>
      </c>
    </row>
    <row r="80" spans="1:13" s="11" customFormat="1" x14ac:dyDescent="0.25">
      <c r="A80" s="56"/>
      <c r="B80" s="139"/>
      <c r="C80" s="29"/>
      <c r="D80" s="27"/>
      <c r="E80" s="20"/>
      <c r="F80" s="18"/>
      <c r="G80" s="18"/>
      <c r="H80" s="128" t="s">
        <v>57</v>
      </c>
      <c r="I80" s="27" t="s">
        <v>16</v>
      </c>
      <c r="J80" s="18">
        <v>1.67</v>
      </c>
      <c r="K80" s="42">
        <f>ROUND(J80*$E$78,0)</f>
        <v>11</v>
      </c>
      <c r="L80" s="104"/>
      <c r="M80" s="57">
        <f t="shared" si="9"/>
        <v>0</v>
      </c>
    </row>
    <row r="81" spans="1:13" s="11" customFormat="1" x14ac:dyDescent="0.25">
      <c r="A81" s="56"/>
      <c r="B81" s="139"/>
      <c r="C81" s="29"/>
      <c r="D81" s="27"/>
      <c r="E81" s="20"/>
      <c r="F81" s="18"/>
      <c r="G81" s="18"/>
      <c r="H81" s="24" t="s">
        <v>59</v>
      </c>
      <c r="I81" s="27" t="s">
        <v>16</v>
      </c>
      <c r="J81" s="18">
        <v>0.03</v>
      </c>
      <c r="K81" s="42">
        <f t="shared" ref="K81:K84" si="10">J81*$E$78</f>
        <v>0.20129999999999998</v>
      </c>
      <c r="L81" s="104"/>
      <c r="M81" s="57">
        <f t="shared" si="9"/>
        <v>0</v>
      </c>
    </row>
    <row r="82" spans="1:13" s="11" customFormat="1" x14ac:dyDescent="0.25">
      <c r="A82" s="56"/>
      <c r="B82" s="139"/>
      <c r="C82" s="29"/>
      <c r="D82" s="27"/>
      <c r="E82" s="20"/>
      <c r="F82" s="18"/>
      <c r="G82" s="18"/>
      <c r="H82" s="24" t="s">
        <v>58</v>
      </c>
      <c r="I82" s="27" t="s">
        <v>13</v>
      </c>
      <c r="J82" s="20">
        <v>1.49</v>
      </c>
      <c r="K82" s="42">
        <f t="shared" si="10"/>
        <v>9.9978999999999996</v>
      </c>
      <c r="L82" s="104"/>
      <c r="M82" s="57">
        <f t="shared" si="9"/>
        <v>0</v>
      </c>
    </row>
    <row r="83" spans="1:13" s="11" customFormat="1" x14ac:dyDescent="0.25">
      <c r="A83" s="56"/>
      <c r="B83" s="139"/>
      <c r="C83" s="29"/>
      <c r="D83" s="27"/>
      <c r="E83" s="20"/>
      <c r="F83" s="18"/>
      <c r="G83" s="18"/>
      <c r="H83" s="24" t="s">
        <v>62</v>
      </c>
      <c r="I83" s="27" t="s">
        <v>13</v>
      </c>
      <c r="J83" s="20">
        <v>2.1800000000000002</v>
      </c>
      <c r="K83" s="42">
        <f t="shared" si="10"/>
        <v>14.627800000000001</v>
      </c>
      <c r="L83" s="104"/>
      <c r="M83" s="57">
        <f t="shared" si="9"/>
        <v>0</v>
      </c>
    </row>
    <row r="84" spans="1:13" s="11" customFormat="1" x14ac:dyDescent="0.25">
      <c r="A84" s="56"/>
      <c r="B84" s="139"/>
      <c r="C84" s="30"/>
      <c r="D84" s="27"/>
      <c r="E84" s="20"/>
      <c r="F84" s="18"/>
      <c r="G84" s="18"/>
      <c r="H84" s="24" t="s">
        <v>63</v>
      </c>
      <c r="I84" s="27" t="s">
        <v>13</v>
      </c>
      <c r="J84" s="20">
        <v>1.49</v>
      </c>
      <c r="K84" s="42">
        <f t="shared" si="10"/>
        <v>9.9978999999999996</v>
      </c>
      <c r="L84" s="104"/>
      <c r="M84" s="57">
        <f t="shared" si="9"/>
        <v>0</v>
      </c>
    </row>
    <row r="85" spans="1:13" s="11" customFormat="1" x14ac:dyDescent="0.25">
      <c r="A85" s="56"/>
      <c r="B85" s="139"/>
      <c r="C85" s="30"/>
      <c r="D85" s="27"/>
      <c r="E85" s="20"/>
      <c r="F85" s="18"/>
      <c r="G85" s="18"/>
      <c r="H85" s="128" t="s">
        <v>60</v>
      </c>
      <c r="I85" s="27" t="s">
        <v>16</v>
      </c>
      <c r="J85" s="20">
        <v>25</v>
      </c>
      <c r="K85" s="42">
        <f>ROUND(J85*$E$78,0)</f>
        <v>168</v>
      </c>
      <c r="L85" s="104"/>
      <c r="M85" s="57">
        <f t="shared" si="9"/>
        <v>0</v>
      </c>
    </row>
    <row r="86" spans="1:13" s="11" customFormat="1" x14ac:dyDescent="0.25">
      <c r="A86" s="56"/>
      <c r="B86" s="139"/>
      <c r="C86" s="30"/>
      <c r="D86" s="27"/>
      <c r="E86" s="20"/>
      <c r="F86" s="18"/>
      <c r="G86" s="18"/>
      <c r="H86" s="128" t="s">
        <v>61</v>
      </c>
      <c r="I86" s="27" t="s">
        <v>16</v>
      </c>
      <c r="J86" s="20">
        <v>4.34</v>
      </c>
      <c r="K86" s="42">
        <f>ROUND(J86*$E$78,0)</f>
        <v>29</v>
      </c>
      <c r="L86" s="104"/>
      <c r="M86" s="57">
        <f t="shared" si="9"/>
        <v>0</v>
      </c>
    </row>
    <row r="87" spans="1:13" s="11" customFormat="1" x14ac:dyDescent="0.25">
      <c r="A87" s="56">
        <v>32</v>
      </c>
      <c r="B87" s="143" t="s">
        <v>318</v>
      </c>
      <c r="C87" s="101" t="s">
        <v>221</v>
      </c>
      <c r="D87" s="102" t="s">
        <v>10</v>
      </c>
      <c r="E87" s="18">
        <v>8.09</v>
      </c>
      <c r="F87" s="18"/>
      <c r="G87" s="18">
        <f>E87*F87</f>
        <v>0</v>
      </c>
      <c r="H87" s="24" t="s">
        <v>180</v>
      </c>
      <c r="I87" s="103" t="s">
        <v>10</v>
      </c>
      <c r="J87" s="20">
        <v>1.05</v>
      </c>
      <c r="K87" s="42">
        <f>J87*E87</f>
        <v>8.4945000000000004</v>
      </c>
      <c r="L87" s="104"/>
      <c r="M87" s="57">
        <f t="shared" si="9"/>
        <v>0</v>
      </c>
    </row>
    <row r="88" spans="1:13" s="11" customFormat="1" x14ac:dyDescent="0.25">
      <c r="A88" s="56"/>
      <c r="B88" s="139"/>
      <c r="C88" s="31"/>
      <c r="D88" s="27"/>
      <c r="E88" s="20"/>
      <c r="F88" s="18"/>
      <c r="G88" s="18"/>
      <c r="H88" s="101" t="s">
        <v>184</v>
      </c>
      <c r="I88" s="103" t="s">
        <v>10</v>
      </c>
      <c r="J88" s="104">
        <v>1.2</v>
      </c>
      <c r="K88" s="42">
        <f>J88*E87</f>
        <v>9.7080000000000002</v>
      </c>
      <c r="L88" s="104"/>
      <c r="M88" s="57">
        <f t="shared" si="9"/>
        <v>0</v>
      </c>
    </row>
    <row r="89" spans="1:13" s="11" customFormat="1" x14ac:dyDescent="0.25">
      <c r="A89" s="56">
        <v>33</v>
      </c>
      <c r="B89" s="143" t="s">
        <v>316</v>
      </c>
      <c r="C89" s="29" t="s">
        <v>315</v>
      </c>
      <c r="D89" s="27" t="s">
        <v>10</v>
      </c>
      <c r="E89" s="20">
        <v>13.64</v>
      </c>
      <c r="F89" s="18"/>
      <c r="G89" s="18">
        <f>E89*F89</f>
        <v>0</v>
      </c>
      <c r="H89" s="24" t="s">
        <v>223</v>
      </c>
      <c r="I89" s="27" t="s">
        <v>10</v>
      </c>
      <c r="J89" s="18">
        <v>1.1499999999999999</v>
      </c>
      <c r="K89" s="45">
        <f>J89*$E$89</f>
        <v>15.686</v>
      </c>
      <c r="L89" s="104"/>
      <c r="M89" s="57">
        <f t="shared" si="9"/>
        <v>0</v>
      </c>
    </row>
    <row r="90" spans="1:13" s="11" customFormat="1" x14ac:dyDescent="0.25">
      <c r="A90" s="56"/>
      <c r="B90" s="139"/>
      <c r="C90" s="30"/>
      <c r="D90" s="27"/>
      <c r="E90" s="20"/>
      <c r="F90" s="18"/>
      <c r="G90" s="18"/>
      <c r="H90" s="128" t="s">
        <v>56</v>
      </c>
      <c r="I90" s="27" t="s">
        <v>16</v>
      </c>
      <c r="J90" s="18">
        <v>4.4000000000000004</v>
      </c>
      <c r="K90" s="45">
        <f>ROUND(J90*$E$89,)</f>
        <v>60</v>
      </c>
      <c r="L90" s="104"/>
      <c r="M90" s="57">
        <f t="shared" si="9"/>
        <v>0</v>
      </c>
    </row>
    <row r="91" spans="1:13" s="11" customFormat="1" x14ac:dyDescent="0.25">
      <c r="A91" s="56"/>
      <c r="B91" s="139"/>
      <c r="C91" s="30"/>
      <c r="D91" s="27"/>
      <c r="E91" s="20"/>
      <c r="F91" s="18"/>
      <c r="G91" s="18"/>
      <c r="H91" s="128" t="s">
        <v>57</v>
      </c>
      <c r="I91" s="27" t="s">
        <v>16</v>
      </c>
      <c r="J91" s="18">
        <v>3.34</v>
      </c>
      <c r="K91" s="45">
        <f>ROUND(J91*$E$89,)</f>
        <v>46</v>
      </c>
      <c r="L91" s="104"/>
      <c r="M91" s="57">
        <f t="shared" si="9"/>
        <v>0</v>
      </c>
    </row>
    <row r="92" spans="1:13" s="11" customFormat="1" x14ac:dyDescent="0.25">
      <c r="A92" s="56"/>
      <c r="B92" s="139"/>
      <c r="C92" s="30"/>
      <c r="D92" s="27"/>
      <c r="E92" s="20"/>
      <c r="F92" s="18"/>
      <c r="G92" s="18"/>
      <c r="H92" s="24" t="s">
        <v>59</v>
      </c>
      <c r="I92" s="27" t="s">
        <v>16</v>
      </c>
      <c r="J92" s="18">
        <v>0.03</v>
      </c>
      <c r="K92" s="45">
        <f t="shared" ref="K92:K94" si="11">J92*$E$89</f>
        <v>0.40920000000000001</v>
      </c>
      <c r="L92" s="104"/>
      <c r="M92" s="57">
        <f t="shared" si="9"/>
        <v>0</v>
      </c>
    </row>
    <row r="93" spans="1:13" s="11" customFormat="1" x14ac:dyDescent="0.25">
      <c r="A93" s="56"/>
      <c r="B93" s="139"/>
      <c r="C93" s="30"/>
      <c r="D93" s="27"/>
      <c r="E93" s="20"/>
      <c r="F93" s="18"/>
      <c r="G93" s="18"/>
      <c r="H93" s="24" t="s">
        <v>64</v>
      </c>
      <c r="I93" s="27" t="s">
        <v>13</v>
      </c>
      <c r="J93" s="20">
        <v>4.3600000000000003</v>
      </c>
      <c r="K93" s="45">
        <f t="shared" si="11"/>
        <v>59.470400000000005</v>
      </c>
      <c r="L93" s="104"/>
      <c r="M93" s="57">
        <f t="shared" si="9"/>
        <v>0</v>
      </c>
    </row>
    <row r="94" spans="1:13" s="11" customFormat="1" x14ac:dyDescent="0.25">
      <c r="A94" s="56"/>
      <c r="B94" s="139"/>
      <c r="C94" s="30"/>
      <c r="D94" s="27"/>
      <c r="E94" s="20"/>
      <c r="F94" s="18"/>
      <c r="G94" s="18"/>
      <c r="H94" s="24" t="s">
        <v>65</v>
      </c>
      <c r="I94" s="27" t="s">
        <v>13</v>
      </c>
      <c r="J94" s="20">
        <v>1.49</v>
      </c>
      <c r="K94" s="45">
        <f t="shared" si="11"/>
        <v>20.323599999999999</v>
      </c>
      <c r="L94" s="104"/>
      <c r="M94" s="57">
        <f t="shared" si="9"/>
        <v>0</v>
      </c>
    </row>
    <row r="95" spans="1:13" s="11" customFormat="1" x14ac:dyDescent="0.25">
      <c r="A95" s="56"/>
      <c r="B95" s="139"/>
      <c r="C95" s="30"/>
      <c r="D95" s="27"/>
      <c r="E95" s="20"/>
      <c r="F95" s="18"/>
      <c r="G95" s="18"/>
      <c r="H95" s="128" t="s">
        <v>60</v>
      </c>
      <c r="I95" s="27" t="s">
        <v>16</v>
      </c>
      <c r="J95" s="20">
        <v>35</v>
      </c>
      <c r="K95" s="45">
        <f>ROUND(J95*$E$89,)</f>
        <v>477</v>
      </c>
      <c r="L95" s="104"/>
      <c r="M95" s="57">
        <f t="shared" si="9"/>
        <v>0</v>
      </c>
    </row>
    <row r="96" spans="1:13" s="11" customFormat="1" x14ac:dyDescent="0.25">
      <c r="A96" s="56"/>
      <c r="B96" s="139"/>
      <c r="C96" s="30"/>
      <c r="D96" s="27"/>
      <c r="E96" s="20"/>
      <c r="F96" s="18"/>
      <c r="G96" s="18"/>
      <c r="H96" s="128" t="s">
        <v>61</v>
      </c>
      <c r="I96" s="27" t="s">
        <v>16</v>
      </c>
      <c r="J96" s="32">
        <v>4.34</v>
      </c>
      <c r="K96" s="45">
        <f>ROUND(J96*$E$89,)</f>
        <v>59</v>
      </c>
      <c r="L96" s="104"/>
      <c r="M96" s="57">
        <f t="shared" si="9"/>
        <v>0</v>
      </c>
    </row>
    <row r="97" spans="1:13" s="11" customFormat="1" x14ac:dyDescent="0.25">
      <c r="A97" s="56">
        <v>34</v>
      </c>
      <c r="B97" s="143" t="s">
        <v>320</v>
      </c>
      <c r="C97" s="29" t="s">
        <v>182</v>
      </c>
      <c r="D97" s="27" t="s">
        <v>10</v>
      </c>
      <c r="E97" s="20">
        <v>4.6900000000000004</v>
      </c>
      <c r="F97" s="18"/>
      <c r="G97" s="18">
        <f>E97*F97</f>
        <v>0</v>
      </c>
      <c r="H97" s="24" t="s">
        <v>179</v>
      </c>
      <c r="I97" s="69" t="s">
        <v>12</v>
      </c>
      <c r="J97" s="39">
        <v>0.5</v>
      </c>
      <c r="K97" s="42">
        <f>J97*E97</f>
        <v>2.3450000000000002</v>
      </c>
      <c r="L97" s="18"/>
      <c r="M97" s="57">
        <f t="shared" si="9"/>
        <v>0</v>
      </c>
    </row>
    <row r="98" spans="1:13" s="11" customFormat="1" x14ac:dyDescent="0.25">
      <c r="A98" s="56"/>
      <c r="B98" s="139"/>
      <c r="C98" s="31"/>
      <c r="D98" s="27"/>
      <c r="E98" s="20"/>
      <c r="F98" s="18"/>
      <c r="G98" s="18"/>
      <c r="H98" s="68" t="s">
        <v>183</v>
      </c>
      <c r="I98" s="69" t="s">
        <v>10</v>
      </c>
      <c r="J98" s="39">
        <v>2.1</v>
      </c>
      <c r="K98" s="42">
        <f>J98*E97</f>
        <v>9.849000000000002</v>
      </c>
      <c r="L98" s="18"/>
      <c r="M98" s="57">
        <f t="shared" si="9"/>
        <v>0</v>
      </c>
    </row>
    <row r="99" spans="1:13" s="11" customFormat="1" x14ac:dyDescent="0.25">
      <c r="A99" s="56"/>
      <c r="B99" s="139"/>
      <c r="C99" s="31"/>
      <c r="D99" s="27"/>
      <c r="E99" s="20"/>
      <c r="F99" s="18"/>
      <c r="G99" s="18"/>
      <c r="H99" s="68" t="s">
        <v>184</v>
      </c>
      <c r="I99" s="69" t="s">
        <v>10</v>
      </c>
      <c r="J99" s="39">
        <v>1.2</v>
      </c>
      <c r="K99" s="42">
        <f>J99*E97</f>
        <v>5.6280000000000001</v>
      </c>
      <c r="L99" s="28"/>
      <c r="M99" s="57">
        <f t="shared" si="9"/>
        <v>0</v>
      </c>
    </row>
    <row r="100" spans="1:13" s="11" customFormat="1" x14ac:dyDescent="0.25">
      <c r="A100" s="56"/>
      <c r="B100" s="139"/>
      <c r="C100" s="31"/>
      <c r="D100" s="27"/>
      <c r="E100" s="20"/>
      <c r="F100" s="18"/>
      <c r="G100" s="18"/>
      <c r="H100" s="68" t="s">
        <v>178</v>
      </c>
      <c r="I100" s="69" t="s">
        <v>10</v>
      </c>
      <c r="J100" s="39">
        <v>1.1000000000000001</v>
      </c>
      <c r="K100" s="42">
        <f>J100*E97</f>
        <v>5.1590000000000007</v>
      </c>
      <c r="L100" s="18"/>
      <c r="M100" s="57">
        <f t="shared" si="9"/>
        <v>0</v>
      </c>
    </row>
    <row r="101" spans="1:13" s="11" customFormat="1" x14ac:dyDescent="0.25">
      <c r="A101" s="56">
        <v>35</v>
      </c>
      <c r="B101" s="143" t="s">
        <v>314</v>
      </c>
      <c r="C101" s="101" t="s">
        <v>313</v>
      </c>
      <c r="D101" s="102" t="s">
        <v>10</v>
      </c>
      <c r="E101" s="20">
        <v>2.02</v>
      </c>
      <c r="F101" s="18"/>
      <c r="G101" s="18">
        <f>E101*F101</f>
        <v>0</v>
      </c>
      <c r="H101" s="24" t="s">
        <v>223</v>
      </c>
      <c r="I101" s="103" t="s">
        <v>10</v>
      </c>
      <c r="J101" s="104">
        <v>1.05</v>
      </c>
      <c r="K101" s="42">
        <f>J101*E101</f>
        <v>2.121</v>
      </c>
      <c r="L101" s="28"/>
      <c r="M101" s="57">
        <f t="shared" si="9"/>
        <v>0</v>
      </c>
    </row>
    <row r="102" spans="1:13" s="11" customFormat="1" x14ac:dyDescent="0.25">
      <c r="A102" s="56"/>
      <c r="B102" s="139"/>
      <c r="C102" s="31"/>
      <c r="D102" s="27"/>
      <c r="E102" s="20"/>
      <c r="F102" s="18"/>
      <c r="G102" s="18"/>
      <c r="H102" s="101" t="s">
        <v>236</v>
      </c>
      <c r="I102" s="103" t="s">
        <v>21</v>
      </c>
      <c r="J102" s="104">
        <v>0.1</v>
      </c>
      <c r="K102" s="42">
        <f>J102*E101</f>
        <v>0.20200000000000001</v>
      </c>
      <c r="L102" s="28"/>
      <c r="M102" s="57">
        <f t="shared" si="9"/>
        <v>0</v>
      </c>
    </row>
    <row r="103" spans="1:13" s="11" customFormat="1" x14ac:dyDescent="0.25">
      <c r="A103" s="56"/>
      <c r="B103" s="139"/>
      <c r="C103" s="31"/>
      <c r="D103" s="27"/>
      <c r="E103" s="20"/>
      <c r="F103" s="18"/>
      <c r="G103" s="18"/>
      <c r="H103" s="101" t="s">
        <v>186</v>
      </c>
      <c r="I103" s="103" t="s">
        <v>11</v>
      </c>
      <c r="J103" s="104">
        <v>6</v>
      </c>
      <c r="K103" s="42">
        <f>J103*E101</f>
        <v>12.120000000000001</v>
      </c>
      <c r="L103" s="18"/>
      <c r="M103" s="57">
        <f t="shared" si="9"/>
        <v>0</v>
      </c>
    </row>
    <row r="104" spans="1:13" s="11" customFormat="1" x14ac:dyDescent="0.25">
      <c r="A104" s="56">
        <v>36</v>
      </c>
      <c r="B104" s="143" t="s">
        <v>317</v>
      </c>
      <c r="C104" s="29" t="s">
        <v>185</v>
      </c>
      <c r="D104" s="27" t="s">
        <v>15</v>
      </c>
      <c r="E104" s="20">
        <v>7.97</v>
      </c>
      <c r="F104" s="18"/>
      <c r="G104" s="18">
        <f>E104*F104</f>
        <v>0</v>
      </c>
      <c r="H104" s="24" t="s">
        <v>223</v>
      </c>
      <c r="I104" s="69" t="s">
        <v>10</v>
      </c>
      <c r="J104" s="39">
        <v>0.5</v>
      </c>
      <c r="K104" s="42">
        <f>J104*E104</f>
        <v>3.9849999999999999</v>
      </c>
      <c r="L104" s="104"/>
      <c r="M104" s="57">
        <f t="shared" si="9"/>
        <v>0</v>
      </c>
    </row>
    <row r="105" spans="1:13" s="11" customFormat="1" x14ac:dyDescent="0.25">
      <c r="A105" s="56"/>
      <c r="B105" s="139"/>
      <c r="C105" s="31"/>
      <c r="D105" s="27"/>
      <c r="E105" s="20"/>
      <c r="F105" s="18"/>
      <c r="G105" s="18"/>
      <c r="H105" s="24" t="s">
        <v>52</v>
      </c>
      <c r="I105" s="69" t="s">
        <v>21</v>
      </c>
      <c r="J105" s="39">
        <v>0.1</v>
      </c>
      <c r="K105" s="42">
        <f>J105*E104</f>
        <v>0.79700000000000004</v>
      </c>
      <c r="L105" s="28"/>
      <c r="M105" s="57">
        <f t="shared" si="9"/>
        <v>0</v>
      </c>
    </row>
    <row r="106" spans="1:13" s="11" customFormat="1" x14ac:dyDescent="0.25">
      <c r="A106" s="56"/>
      <c r="B106" s="139"/>
      <c r="C106" s="31"/>
      <c r="D106" s="27"/>
      <c r="E106" s="20"/>
      <c r="F106" s="18"/>
      <c r="G106" s="18"/>
      <c r="H106" s="68" t="s">
        <v>59</v>
      </c>
      <c r="I106" s="69" t="s">
        <v>12</v>
      </c>
      <c r="J106" s="39">
        <v>0.03</v>
      </c>
      <c r="K106" s="42">
        <f>J106*E104</f>
        <v>0.23909999999999998</v>
      </c>
      <c r="L106" s="104"/>
      <c r="M106" s="57">
        <f t="shared" si="9"/>
        <v>0</v>
      </c>
    </row>
    <row r="107" spans="1:13" s="11" customFormat="1" x14ac:dyDescent="0.25">
      <c r="A107" s="56">
        <v>37</v>
      </c>
      <c r="B107" s="143" t="s">
        <v>297</v>
      </c>
      <c r="C107" s="29" t="s">
        <v>187</v>
      </c>
      <c r="D107" s="27" t="s">
        <v>10</v>
      </c>
      <c r="E107" s="20">
        <v>19.489999999999998</v>
      </c>
      <c r="F107" s="18"/>
      <c r="G107" s="18">
        <f>E107*F107</f>
        <v>0</v>
      </c>
      <c r="H107" s="24" t="s">
        <v>52</v>
      </c>
      <c r="I107" s="69" t="s">
        <v>21</v>
      </c>
      <c r="J107" s="39">
        <v>0.3</v>
      </c>
      <c r="K107" s="42">
        <f>J107*E107</f>
        <v>5.8469999999999995</v>
      </c>
      <c r="L107" s="28"/>
      <c r="M107" s="57">
        <f t="shared" si="9"/>
        <v>0</v>
      </c>
    </row>
    <row r="108" spans="1:13" s="11" customFormat="1" x14ac:dyDescent="0.25">
      <c r="A108" s="56"/>
      <c r="B108" s="139"/>
      <c r="C108" s="29"/>
      <c r="D108" s="27"/>
      <c r="E108" s="20"/>
      <c r="F108" s="18"/>
      <c r="G108" s="18"/>
      <c r="H108" s="68" t="s">
        <v>47</v>
      </c>
      <c r="I108" s="27" t="s">
        <v>15</v>
      </c>
      <c r="J108" s="39">
        <v>0.5</v>
      </c>
      <c r="K108" s="42">
        <f>J108*E107</f>
        <v>9.7449999999999992</v>
      </c>
      <c r="L108" s="28"/>
      <c r="M108" s="57">
        <f t="shared" si="9"/>
        <v>0</v>
      </c>
    </row>
    <row r="109" spans="1:13" s="11" customFormat="1" x14ac:dyDescent="0.25">
      <c r="A109" s="56"/>
      <c r="B109" s="139"/>
      <c r="C109" s="29"/>
      <c r="D109" s="27"/>
      <c r="E109" s="20"/>
      <c r="F109" s="18"/>
      <c r="G109" s="18"/>
      <c r="H109" s="68" t="s">
        <v>188</v>
      </c>
      <c r="I109" s="69" t="s">
        <v>23</v>
      </c>
      <c r="J109" s="39">
        <v>0.05</v>
      </c>
      <c r="K109" s="42">
        <f>E107*J109</f>
        <v>0.97449999999999992</v>
      </c>
      <c r="L109" s="28"/>
      <c r="M109" s="57">
        <f t="shared" si="9"/>
        <v>0</v>
      </c>
    </row>
    <row r="110" spans="1:13" s="11" customFormat="1" x14ac:dyDescent="0.25">
      <c r="A110" s="56"/>
      <c r="B110" s="139"/>
      <c r="C110" s="29"/>
      <c r="D110" s="27"/>
      <c r="E110" s="20"/>
      <c r="F110" s="18"/>
      <c r="G110" s="18"/>
      <c r="H110" s="68" t="s">
        <v>48</v>
      </c>
      <c r="I110" s="69" t="s">
        <v>11</v>
      </c>
      <c r="J110" s="39">
        <v>9</v>
      </c>
      <c r="K110" s="42">
        <f>J110*E107</f>
        <v>175.41</v>
      </c>
      <c r="L110" s="28"/>
      <c r="M110" s="57">
        <f t="shared" si="9"/>
        <v>0</v>
      </c>
    </row>
    <row r="111" spans="1:13" s="11" customFormat="1" ht="25.5" x14ac:dyDescent="0.25">
      <c r="A111" s="56"/>
      <c r="B111" s="139"/>
      <c r="C111" s="29"/>
      <c r="D111" s="27"/>
      <c r="E111" s="20"/>
      <c r="F111" s="18"/>
      <c r="G111" s="18"/>
      <c r="H111" s="34" t="s">
        <v>139</v>
      </c>
      <c r="I111" s="69" t="s">
        <v>11</v>
      </c>
      <c r="J111" s="39">
        <v>0.36</v>
      </c>
      <c r="K111" s="42">
        <f>J111*E107</f>
        <v>7.0163999999999991</v>
      </c>
      <c r="L111" s="18"/>
      <c r="M111" s="57">
        <f t="shared" si="9"/>
        <v>0</v>
      </c>
    </row>
    <row r="112" spans="1:13" s="11" customFormat="1" ht="25.5" x14ac:dyDescent="0.25">
      <c r="A112" s="56">
        <v>38</v>
      </c>
      <c r="B112" s="143" t="s">
        <v>298</v>
      </c>
      <c r="C112" s="29" t="s">
        <v>76</v>
      </c>
      <c r="D112" s="27" t="s">
        <v>10</v>
      </c>
      <c r="E112" s="20">
        <v>111.54</v>
      </c>
      <c r="F112" s="18"/>
      <c r="G112" s="18">
        <f>E112*F112</f>
        <v>0</v>
      </c>
      <c r="H112" s="24" t="s">
        <v>77</v>
      </c>
      <c r="I112" s="27" t="s">
        <v>11</v>
      </c>
      <c r="J112" s="32">
        <v>25</v>
      </c>
      <c r="K112" s="42">
        <f>J112*E112</f>
        <v>2788.5</v>
      </c>
      <c r="L112" s="113"/>
      <c r="M112" s="57">
        <f t="shared" si="9"/>
        <v>0</v>
      </c>
    </row>
    <row r="113" spans="1:13" s="11" customFormat="1" x14ac:dyDescent="0.25">
      <c r="A113" s="56"/>
      <c r="B113" s="139"/>
      <c r="C113" s="31"/>
      <c r="D113" s="27"/>
      <c r="E113" s="20"/>
      <c r="F113" s="18"/>
      <c r="G113" s="18"/>
      <c r="H113" s="24" t="s">
        <v>49</v>
      </c>
      <c r="I113" s="27" t="s">
        <v>11</v>
      </c>
      <c r="J113" s="32">
        <v>0.35</v>
      </c>
      <c r="K113" s="42">
        <f>J113*E112</f>
        <v>39.039000000000001</v>
      </c>
      <c r="L113" s="18"/>
      <c r="M113" s="57">
        <f t="shared" si="9"/>
        <v>0</v>
      </c>
    </row>
    <row r="114" spans="1:13" s="11" customFormat="1" x14ac:dyDescent="0.25">
      <c r="A114" s="56"/>
      <c r="B114" s="139"/>
      <c r="C114" s="31"/>
      <c r="D114" s="27"/>
      <c r="E114" s="20"/>
      <c r="F114" s="18"/>
      <c r="G114" s="18"/>
      <c r="H114" s="24" t="s">
        <v>47</v>
      </c>
      <c r="I114" s="27" t="s">
        <v>15</v>
      </c>
      <c r="J114" s="32">
        <v>0.5</v>
      </c>
      <c r="K114" s="42">
        <f>J114*E112</f>
        <v>55.77</v>
      </c>
      <c r="L114" s="28"/>
      <c r="M114" s="57">
        <f t="shared" si="9"/>
        <v>0</v>
      </c>
    </row>
    <row r="115" spans="1:13" s="11" customFormat="1" ht="25.5" x14ac:dyDescent="0.25">
      <c r="A115" s="56">
        <v>39</v>
      </c>
      <c r="B115" s="143" t="s">
        <v>299</v>
      </c>
      <c r="C115" s="29" t="s">
        <v>158</v>
      </c>
      <c r="D115" s="27" t="s">
        <v>15</v>
      </c>
      <c r="E115" s="20">
        <v>36.92</v>
      </c>
      <c r="F115" s="18"/>
      <c r="G115" s="18">
        <f>E115*F115</f>
        <v>0</v>
      </c>
      <c r="H115" s="24" t="s">
        <v>77</v>
      </c>
      <c r="I115" s="27" t="s">
        <v>11</v>
      </c>
      <c r="J115" s="32">
        <v>8</v>
      </c>
      <c r="K115" s="42">
        <f>J115*E115</f>
        <v>295.36</v>
      </c>
      <c r="L115" s="113"/>
      <c r="M115" s="57">
        <f>K115*L115</f>
        <v>0</v>
      </c>
    </row>
    <row r="116" spans="1:13" s="11" customFormat="1" x14ac:dyDescent="0.25">
      <c r="A116" s="56">
        <v>40</v>
      </c>
      <c r="B116" s="143" t="s">
        <v>300</v>
      </c>
      <c r="C116" s="29" t="s">
        <v>301</v>
      </c>
      <c r="D116" s="27" t="s">
        <v>15</v>
      </c>
      <c r="E116" s="20">
        <v>36.92</v>
      </c>
      <c r="F116" s="18"/>
      <c r="G116" s="18">
        <f>E116*F116</f>
        <v>0</v>
      </c>
      <c r="H116" s="24" t="s">
        <v>49</v>
      </c>
      <c r="I116" s="27" t="s">
        <v>11</v>
      </c>
      <c r="J116" s="32">
        <v>0.2</v>
      </c>
      <c r="K116" s="42">
        <f>J116*E116</f>
        <v>7.3840000000000003</v>
      </c>
      <c r="L116" s="18"/>
      <c r="M116" s="57">
        <f t="shared" si="9"/>
        <v>0</v>
      </c>
    </row>
    <row r="117" spans="1:13" s="11" customFormat="1" x14ac:dyDescent="0.25">
      <c r="A117" s="56"/>
      <c r="B117" s="139"/>
      <c r="C117" s="31"/>
      <c r="D117" s="27"/>
      <c r="E117" s="20"/>
      <c r="F117" s="18"/>
      <c r="G117" s="18"/>
      <c r="H117" s="24" t="s">
        <v>47</v>
      </c>
      <c r="I117" s="27" t="s">
        <v>15</v>
      </c>
      <c r="J117" s="32">
        <v>1</v>
      </c>
      <c r="K117" s="42">
        <f>J117*E116</f>
        <v>36.92</v>
      </c>
      <c r="L117" s="28"/>
      <c r="M117" s="57">
        <f t="shared" si="9"/>
        <v>0</v>
      </c>
    </row>
    <row r="118" spans="1:13" s="11" customFormat="1" x14ac:dyDescent="0.25">
      <c r="A118" s="56"/>
      <c r="B118" s="139"/>
      <c r="C118" s="31"/>
      <c r="D118" s="27"/>
      <c r="E118" s="20"/>
      <c r="F118" s="18"/>
      <c r="G118" s="18"/>
      <c r="H118" s="24" t="s">
        <v>249</v>
      </c>
      <c r="I118" s="27" t="s">
        <v>13</v>
      </c>
      <c r="J118" s="32">
        <v>1</v>
      </c>
      <c r="K118" s="42">
        <f>J118*E116</f>
        <v>36.92</v>
      </c>
      <c r="L118" s="18"/>
      <c r="M118" s="57">
        <f t="shared" si="9"/>
        <v>0</v>
      </c>
    </row>
    <row r="119" spans="1:13" s="11" customFormat="1" ht="25.5" x14ac:dyDescent="0.25">
      <c r="A119" s="56">
        <v>41</v>
      </c>
      <c r="B119" s="143" t="s">
        <v>302</v>
      </c>
      <c r="C119" s="29" t="s">
        <v>78</v>
      </c>
      <c r="D119" s="27" t="s">
        <v>15</v>
      </c>
      <c r="E119" s="20">
        <f>(5+0.8+1.8+0.8+0.5+2)*3+(2.3+1.5+1+3)*2</f>
        <v>48.300000000000004</v>
      </c>
      <c r="F119" s="18"/>
      <c r="G119" s="18">
        <f>E119*F119</f>
        <v>0</v>
      </c>
      <c r="H119" s="34" t="s">
        <v>139</v>
      </c>
      <c r="I119" s="27" t="s">
        <v>11</v>
      </c>
      <c r="J119" s="32">
        <v>0.18</v>
      </c>
      <c r="K119" s="42">
        <f>J119*E119</f>
        <v>8.6940000000000008</v>
      </c>
      <c r="L119" s="18"/>
      <c r="M119" s="57">
        <f t="shared" si="9"/>
        <v>0</v>
      </c>
    </row>
    <row r="120" spans="1:13" s="11" customFormat="1" ht="25.5" x14ac:dyDescent="0.25">
      <c r="A120" s="56">
        <v>42</v>
      </c>
      <c r="B120" s="143" t="s">
        <v>303</v>
      </c>
      <c r="C120" s="29" t="s">
        <v>116</v>
      </c>
      <c r="D120" s="27" t="s">
        <v>15</v>
      </c>
      <c r="E120" s="36">
        <v>24.5</v>
      </c>
      <c r="F120" s="18"/>
      <c r="G120" s="18">
        <f>E120*F120</f>
        <v>0</v>
      </c>
      <c r="H120" s="34" t="s">
        <v>139</v>
      </c>
      <c r="I120" s="27" t="s">
        <v>11</v>
      </c>
      <c r="J120" s="32">
        <v>0.15</v>
      </c>
      <c r="K120" s="42">
        <f>J120*E120</f>
        <v>3.6749999999999998</v>
      </c>
      <c r="L120" s="18"/>
      <c r="M120" s="57">
        <f t="shared" si="9"/>
        <v>0</v>
      </c>
    </row>
    <row r="121" spans="1:13" s="11" customFormat="1" x14ac:dyDescent="0.25">
      <c r="A121" s="56">
        <v>43</v>
      </c>
      <c r="B121" s="143" t="s">
        <v>304</v>
      </c>
      <c r="C121" s="29" t="s">
        <v>79</v>
      </c>
      <c r="D121" s="27" t="s">
        <v>10</v>
      </c>
      <c r="E121" s="20">
        <f>(0.9+0.845+1.745+3.4+0.26+1.4)*3</f>
        <v>25.650000000000002</v>
      </c>
      <c r="F121" s="18"/>
      <c r="G121" s="18">
        <f>E121*F121</f>
        <v>0</v>
      </c>
      <c r="H121" s="128" t="s">
        <v>56</v>
      </c>
      <c r="I121" s="27" t="s">
        <v>16</v>
      </c>
      <c r="J121" s="32">
        <v>10</v>
      </c>
      <c r="K121" s="42">
        <f>ROUND(J121*E121,0)</f>
        <v>257</v>
      </c>
      <c r="L121" s="104"/>
      <c r="M121" s="57">
        <f t="shared" si="9"/>
        <v>0</v>
      </c>
    </row>
    <row r="122" spans="1:13" s="11" customFormat="1" x14ac:dyDescent="0.25">
      <c r="A122" s="56"/>
      <c r="B122" s="139"/>
      <c r="C122" s="31"/>
      <c r="D122" s="27"/>
      <c r="E122" s="20"/>
      <c r="F122" s="18"/>
      <c r="G122" s="18"/>
      <c r="H122" s="24" t="s">
        <v>80</v>
      </c>
      <c r="I122" s="27" t="s">
        <v>10</v>
      </c>
      <c r="J122" s="32">
        <v>1.1000000000000001</v>
      </c>
      <c r="K122" s="42">
        <f>J122*E121</f>
        <v>28.215000000000003</v>
      </c>
      <c r="L122" s="18"/>
      <c r="M122" s="57">
        <f t="shared" si="9"/>
        <v>0</v>
      </c>
    </row>
    <row r="123" spans="1:13" s="11" customFormat="1" x14ac:dyDescent="0.25">
      <c r="A123" s="56">
        <v>44</v>
      </c>
      <c r="B123" s="143" t="s">
        <v>300</v>
      </c>
      <c r="C123" s="29" t="s">
        <v>305</v>
      </c>
      <c r="D123" s="27" t="s">
        <v>10</v>
      </c>
      <c r="E123" s="20">
        <f>E112</f>
        <v>111.54</v>
      </c>
      <c r="F123" s="18"/>
      <c r="G123" s="18">
        <f>E123*F123</f>
        <v>0</v>
      </c>
      <c r="H123" s="24" t="s">
        <v>49</v>
      </c>
      <c r="I123" s="27" t="s">
        <v>11</v>
      </c>
      <c r="J123" s="32">
        <v>0.4</v>
      </c>
      <c r="K123" s="42">
        <f>J123*E123</f>
        <v>44.616000000000007</v>
      </c>
      <c r="L123" s="18"/>
      <c r="M123" s="57">
        <f t="shared" si="9"/>
        <v>0</v>
      </c>
    </row>
    <row r="124" spans="1:13" s="11" customFormat="1" x14ac:dyDescent="0.25">
      <c r="A124" s="56">
        <v>45</v>
      </c>
      <c r="B124" s="143" t="s">
        <v>306</v>
      </c>
      <c r="C124" s="29" t="s">
        <v>205</v>
      </c>
      <c r="D124" s="27" t="s">
        <v>10</v>
      </c>
      <c r="E124" s="20">
        <v>67.41</v>
      </c>
      <c r="F124" s="18"/>
      <c r="G124" s="18">
        <f>E124*F124</f>
        <v>0</v>
      </c>
      <c r="H124" s="24" t="s">
        <v>52</v>
      </c>
      <c r="I124" s="27" t="s">
        <v>21</v>
      </c>
      <c r="J124" s="32">
        <v>0.25</v>
      </c>
      <c r="K124" s="42">
        <f>J124*E124</f>
        <v>16.852499999999999</v>
      </c>
      <c r="L124" s="28"/>
      <c r="M124" s="57">
        <f t="shared" si="9"/>
        <v>0</v>
      </c>
    </row>
    <row r="125" spans="1:13" s="11" customFormat="1" x14ac:dyDescent="0.25">
      <c r="A125" s="56"/>
      <c r="B125" s="139"/>
      <c r="C125" s="29"/>
      <c r="D125" s="27"/>
      <c r="E125" s="20"/>
      <c r="F125" s="18"/>
      <c r="G125" s="18"/>
      <c r="H125" s="24" t="s">
        <v>81</v>
      </c>
      <c r="I125" s="27" t="s">
        <v>11</v>
      </c>
      <c r="J125" s="32">
        <v>2.4</v>
      </c>
      <c r="K125" s="42">
        <f>J125*E124</f>
        <v>161.78399999999999</v>
      </c>
      <c r="L125" s="18"/>
      <c r="M125" s="57">
        <f t="shared" si="9"/>
        <v>0</v>
      </c>
    </row>
    <row r="126" spans="1:13" s="11" customFormat="1" x14ac:dyDescent="0.25">
      <c r="A126" s="56"/>
      <c r="B126" s="139"/>
      <c r="C126" s="31"/>
      <c r="D126" s="27"/>
      <c r="E126" s="20"/>
      <c r="F126" s="18"/>
      <c r="G126" s="18"/>
      <c r="H126" s="24" t="s">
        <v>82</v>
      </c>
      <c r="I126" s="27" t="s">
        <v>11</v>
      </c>
      <c r="J126" s="32">
        <v>1.8</v>
      </c>
      <c r="K126" s="42">
        <f>J126*E124</f>
        <v>121.33799999999999</v>
      </c>
      <c r="L126" s="18"/>
      <c r="M126" s="57">
        <f t="shared" si="9"/>
        <v>0</v>
      </c>
    </row>
    <row r="127" spans="1:13" s="11" customFormat="1" x14ac:dyDescent="0.25">
      <c r="A127" s="56">
        <v>46</v>
      </c>
      <c r="B127" s="143" t="s">
        <v>308</v>
      </c>
      <c r="C127" s="29" t="s">
        <v>83</v>
      </c>
      <c r="D127" s="27" t="s">
        <v>10</v>
      </c>
      <c r="E127" s="20">
        <v>56.51</v>
      </c>
      <c r="F127" s="18"/>
      <c r="G127" s="18">
        <f>E127*F127</f>
        <v>0</v>
      </c>
      <c r="H127" s="24" t="s">
        <v>52</v>
      </c>
      <c r="I127" s="27" t="s">
        <v>21</v>
      </c>
      <c r="J127" s="32">
        <v>0.25</v>
      </c>
      <c r="K127" s="42">
        <f>J127*E127</f>
        <v>14.1275</v>
      </c>
      <c r="L127" s="28"/>
      <c r="M127" s="57">
        <f t="shared" si="9"/>
        <v>0</v>
      </c>
    </row>
    <row r="128" spans="1:13" s="11" customFormat="1" x14ac:dyDescent="0.25">
      <c r="A128" s="56"/>
      <c r="B128" s="139"/>
      <c r="C128" s="31"/>
      <c r="D128" s="27"/>
      <c r="E128" s="20"/>
      <c r="F128" s="18"/>
      <c r="G128" s="18"/>
      <c r="H128" s="24" t="s">
        <v>84</v>
      </c>
      <c r="I128" s="27" t="s">
        <v>11</v>
      </c>
      <c r="J128" s="32">
        <v>0.3</v>
      </c>
      <c r="K128" s="42">
        <f>J128*E127</f>
        <v>16.952999999999999</v>
      </c>
      <c r="L128" s="18"/>
      <c r="M128" s="57">
        <f t="shared" si="9"/>
        <v>0</v>
      </c>
    </row>
    <row r="129" spans="1:13" s="11" customFormat="1" x14ac:dyDescent="0.25">
      <c r="A129" s="56"/>
      <c r="B129" s="139"/>
      <c r="C129" s="31"/>
      <c r="D129" s="27"/>
      <c r="E129" s="20"/>
      <c r="F129" s="18"/>
      <c r="G129" s="18"/>
      <c r="H129" s="24" t="s">
        <v>86</v>
      </c>
      <c r="I129" s="27" t="s">
        <v>10</v>
      </c>
      <c r="J129" s="32">
        <v>1.1000000000000001</v>
      </c>
      <c r="K129" s="42">
        <f>J129*E127</f>
        <v>62.161000000000001</v>
      </c>
      <c r="L129" s="18"/>
      <c r="M129" s="57">
        <f t="shared" si="9"/>
        <v>0</v>
      </c>
    </row>
    <row r="130" spans="1:13" s="11" customFormat="1" x14ac:dyDescent="0.25">
      <c r="A130" s="56"/>
      <c r="B130" s="139"/>
      <c r="C130" s="31"/>
      <c r="D130" s="27"/>
      <c r="E130" s="20"/>
      <c r="F130" s="18"/>
      <c r="G130" s="18"/>
      <c r="H130" s="25" t="s">
        <v>88</v>
      </c>
      <c r="I130" s="27" t="s">
        <v>11</v>
      </c>
      <c r="J130" s="32">
        <v>1.35</v>
      </c>
      <c r="K130" s="42">
        <f>J130*E127</f>
        <v>76.288499999999999</v>
      </c>
      <c r="L130" s="18"/>
      <c r="M130" s="57">
        <f t="shared" si="9"/>
        <v>0</v>
      </c>
    </row>
    <row r="131" spans="1:13" s="11" customFormat="1" x14ac:dyDescent="0.25">
      <c r="A131" s="56"/>
      <c r="B131" s="139"/>
      <c r="C131" s="31"/>
      <c r="D131" s="27"/>
      <c r="E131" s="20"/>
      <c r="F131" s="18"/>
      <c r="G131" s="18"/>
      <c r="H131" s="24" t="s">
        <v>81</v>
      </c>
      <c r="I131" s="27" t="s">
        <v>11</v>
      </c>
      <c r="J131" s="32">
        <v>2.4</v>
      </c>
      <c r="K131" s="42">
        <f>J131*E127</f>
        <v>135.624</v>
      </c>
      <c r="L131" s="18"/>
      <c r="M131" s="57">
        <f t="shared" si="9"/>
        <v>0</v>
      </c>
    </row>
    <row r="132" spans="1:13" s="11" customFormat="1" x14ac:dyDescent="0.25">
      <c r="A132" s="56"/>
      <c r="B132" s="139"/>
      <c r="C132" s="31"/>
      <c r="D132" s="27"/>
      <c r="E132" s="20"/>
      <c r="F132" s="18"/>
      <c r="G132" s="18"/>
      <c r="H132" s="24" t="s">
        <v>82</v>
      </c>
      <c r="I132" s="27" t="s">
        <v>11</v>
      </c>
      <c r="J132" s="32">
        <v>1.8</v>
      </c>
      <c r="K132" s="42">
        <f>J132*E127</f>
        <v>101.718</v>
      </c>
      <c r="L132" s="18"/>
      <c r="M132" s="57">
        <f t="shared" si="9"/>
        <v>0</v>
      </c>
    </row>
    <row r="133" spans="1:13" s="11" customFormat="1" x14ac:dyDescent="0.25">
      <c r="A133" s="56">
        <v>47</v>
      </c>
      <c r="B133" s="143" t="s">
        <v>307</v>
      </c>
      <c r="C133" s="29" t="s">
        <v>206</v>
      </c>
      <c r="D133" s="27" t="s">
        <v>15</v>
      </c>
      <c r="E133" s="20">
        <v>8.1</v>
      </c>
      <c r="F133" s="18"/>
      <c r="G133" s="18">
        <f>E133*F133</f>
        <v>0</v>
      </c>
      <c r="H133" s="24" t="s">
        <v>52</v>
      </c>
      <c r="I133" s="27" t="s">
        <v>21</v>
      </c>
      <c r="J133" s="32">
        <v>0.08</v>
      </c>
      <c r="K133" s="42">
        <f>J133*E133</f>
        <v>0.64800000000000002</v>
      </c>
      <c r="L133" s="28"/>
      <c r="M133" s="57">
        <f t="shared" si="9"/>
        <v>0</v>
      </c>
    </row>
    <row r="134" spans="1:13" s="11" customFormat="1" x14ac:dyDescent="0.25">
      <c r="A134" s="56"/>
      <c r="B134" s="139"/>
      <c r="C134" s="31"/>
      <c r="D134" s="27"/>
      <c r="E134" s="20"/>
      <c r="F134" s="18"/>
      <c r="G134" s="18"/>
      <c r="H134" s="24" t="s">
        <v>81</v>
      </c>
      <c r="I134" s="27" t="s">
        <v>11</v>
      </c>
      <c r="J134" s="32">
        <v>0.8</v>
      </c>
      <c r="K134" s="42">
        <f>J134*E133</f>
        <v>6.48</v>
      </c>
      <c r="L134" s="18"/>
      <c r="M134" s="57">
        <f t="shared" si="9"/>
        <v>0</v>
      </c>
    </row>
    <row r="135" spans="1:13" s="11" customFormat="1" x14ac:dyDescent="0.25">
      <c r="A135" s="56"/>
      <c r="B135" s="139"/>
      <c r="C135" s="31"/>
      <c r="D135" s="27"/>
      <c r="E135" s="20"/>
      <c r="F135" s="18"/>
      <c r="G135" s="18"/>
      <c r="H135" s="24" t="s">
        <v>82</v>
      </c>
      <c r="I135" s="27" t="s">
        <v>11</v>
      </c>
      <c r="J135" s="32">
        <v>0.5</v>
      </c>
      <c r="K135" s="42">
        <f>J135*E133</f>
        <v>4.05</v>
      </c>
      <c r="L135" s="18"/>
      <c r="M135" s="57">
        <f t="shared" si="9"/>
        <v>0</v>
      </c>
    </row>
    <row r="136" spans="1:13" s="11" customFormat="1" x14ac:dyDescent="0.25">
      <c r="A136" s="56">
        <v>48</v>
      </c>
      <c r="B136" s="143" t="s">
        <v>309</v>
      </c>
      <c r="C136" s="29" t="s">
        <v>85</v>
      </c>
      <c r="D136" s="27" t="s">
        <v>15</v>
      </c>
      <c r="E136" s="20">
        <v>38.22</v>
      </c>
      <c r="F136" s="18"/>
      <c r="G136" s="18">
        <f>E136*F136</f>
        <v>0</v>
      </c>
      <c r="H136" s="24" t="s">
        <v>52</v>
      </c>
      <c r="I136" s="27" t="s">
        <v>21</v>
      </c>
      <c r="J136" s="32">
        <v>0.08</v>
      </c>
      <c r="K136" s="42">
        <f>J136*E136</f>
        <v>3.0575999999999999</v>
      </c>
      <c r="L136" s="28"/>
      <c r="M136" s="57">
        <f t="shared" si="9"/>
        <v>0</v>
      </c>
    </row>
    <row r="137" spans="1:13" s="11" customFormat="1" x14ac:dyDescent="0.25">
      <c r="A137" s="56"/>
      <c r="B137" s="139"/>
      <c r="C137" s="31"/>
      <c r="D137" s="27"/>
      <c r="E137" s="20"/>
      <c r="F137" s="18"/>
      <c r="G137" s="18"/>
      <c r="H137" s="24" t="s">
        <v>86</v>
      </c>
      <c r="I137" s="27" t="s">
        <v>10</v>
      </c>
      <c r="J137" s="32">
        <v>1.1000000000000001</v>
      </c>
      <c r="K137" s="42">
        <f>J137*E136</f>
        <v>42.042000000000002</v>
      </c>
      <c r="L137" s="18"/>
      <c r="M137" s="57">
        <f t="shared" si="9"/>
        <v>0</v>
      </c>
    </row>
    <row r="138" spans="1:13" s="11" customFormat="1" x14ac:dyDescent="0.25">
      <c r="A138" s="56"/>
      <c r="B138" s="139"/>
      <c r="C138" s="31"/>
      <c r="D138" s="27"/>
      <c r="E138" s="20"/>
      <c r="F138" s="18"/>
      <c r="G138" s="18"/>
      <c r="H138" s="24" t="s">
        <v>81</v>
      </c>
      <c r="I138" s="27" t="s">
        <v>11</v>
      </c>
      <c r="J138" s="32">
        <v>0.8</v>
      </c>
      <c r="K138" s="42">
        <f>J138*E136</f>
        <v>30.576000000000001</v>
      </c>
      <c r="L138" s="18"/>
      <c r="M138" s="57">
        <f t="shared" si="9"/>
        <v>0</v>
      </c>
    </row>
    <row r="139" spans="1:13" s="11" customFormat="1" x14ac:dyDescent="0.25">
      <c r="A139" s="56"/>
      <c r="B139" s="139"/>
      <c r="C139" s="31"/>
      <c r="D139" s="27"/>
      <c r="E139" s="20"/>
      <c r="F139" s="18"/>
      <c r="G139" s="18"/>
      <c r="H139" s="24" t="s">
        <v>82</v>
      </c>
      <c r="I139" s="27" t="s">
        <v>11</v>
      </c>
      <c r="J139" s="32">
        <v>0.5</v>
      </c>
      <c r="K139" s="42">
        <f>J139*E136</f>
        <v>19.11</v>
      </c>
      <c r="L139" s="18"/>
      <c r="M139" s="57">
        <f t="shared" si="9"/>
        <v>0</v>
      </c>
    </row>
    <row r="140" spans="1:13" s="11" customFormat="1" x14ac:dyDescent="0.25">
      <c r="A140" s="56">
        <v>49</v>
      </c>
      <c r="B140" s="143" t="s">
        <v>310</v>
      </c>
      <c r="C140" s="29" t="s">
        <v>159</v>
      </c>
      <c r="D140" s="27" t="s">
        <v>15</v>
      </c>
      <c r="E140" s="20">
        <f>2.1*2+1+2.1*4+0.8*2+3*2+2.1*4+0.9*2+2.7*4+1.8*2+2.7+1.8+0.6+2.7+0.6+1.8+3+3+1.48+2.76*2+1.3+1+1</f>
        <v>72.3</v>
      </c>
      <c r="F140" s="18"/>
      <c r="G140" s="18">
        <f>E140*F140</f>
        <v>0</v>
      </c>
      <c r="H140" s="24" t="s">
        <v>249</v>
      </c>
      <c r="I140" s="27" t="s">
        <v>13</v>
      </c>
      <c r="J140" s="32">
        <v>1.05</v>
      </c>
      <c r="K140" s="42">
        <f>J140*E140</f>
        <v>75.915000000000006</v>
      </c>
      <c r="L140" s="18"/>
      <c r="M140" s="57">
        <f t="shared" si="9"/>
        <v>0</v>
      </c>
    </row>
    <row r="141" spans="1:13" s="11" customFormat="1" x14ac:dyDescent="0.25">
      <c r="A141" s="56">
        <v>50</v>
      </c>
      <c r="B141" s="139"/>
      <c r="C141" s="176" t="s">
        <v>344</v>
      </c>
      <c r="D141" s="171" t="s">
        <v>10</v>
      </c>
      <c r="E141" s="177">
        <f>11.68+3+36.44</f>
        <v>51.12</v>
      </c>
      <c r="F141" s="177">
        <v>0</v>
      </c>
      <c r="G141" s="177">
        <f>E141*F141</f>
        <v>0</v>
      </c>
      <c r="H141" s="24" t="s">
        <v>52</v>
      </c>
      <c r="I141" s="27" t="s">
        <v>21</v>
      </c>
      <c r="J141" s="32">
        <v>0.2</v>
      </c>
      <c r="K141" s="42">
        <f>J141*E141</f>
        <v>10.224</v>
      </c>
      <c r="L141" s="28"/>
      <c r="M141" s="57">
        <f t="shared" si="9"/>
        <v>0</v>
      </c>
    </row>
    <row r="142" spans="1:13" s="11" customFormat="1" x14ac:dyDescent="0.25">
      <c r="A142" s="56"/>
      <c r="B142" s="139"/>
      <c r="C142" s="31"/>
      <c r="D142" s="27"/>
      <c r="E142" s="18"/>
      <c r="F142" s="18"/>
      <c r="G142" s="18"/>
      <c r="H142" s="24" t="s">
        <v>202</v>
      </c>
      <c r="I142" s="27" t="s">
        <v>11</v>
      </c>
      <c r="J142" s="32">
        <v>0.02</v>
      </c>
      <c r="K142" s="42">
        <f>J142*E141</f>
        <v>1.0224</v>
      </c>
      <c r="L142" s="18"/>
      <c r="M142" s="57">
        <f t="shared" ref="M142" si="12">K142*L142</f>
        <v>0</v>
      </c>
    </row>
    <row r="143" spans="1:13" s="11" customFormat="1" ht="15" customHeight="1" x14ac:dyDescent="0.25">
      <c r="A143" s="56"/>
      <c r="B143" s="139"/>
      <c r="C143" s="24"/>
      <c r="D143" s="8"/>
      <c r="E143" s="23"/>
      <c r="F143" s="18"/>
      <c r="G143" s="18"/>
      <c r="H143" s="182" t="s">
        <v>342</v>
      </c>
      <c r="I143" s="180" t="s">
        <v>10</v>
      </c>
      <c r="J143" s="181"/>
      <c r="K143" s="181"/>
      <c r="L143" s="183"/>
      <c r="M143" s="175">
        <f>K143*L143*1.1</f>
        <v>0</v>
      </c>
    </row>
    <row r="144" spans="1:13" s="11" customFormat="1" x14ac:dyDescent="0.25">
      <c r="A144" s="56">
        <v>51</v>
      </c>
      <c r="B144" s="139"/>
      <c r="C144" s="176" t="s">
        <v>343</v>
      </c>
      <c r="D144" s="171" t="s">
        <v>10</v>
      </c>
      <c r="E144" s="177">
        <v>2.1</v>
      </c>
      <c r="F144" s="177">
        <v>0</v>
      </c>
      <c r="G144" s="177">
        <f>E144*F144</f>
        <v>0</v>
      </c>
      <c r="H144" s="24" t="s">
        <v>52</v>
      </c>
      <c r="I144" s="27" t="s">
        <v>21</v>
      </c>
      <c r="J144" s="32">
        <v>0.2</v>
      </c>
      <c r="K144" s="42">
        <f>J144*E144</f>
        <v>0.42000000000000004</v>
      </c>
      <c r="L144" s="28"/>
      <c r="M144" s="57">
        <f t="shared" ref="M144:M145" si="13">K144*L144</f>
        <v>0</v>
      </c>
    </row>
    <row r="145" spans="1:13" s="11" customFormat="1" x14ac:dyDescent="0.25">
      <c r="A145" s="56"/>
      <c r="B145" s="139"/>
      <c r="C145" s="31"/>
      <c r="D145" s="27"/>
      <c r="E145" s="18"/>
      <c r="F145" s="18"/>
      <c r="G145" s="18"/>
      <c r="H145" s="24" t="s">
        <v>202</v>
      </c>
      <c r="I145" s="27" t="s">
        <v>11</v>
      </c>
      <c r="J145" s="32">
        <v>0.02</v>
      </c>
      <c r="K145" s="42">
        <f>J145*E144</f>
        <v>4.2000000000000003E-2</v>
      </c>
      <c r="L145" s="18"/>
      <c r="M145" s="57">
        <f t="shared" si="13"/>
        <v>0</v>
      </c>
    </row>
    <row r="146" spans="1:13" s="11" customFormat="1" ht="25.5" x14ac:dyDescent="0.25">
      <c r="A146" s="56"/>
      <c r="B146" s="139"/>
      <c r="C146" s="25"/>
      <c r="D146" s="12"/>
      <c r="E146" s="18"/>
      <c r="F146" s="18"/>
      <c r="G146" s="18"/>
      <c r="H146" s="170" t="s">
        <v>345</v>
      </c>
      <c r="I146" s="171" t="s">
        <v>10</v>
      </c>
      <c r="J146" s="183"/>
      <c r="K146" s="173"/>
      <c r="L146" s="177"/>
      <c r="M146" s="175">
        <f>K146*L146*1.1</f>
        <v>0</v>
      </c>
    </row>
    <row r="147" spans="1:13" s="11" customFormat="1" x14ac:dyDescent="0.25">
      <c r="A147" s="56">
        <v>52</v>
      </c>
      <c r="B147" s="143" t="s">
        <v>325</v>
      </c>
      <c r="C147" s="29" t="s">
        <v>231</v>
      </c>
      <c r="D147" s="27" t="s">
        <v>10</v>
      </c>
      <c r="E147" s="18">
        <v>30.1</v>
      </c>
      <c r="F147" s="18"/>
      <c r="G147" s="18">
        <f>E147*F147</f>
        <v>0</v>
      </c>
      <c r="H147" s="24" t="s">
        <v>90</v>
      </c>
      <c r="I147" s="27" t="s">
        <v>16</v>
      </c>
      <c r="J147" s="32">
        <v>0.01</v>
      </c>
      <c r="K147" s="42">
        <f>J147*E147</f>
        <v>0.30100000000000005</v>
      </c>
      <c r="L147" s="18"/>
      <c r="M147" s="57">
        <f t="shared" ref="M147:M168" si="14">K147*L147</f>
        <v>0</v>
      </c>
    </row>
    <row r="148" spans="1:13" s="11" customFormat="1" x14ac:dyDescent="0.25">
      <c r="A148" s="56"/>
      <c r="B148" s="139"/>
      <c r="C148" s="31"/>
      <c r="D148" s="27"/>
      <c r="E148" s="18"/>
      <c r="F148" s="18"/>
      <c r="G148" s="18"/>
      <c r="H148" s="24" t="s">
        <v>52</v>
      </c>
      <c r="I148" s="27" t="s">
        <v>21</v>
      </c>
      <c r="J148" s="32">
        <v>0.2</v>
      </c>
      <c r="K148" s="42">
        <f>J148*E147</f>
        <v>6.0200000000000005</v>
      </c>
      <c r="L148" s="28"/>
      <c r="M148" s="57">
        <f t="shared" si="14"/>
        <v>0</v>
      </c>
    </row>
    <row r="149" spans="1:13" s="11" customFormat="1" x14ac:dyDescent="0.25">
      <c r="A149" s="56"/>
      <c r="B149" s="139"/>
      <c r="C149" s="31"/>
      <c r="D149" s="27"/>
      <c r="E149" s="18"/>
      <c r="F149" s="18"/>
      <c r="G149" s="18"/>
      <c r="H149" s="24" t="s">
        <v>329</v>
      </c>
      <c r="I149" s="27" t="s">
        <v>21</v>
      </c>
      <c r="J149" s="32">
        <v>0.17</v>
      </c>
      <c r="K149" s="42">
        <f>J149*E147</f>
        <v>5.1170000000000009</v>
      </c>
      <c r="L149" s="18"/>
      <c r="M149" s="57">
        <f t="shared" si="14"/>
        <v>0</v>
      </c>
    </row>
    <row r="150" spans="1:13" s="11" customFormat="1" x14ac:dyDescent="0.25">
      <c r="A150" s="56">
        <v>53</v>
      </c>
      <c r="B150" s="143" t="s">
        <v>323</v>
      </c>
      <c r="C150" s="29" t="s">
        <v>324</v>
      </c>
      <c r="D150" s="27" t="s">
        <v>15</v>
      </c>
      <c r="E150" s="18">
        <v>4.3</v>
      </c>
      <c r="F150" s="18"/>
      <c r="G150" s="18">
        <f>E150*F150</f>
        <v>0</v>
      </c>
      <c r="H150" s="24" t="s">
        <v>52</v>
      </c>
      <c r="I150" s="27" t="s">
        <v>21</v>
      </c>
      <c r="J150" s="32">
        <v>0.08</v>
      </c>
      <c r="K150" s="42">
        <f>J150*E150</f>
        <v>0.34399999999999997</v>
      </c>
      <c r="L150" s="28"/>
      <c r="M150" s="57">
        <f t="shared" ref="M150:M151" si="15">K150*L150</f>
        <v>0</v>
      </c>
    </row>
    <row r="151" spans="1:13" s="11" customFormat="1" x14ac:dyDescent="0.25">
      <c r="A151" s="56"/>
      <c r="B151" s="139"/>
      <c r="C151" s="31"/>
      <c r="D151" s="27"/>
      <c r="E151" s="18"/>
      <c r="F151" s="18"/>
      <c r="G151" s="18"/>
      <c r="H151" s="24" t="s">
        <v>329</v>
      </c>
      <c r="I151" s="27" t="s">
        <v>21</v>
      </c>
      <c r="J151" s="32">
        <v>0.15</v>
      </c>
      <c r="K151" s="42">
        <f>J151*E150</f>
        <v>0.64499999999999991</v>
      </c>
      <c r="L151" s="18"/>
      <c r="M151" s="57">
        <f t="shared" si="15"/>
        <v>0</v>
      </c>
    </row>
    <row r="152" spans="1:13" s="11" customFormat="1" x14ac:dyDescent="0.25">
      <c r="A152" s="56">
        <v>54</v>
      </c>
      <c r="B152" s="143" t="s">
        <v>325</v>
      </c>
      <c r="C152" s="29" t="s">
        <v>89</v>
      </c>
      <c r="D152" s="27" t="s">
        <v>10</v>
      </c>
      <c r="E152" s="18">
        <f>45.7</f>
        <v>45.7</v>
      </c>
      <c r="F152" s="18"/>
      <c r="G152" s="18">
        <f>E152*F152</f>
        <v>0</v>
      </c>
      <c r="H152" s="24" t="s">
        <v>90</v>
      </c>
      <c r="I152" s="27" t="s">
        <v>16</v>
      </c>
      <c r="J152" s="32">
        <v>0.01</v>
      </c>
      <c r="K152" s="42">
        <f>J152*E152</f>
        <v>0.45700000000000002</v>
      </c>
      <c r="L152" s="18"/>
      <c r="M152" s="57">
        <f t="shared" si="14"/>
        <v>0</v>
      </c>
    </row>
    <row r="153" spans="1:13" s="11" customFormat="1" x14ac:dyDescent="0.25">
      <c r="A153" s="56"/>
      <c r="B153" s="139"/>
      <c r="C153" s="31"/>
      <c r="D153" s="27"/>
      <c r="E153" s="18"/>
      <c r="F153" s="18"/>
      <c r="G153" s="18"/>
      <c r="H153" s="24" t="s">
        <v>52</v>
      </c>
      <c r="I153" s="27" t="s">
        <v>21</v>
      </c>
      <c r="J153" s="32">
        <v>0.2</v>
      </c>
      <c r="K153" s="42">
        <f>J153*E152</f>
        <v>9.14</v>
      </c>
      <c r="L153" s="28"/>
      <c r="M153" s="57">
        <f t="shared" si="14"/>
        <v>0</v>
      </c>
    </row>
    <row r="154" spans="1:13" s="11" customFormat="1" x14ac:dyDescent="0.25">
      <c r="A154" s="56"/>
      <c r="B154" s="139"/>
      <c r="C154" s="31"/>
      <c r="D154" s="27"/>
      <c r="E154" s="18"/>
      <c r="F154" s="18"/>
      <c r="G154" s="18"/>
      <c r="H154" s="24" t="s">
        <v>329</v>
      </c>
      <c r="I154" s="27" t="s">
        <v>21</v>
      </c>
      <c r="J154" s="32">
        <v>0.17</v>
      </c>
      <c r="K154" s="42">
        <f>J154*E152</f>
        <v>7.769000000000001</v>
      </c>
      <c r="L154" s="18"/>
      <c r="M154" s="57">
        <f t="shared" si="14"/>
        <v>0</v>
      </c>
    </row>
    <row r="155" spans="1:13" s="11" customFormat="1" x14ac:dyDescent="0.25">
      <c r="A155" s="56">
        <v>55</v>
      </c>
      <c r="B155" s="143" t="s">
        <v>323</v>
      </c>
      <c r="C155" s="29" t="s">
        <v>91</v>
      </c>
      <c r="D155" s="27" t="s">
        <v>15</v>
      </c>
      <c r="E155" s="18">
        <f>33.92</f>
        <v>33.92</v>
      </c>
      <c r="F155" s="18"/>
      <c r="G155" s="18">
        <f>E155*F155</f>
        <v>0</v>
      </c>
      <c r="H155" s="24" t="s">
        <v>52</v>
      </c>
      <c r="I155" s="27" t="s">
        <v>21</v>
      </c>
      <c r="J155" s="32">
        <v>0.08</v>
      </c>
      <c r="K155" s="42">
        <f>J155*E155</f>
        <v>2.7136</v>
      </c>
      <c r="L155" s="28"/>
      <c r="M155" s="57">
        <f t="shared" si="14"/>
        <v>0</v>
      </c>
    </row>
    <row r="156" spans="1:13" s="11" customFormat="1" x14ac:dyDescent="0.25">
      <c r="A156" s="56"/>
      <c r="B156" s="139"/>
      <c r="C156" s="31"/>
      <c r="D156" s="27"/>
      <c r="E156" s="18"/>
      <c r="F156" s="18"/>
      <c r="G156" s="18"/>
      <c r="H156" s="24" t="s">
        <v>329</v>
      </c>
      <c r="I156" s="27" t="s">
        <v>21</v>
      </c>
      <c r="J156" s="32">
        <v>0.15</v>
      </c>
      <c r="K156" s="42">
        <f>J156*E155</f>
        <v>5.0880000000000001</v>
      </c>
      <c r="L156" s="18"/>
      <c r="M156" s="57">
        <f t="shared" si="14"/>
        <v>0</v>
      </c>
    </row>
    <row r="157" spans="1:13" s="11" customFormat="1" x14ac:dyDescent="0.25">
      <c r="A157" s="56">
        <v>56</v>
      </c>
      <c r="B157" s="166" t="s">
        <v>326</v>
      </c>
      <c r="C157" s="29" t="s">
        <v>228</v>
      </c>
      <c r="D157" s="27" t="s">
        <v>10</v>
      </c>
      <c r="E157" s="18">
        <v>27.9</v>
      </c>
      <c r="F157" s="18"/>
      <c r="G157" s="18">
        <f>E157*F157</f>
        <v>0</v>
      </c>
      <c r="H157" s="24" t="s">
        <v>52</v>
      </c>
      <c r="I157" s="27" t="s">
        <v>21</v>
      </c>
      <c r="J157" s="32">
        <v>0.2</v>
      </c>
      <c r="K157" s="42">
        <f>J157*E157</f>
        <v>5.58</v>
      </c>
      <c r="L157" s="28"/>
      <c r="M157" s="57">
        <f t="shared" si="14"/>
        <v>0</v>
      </c>
    </row>
    <row r="158" spans="1:13" s="11" customFormat="1" x14ac:dyDescent="0.25">
      <c r="A158" s="56"/>
      <c r="B158" s="139"/>
      <c r="C158" s="31"/>
      <c r="D158" s="27"/>
      <c r="E158" s="18"/>
      <c r="F158" s="18"/>
      <c r="G158" s="18"/>
      <c r="H158" s="167" t="s">
        <v>92</v>
      </c>
      <c r="I158" s="168" t="s">
        <v>11</v>
      </c>
      <c r="J158" s="169">
        <v>0.5</v>
      </c>
      <c r="K158" s="42">
        <f>J158*E157</f>
        <v>13.95</v>
      </c>
      <c r="L158" s="18"/>
      <c r="M158" s="57">
        <f t="shared" si="14"/>
        <v>0</v>
      </c>
    </row>
    <row r="159" spans="1:13" s="11" customFormat="1" x14ac:dyDescent="0.25">
      <c r="A159" s="56"/>
      <c r="B159" s="139"/>
      <c r="C159" s="31"/>
      <c r="D159" s="27"/>
      <c r="E159" s="18"/>
      <c r="F159" s="18"/>
      <c r="G159" s="18"/>
      <c r="H159" s="24" t="s">
        <v>330</v>
      </c>
      <c r="I159" s="27" t="s">
        <v>11</v>
      </c>
      <c r="J159" s="32">
        <v>8</v>
      </c>
      <c r="K159" s="42">
        <f>J159*E157</f>
        <v>223.2</v>
      </c>
      <c r="L159" s="18"/>
      <c r="M159" s="57">
        <f t="shared" si="14"/>
        <v>0</v>
      </c>
    </row>
    <row r="160" spans="1:13" s="11" customFormat="1" x14ac:dyDescent="0.25">
      <c r="A160" s="56"/>
      <c r="B160" s="139"/>
      <c r="C160" s="31"/>
      <c r="D160" s="27"/>
      <c r="E160" s="18"/>
      <c r="F160" s="18"/>
      <c r="G160" s="18"/>
      <c r="H160" s="24" t="s">
        <v>53</v>
      </c>
      <c r="I160" s="27" t="s">
        <v>16</v>
      </c>
      <c r="J160" s="32">
        <v>0.01</v>
      </c>
      <c r="K160" s="42">
        <f>J160*E157</f>
        <v>0.27899999999999997</v>
      </c>
      <c r="L160" s="18"/>
      <c r="M160" s="57">
        <f t="shared" si="14"/>
        <v>0</v>
      </c>
    </row>
    <row r="161" spans="1:13" s="11" customFormat="1" ht="25.5" x14ac:dyDescent="0.25">
      <c r="A161" s="56"/>
      <c r="B161" s="139"/>
      <c r="C161" s="31"/>
      <c r="D161" s="27"/>
      <c r="E161" s="18"/>
      <c r="F161" s="18"/>
      <c r="G161" s="18"/>
      <c r="H161" s="170" t="s">
        <v>331</v>
      </c>
      <c r="I161" s="171" t="s">
        <v>10</v>
      </c>
      <c r="J161" s="172"/>
      <c r="K161" s="173">
        <v>8.4</v>
      </c>
      <c r="L161" s="174"/>
      <c r="M161" s="175">
        <f>K161*L161*1.1</f>
        <v>0</v>
      </c>
    </row>
    <row r="162" spans="1:13" s="11" customFormat="1" ht="25.5" x14ac:dyDescent="0.25">
      <c r="A162" s="56"/>
      <c r="B162" s="139"/>
      <c r="C162" s="31"/>
      <c r="D162" s="27"/>
      <c r="E162" s="18"/>
      <c r="F162" s="18"/>
      <c r="G162" s="18"/>
      <c r="H162" s="170" t="s">
        <v>332</v>
      </c>
      <c r="I162" s="171" t="s">
        <v>10</v>
      </c>
      <c r="J162" s="172"/>
      <c r="K162" s="173">
        <v>17.920000000000002</v>
      </c>
      <c r="L162" s="174"/>
      <c r="M162" s="175">
        <f t="shared" ref="M162:M164" si="16">K162*L162*1.1</f>
        <v>0</v>
      </c>
    </row>
    <row r="163" spans="1:13" s="11" customFormat="1" ht="25.5" x14ac:dyDescent="0.25">
      <c r="A163" s="56"/>
      <c r="B163" s="139"/>
      <c r="C163" s="31"/>
      <c r="D163" s="27"/>
      <c r="E163" s="18"/>
      <c r="F163" s="18"/>
      <c r="G163" s="18"/>
      <c r="H163" s="170" t="s">
        <v>333</v>
      </c>
      <c r="I163" s="171" t="s">
        <v>10</v>
      </c>
      <c r="J163" s="172"/>
      <c r="K163" s="173">
        <v>6.72</v>
      </c>
      <c r="L163" s="174"/>
      <c r="M163" s="175">
        <f t="shared" si="16"/>
        <v>0</v>
      </c>
    </row>
    <row r="164" spans="1:13" s="11" customFormat="1" ht="25.5" x14ac:dyDescent="0.25">
      <c r="A164" s="56"/>
      <c r="B164" s="139"/>
      <c r="C164" s="31"/>
      <c r="D164" s="27"/>
      <c r="E164" s="18"/>
      <c r="F164" s="18"/>
      <c r="G164" s="18"/>
      <c r="H164" s="170" t="s">
        <v>334</v>
      </c>
      <c r="I164" s="171" t="s">
        <v>10</v>
      </c>
      <c r="J164" s="172"/>
      <c r="K164" s="173">
        <v>7.92</v>
      </c>
      <c r="L164" s="174"/>
      <c r="M164" s="175">
        <f t="shared" si="16"/>
        <v>0</v>
      </c>
    </row>
    <row r="165" spans="1:13" s="11" customFormat="1" x14ac:dyDescent="0.25">
      <c r="A165" s="56"/>
      <c r="B165" s="139"/>
      <c r="C165" s="31"/>
      <c r="D165" s="27"/>
      <c r="E165" s="18"/>
      <c r="F165" s="18"/>
      <c r="G165" s="18"/>
      <c r="H165" s="210" t="s">
        <v>537</v>
      </c>
      <c r="I165" s="189" t="s">
        <v>15</v>
      </c>
      <c r="J165" s="99">
        <v>1.3</v>
      </c>
      <c r="K165" s="42">
        <f>ROUND(J165*E157,0)</f>
        <v>36</v>
      </c>
      <c r="L165" s="70"/>
      <c r="M165" s="57">
        <f t="shared" ref="M165" si="17">K165*L165</f>
        <v>0</v>
      </c>
    </row>
    <row r="166" spans="1:13" s="11" customFormat="1" x14ac:dyDescent="0.25">
      <c r="A166" s="56"/>
      <c r="B166" s="139"/>
      <c r="C166" s="31"/>
      <c r="D166" s="27"/>
      <c r="E166" s="18"/>
      <c r="F166" s="18"/>
      <c r="G166" s="18"/>
      <c r="H166" s="170"/>
      <c r="I166" s="171"/>
      <c r="J166" s="172"/>
      <c r="K166" s="173"/>
      <c r="L166" s="174"/>
      <c r="M166" s="175"/>
    </row>
    <row r="167" spans="1:13" s="11" customFormat="1" x14ac:dyDescent="0.25">
      <c r="A167" s="56">
        <v>57</v>
      </c>
      <c r="B167" s="166" t="s">
        <v>327</v>
      </c>
      <c r="C167" s="29" t="s">
        <v>198</v>
      </c>
      <c r="D167" s="27" t="s">
        <v>39</v>
      </c>
      <c r="E167" s="18">
        <f>32+5</f>
        <v>37</v>
      </c>
      <c r="F167" s="18"/>
      <c r="G167" s="18">
        <f>E167*F167</f>
        <v>0</v>
      </c>
      <c r="H167" s="24" t="s">
        <v>199</v>
      </c>
      <c r="I167" s="27" t="s">
        <v>16</v>
      </c>
      <c r="J167" s="32">
        <v>0.03</v>
      </c>
      <c r="K167" s="18">
        <f>J167*E167</f>
        <v>1.1099999999999999</v>
      </c>
      <c r="L167" s="18"/>
      <c r="M167" s="57">
        <f t="shared" si="14"/>
        <v>0</v>
      </c>
    </row>
    <row r="168" spans="1:13" s="11" customFormat="1" x14ac:dyDescent="0.25">
      <c r="A168" s="56">
        <v>58</v>
      </c>
      <c r="B168" s="166" t="s">
        <v>328</v>
      </c>
      <c r="C168" s="29" t="s">
        <v>93</v>
      </c>
      <c r="D168" s="27" t="s">
        <v>15</v>
      </c>
      <c r="E168" s="18">
        <f>(2.1*2+0.8+2.85*2+1.8+(0.88+0.25)*2+(0.5+1.59)*2)*2</f>
        <v>37.879999999999995</v>
      </c>
      <c r="F168" s="18"/>
      <c r="G168" s="18">
        <f>E168*F168</f>
        <v>0</v>
      </c>
      <c r="H168" s="24" t="s">
        <v>94</v>
      </c>
      <c r="I168" s="27" t="s">
        <v>16</v>
      </c>
      <c r="J168" s="32">
        <v>0.02</v>
      </c>
      <c r="K168" s="18">
        <f>J168*E168</f>
        <v>0.75759999999999994</v>
      </c>
      <c r="L168" s="18"/>
      <c r="M168" s="57">
        <f t="shared" si="14"/>
        <v>0</v>
      </c>
    </row>
    <row r="169" spans="1:13" s="11" customFormat="1" ht="25.5" x14ac:dyDescent="0.25">
      <c r="A169" s="56">
        <v>59</v>
      </c>
      <c r="B169" s="166" t="s">
        <v>528</v>
      </c>
      <c r="C169" s="176" t="s">
        <v>234</v>
      </c>
      <c r="D169" s="171" t="s">
        <v>12</v>
      </c>
      <c r="E169" s="177">
        <v>1</v>
      </c>
      <c r="F169" s="177">
        <v>0</v>
      </c>
      <c r="G169" s="177">
        <f>E169*F169</f>
        <v>0</v>
      </c>
      <c r="H169" s="179" t="s">
        <v>335</v>
      </c>
      <c r="I169" s="180" t="s">
        <v>12</v>
      </c>
      <c r="J169" s="181"/>
      <c r="K169" s="177">
        <v>1</v>
      </c>
      <c r="L169" s="177"/>
      <c r="M169" s="175">
        <f t="shared" ref="M169" si="18">K169*L169*1.1</f>
        <v>0</v>
      </c>
    </row>
    <row r="170" spans="1:13" s="11" customFormat="1" x14ac:dyDescent="0.25">
      <c r="A170" s="56">
        <v>60</v>
      </c>
      <c r="B170" s="166" t="s">
        <v>561</v>
      </c>
      <c r="C170" s="29" t="s">
        <v>534</v>
      </c>
      <c r="D170" s="27" t="s">
        <v>12</v>
      </c>
      <c r="E170" s="18">
        <v>8</v>
      </c>
      <c r="F170" s="18"/>
      <c r="G170" s="18">
        <f>E170*F170</f>
        <v>0</v>
      </c>
      <c r="H170" s="209" t="s">
        <v>73</v>
      </c>
      <c r="I170" s="35" t="s">
        <v>12</v>
      </c>
      <c r="J170" s="36">
        <v>2</v>
      </c>
      <c r="K170" s="18">
        <f>J170*E170</f>
        <v>16</v>
      </c>
      <c r="L170" s="18"/>
      <c r="M170" s="57">
        <f t="shared" ref="M170:M177" si="19">K170*L170*1.1</f>
        <v>0</v>
      </c>
    </row>
    <row r="171" spans="1:13" s="11" customFormat="1" x14ac:dyDescent="0.25">
      <c r="A171" s="56"/>
      <c r="B171" s="207"/>
      <c r="C171" s="29"/>
      <c r="D171" s="27"/>
      <c r="E171" s="18"/>
      <c r="F171" s="18"/>
      <c r="G171" s="18"/>
      <c r="H171" s="179" t="s">
        <v>336</v>
      </c>
      <c r="I171" s="180" t="s">
        <v>12</v>
      </c>
      <c r="J171" s="181"/>
      <c r="K171" s="177">
        <v>3</v>
      </c>
      <c r="L171" s="177"/>
      <c r="M171" s="175">
        <f t="shared" ref="M171" si="20">K171*L171*1.1</f>
        <v>0</v>
      </c>
    </row>
    <row r="172" spans="1:13" s="11" customFormat="1" x14ac:dyDescent="0.25">
      <c r="A172" s="56"/>
      <c r="B172" s="139"/>
      <c r="C172" s="29"/>
      <c r="D172" s="27"/>
      <c r="E172" s="18"/>
      <c r="F172" s="18"/>
      <c r="G172" s="18"/>
      <c r="H172" s="182" t="s">
        <v>337</v>
      </c>
      <c r="I172" s="180" t="s">
        <v>12</v>
      </c>
      <c r="J172" s="181"/>
      <c r="K172" s="177">
        <v>1</v>
      </c>
      <c r="L172" s="177"/>
      <c r="M172" s="175">
        <f t="shared" si="19"/>
        <v>0</v>
      </c>
    </row>
    <row r="173" spans="1:13" s="11" customFormat="1" x14ac:dyDescent="0.25">
      <c r="A173" s="56"/>
      <c r="B173" s="139"/>
      <c r="C173" s="29"/>
      <c r="D173" s="27"/>
      <c r="E173" s="18"/>
      <c r="F173" s="18"/>
      <c r="G173" s="18"/>
      <c r="H173" s="182" t="s">
        <v>338</v>
      </c>
      <c r="I173" s="180" t="s">
        <v>12</v>
      </c>
      <c r="J173" s="181"/>
      <c r="K173" s="177">
        <v>1</v>
      </c>
      <c r="L173" s="177"/>
      <c r="M173" s="175">
        <f t="shared" si="19"/>
        <v>0</v>
      </c>
    </row>
    <row r="174" spans="1:13" s="11" customFormat="1" x14ac:dyDescent="0.25">
      <c r="A174" s="56"/>
      <c r="B174" s="139"/>
      <c r="C174" s="29"/>
      <c r="D174" s="27"/>
      <c r="E174" s="18"/>
      <c r="F174" s="18"/>
      <c r="G174" s="18"/>
      <c r="H174" s="182" t="s">
        <v>339</v>
      </c>
      <c r="I174" s="180" t="s">
        <v>12</v>
      </c>
      <c r="J174" s="181"/>
      <c r="K174" s="177">
        <v>1</v>
      </c>
      <c r="L174" s="177"/>
      <c r="M174" s="175">
        <f t="shared" si="19"/>
        <v>0</v>
      </c>
    </row>
    <row r="175" spans="1:13" s="11" customFormat="1" x14ac:dyDescent="0.25">
      <c r="A175" s="56"/>
      <c r="B175" s="139"/>
      <c r="C175" s="29"/>
      <c r="D175" s="27"/>
      <c r="E175" s="18"/>
      <c r="F175" s="18"/>
      <c r="G175" s="18"/>
      <c r="H175" s="182" t="s">
        <v>340</v>
      </c>
      <c r="I175" s="180" t="s">
        <v>12</v>
      </c>
      <c r="J175" s="181"/>
      <c r="K175" s="177">
        <v>1</v>
      </c>
      <c r="L175" s="177"/>
      <c r="M175" s="175">
        <f t="shared" si="19"/>
        <v>0</v>
      </c>
    </row>
    <row r="176" spans="1:13" s="11" customFormat="1" x14ac:dyDescent="0.25">
      <c r="A176" s="56"/>
      <c r="B176" s="139"/>
      <c r="C176" s="29"/>
      <c r="D176" s="27"/>
      <c r="E176" s="18"/>
      <c r="F176" s="18"/>
      <c r="G176" s="18"/>
      <c r="H176" s="182" t="s">
        <v>341</v>
      </c>
      <c r="I176" s="180" t="s">
        <v>12</v>
      </c>
      <c r="J176" s="181"/>
      <c r="K176" s="177">
        <v>1</v>
      </c>
      <c r="L176" s="177"/>
      <c r="M176" s="175">
        <f t="shared" si="19"/>
        <v>0</v>
      </c>
    </row>
    <row r="177" spans="1:13" s="11" customFormat="1" x14ac:dyDescent="0.25">
      <c r="A177" s="56">
        <v>61</v>
      </c>
      <c r="B177" s="166" t="s">
        <v>529</v>
      </c>
      <c r="C177" s="205" t="s">
        <v>530</v>
      </c>
      <c r="D177" s="100" t="s">
        <v>12</v>
      </c>
      <c r="E177" s="39">
        <v>1</v>
      </c>
      <c r="F177" s="18"/>
      <c r="G177" s="18">
        <f>E177*F177</f>
        <v>0</v>
      </c>
      <c r="H177" s="34" t="s">
        <v>532</v>
      </c>
      <c r="I177" s="35" t="s">
        <v>12</v>
      </c>
      <c r="J177" s="36"/>
      <c r="K177" s="18">
        <v>1</v>
      </c>
      <c r="L177" s="18"/>
      <c r="M177" s="57">
        <f t="shared" si="19"/>
        <v>0</v>
      </c>
    </row>
    <row r="178" spans="1:13" s="11" customFormat="1" x14ac:dyDescent="0.25">
      <c r="A178" s="56"/>
      <c r="B178" s="207"/>
      <c r="C178" s="205"/>
      <c r="D178" s="100"/>
      <c r="E178" s="39"/>
      <c r="F178" s="18"/>
      <c r="G178" s="18"/>
      <c r="H178" s="205" t="s">
        <v>531</v>
      </c>
      <c r="I178" s="208" t="s">
        <v>74</v>
      </c>
      <c r="J178" s="206">
        <v>1</v>
      </c>
      <c r="K178" s="18">
        <v>1</v>
      </c>
      <c r="L178" s="18"/>
      <c r="M178" s="57">
        <f>K178*L178*1.1</f>
        <v>0</v>
      </c>
    </row>
    <row r="179" spans="1:13" s="11" customFormat="1" ht="13.5" customHeight="1" x14ac:dyDescent="0.25">
      <c r="A179" s="56">
        <v>62</v>
      </c>
      <c r="B179" s="143" t="s">
        <v>322</v>
      </c>
      <c r="C179" s="29" t="s">
        <v>95</v>
      </c>
      <c r="D179" s="27" t="s">
        <v>10</v>
      </c>
      <c r="E179" s="20">
        <f>E57*2+E67+E69+E78+E89+E101</f>
        <v>75.899999999999991</v>
      </c>
      <c r="F179" s="18"/>
      <c r="G179" s="18">
        <f>E179*F179</f>
        <v>0</v>
      </c>
      <c r="H179" s="24" t="s">
        <v>96</v>
      </c>
      <c r="I179" s="27" t="s">
        <v>15</v>
      </c>
      <c r="J179" s="32">
        <v>2</v>
      </c>
      <c r="K179" s="42">
        <f>J179*E179</f>
        <v>151.79999999999998</v>
      </c>
      <c r="L179" s="18"/>
      <c r="M179" s="57">
        <f t="shared" ref="M179:M227" si="21">K179*L179</f>
        <v>0</v>
      </c>
    </row>
    <row r="180" spans="1:13" s="11" customFormat="1" ht="24.75" customHeight="1" x14ac:dyDescent="0.25">
      <c r="A180" s="56"/>
      <c r="B180" s="139"/>
      <c r="C180" s="31"/>
      <c r="D180" s="27"/>
      <c r="E180" s="20"/>
      <c r="F180" s="18"/>
      <c r="G180" s="18"/>
      <c r="H180" s="24" t="s">
        <v>97</v>
      </c>
      <c r="I180" s="27" t="s">
        <v>11</v>
      </c>
      <c r="J180" s="32">
        <v>0.15</v>
      </c>
      <c r="K180" s="42">
        <f>J180*E179</f>
        <v>11.384999999999998</v>
      </c>
      <c r="L180" s="18"/>
      <c r="M180" s="57">
        <f t="shared" si="21"/>
        <v>0</v>
      </c>
    </row>
    <row r="181" spans="1:13" s="11" customFormat="1" x14ac:dyDescent="0.25">
      <c r="A181" s="86"/>
      <c r="B181" s="138"/>
      <c r="C181" s="87" t="s">
        <v>17</v>
      </c>
      <c r="D181" s="88"/>
      <c r="E181" s="89"/>
      <c r="F181" s="89"/>
      <c r="G181" s="89"/>
      <c r="H181" s="87"/>
      <c r="I181" s="88"/>
      <c r="J181" s="89"/>
      <c r="K181" s="89"/>
      <c r="L181" s="89"/>
      <c r="M181" s="90"/>
    </row>
    <row r="182" spans="1:13" s="11" customFormat="1" x14ac:dyDescent="0.25">
      <c r="A182" s="56">
        <v>63</v>
      </c>
      <c r="B182" s="143" t="s">
        <v>536</v>
      </c>
      <c r="C182" s="29" t="s">
        <v>535</v>
      </c>
      <c r="D182" s="27" t="s">
        <v>10</v>
      </c>
      <c r="E182" s="20">
        <f>12.12</f>
        <v>12.12</v>
      </c>
      <c r="F182" s="18"/>
      <c r="G182" s="18">
        <f>E182*F182</f>
        <v>0</v>
      </c>
      <c r="H182" s="98" t="s">
        <v>236</v>
      </c>
      <c r="I182" s="208" t="s">
        <v>21</v>
      </c>
      <c r="J182" s="206">
        <v>0.2</v>
      </c>
      <c r="K182" s="20">
        <f>$E$182*J182</f>
        <v>2.4239999999999999</v>
      </c>
      <c r="L182" s="28"/>
      <c r="M182" s="57">
        <f t="shared" si="21"/>
        <v>0</v>
      </c>
    </row>
    <row r="183" spans="1:13" s="11" customFormat="1" x14ac:dyDescent="0.25">
      <c r="A183" s="56"/>
      <c r="B183" s="139"/>
      <c r="C183" s="29"/>
      <c r="D183" s="27"/>
      <c r="E183" s="20"/>
      <c r="F183" s="18"/>
      <c r="G183" s="18"/>
      <c r="H183" s="98" t="s">
        <v>47</v>
      </c>
      <c r="I183" s="189" t="s">
        <v>15</v>
      </c>
      <c r="J183" s="206">
        <v>0.5</v>
      </c>
      <c r="K183" s="20">
        <f>$E$182*J183</f>
        <v>6.06</v>
      </c>
      <c r="L183" s="28"/>
      <c r="M183" s="57">
        <f t="shared" si="21"/>
        <v>0</v>
      </c>
    </row>
    <row r="184" spans="1:13" s="11" customFormat="1" ht="25.5" x14ac:dyDescent="0.25">
      <c r="A184" s="56"/>
      <c r="B184" s="139"/>
      <c r="C184" s="29"/>
      <c r="D184" s="27"/>
      <c r="E184" s="20"/>
      <c r="F184" s="18"/>
      <c r="G184" s="18"/>
      <c r="H184" s="24" t="s">
        <v>77</v>
      </c>
      <c r="I184" s="27" t="s">
        <v>11</v>
      </c>
      <c r="J184" s="32">
        <v>25</v>
      </c>
      <c r="K184" s="42">
        <f>J184*E182</f>
        <v>303</v>
      </c>
      <c r="L184" s="113"/>
      <c r="M184" s="57">
        <f t="shared" ref="M184" si="22">K184*L184</f>
        <v>0</v>
      </c>
    </row>
    <row r="185" spans="1:13" s="11" customFormat="1" x14ac:dyDescent="0.25">
      <c r="A185" s="56">
        <v>64</v>
      </c>
      <c r="B185" s="143" t="s">
        <v>539</v>
      </c>
      <c r="C185" s="66" t="s">
        <v>196</v>
      </c>
      <c r="D185" s="67" t="s">
        <v>10</v>
      </c>
      <c r="E185" s="20">
        <f>1.645*2.925+1.465*2.925</f>
        <v>9.0967500000000001</v>
      </c>
      <c r="F185" s="18"/>
      <c r="G185" s="18">
        <f>E185*F185</f>
        <v>0</v>
      </c>
      <c r="H185" s="66" t="s">
        <v>237</v>
      </c>
      <c r="I185" s="67" t="s">
        <v>10</v>
      </c>
      <c r="J185" s="20">
        <v>1.1000000000000001</v>
      </c>
      <c r="K185" s="20">
        <f>$E$185*J185</f>
        <v>10.006425</v>
      </c>
      <c r="L185" s="18"/>
      <c r="M185" s="57">
        <f t="shared" si="21"/>
        <v>0</v>
      </c>
    </row>
    <row r="186" spans="1:13" s="11" customFormat="1" x14ac:dyDescent="0.25">
      <c r="A186" s="56"/>
      <c r="B186" s="139"/>
      <c r="C186" s="25"/>
      <c r="D186" s="12"/>
      <c r="E186" s="18"/>
      <c r="F186" s="18"/>
      <c r="G186" s="18"/>
      <c r="H186" s="129" t="s">
        <v>181</v>
      </c>
      <c r="I186" s="67" t="s">
        <v>12</v>
      </c>
      <c r="J186" s="20">
        <v>2</v>
      </c>
      <c r="K186" s="20">
        <f>ROUND($E$185*J186,0)</f>
        <v>18</v>
      </c>
      <c r="L186" s="18"/>
      <c r="M186" s="57">
        <f t="shared" si="21"/>
        <v>0</v>
      </c>
    </row>
    <row r="187" spans="1:13" s="11" customFormat="1" x14ac:dyDescent="0.25">
      <c r="A187" s="56"/>
      <c r="B187" s="139"/>
      <c r="C187" s="25"/>
      <c r="D187" s="12"/>
      <c r="E187" s="18"/>
      <c r="F187" s="18"/>
      <c r="G187" s="18"/>
      <c r="H187" s="66" t="s">
        <v>193</v>
      </c>
      <c r="I187" s="67" t="s">
        <v>10</v>
      </c>
      <c r="J187" s="20">
        <v>1.1000000000000001</v>
      </c>
      <c r="K187" s="20">
        <f t="shared" ref="K187:K188" si="23">$E$185*J187</f>
        <v>10.006425</v>
      </c>
      <c r="L187" s="18"/>
      <c r="M187" s="57">
        <f t="shared" si="21"/>
        <v>0</v>
      </c>
    </row>
    <row r="188" spans="1:13" s="11" customFormat="1" x14ac:dyDescent="0.25">
      <c r="A188" s="56"/>
      <c r="B188" s="139"/>
      <c r="C188" s="25"/>
      <c r="D188" s="12"/>
      <c r="E188" s="18"/>
      <c r="F188" s="18"/>
      <c r="G188" s="18"/>
      <c r="H188" s="24" t="s">
        <v>179</v>
      </c>
      <c r="I188" s="67" t="s">
        <v>12</v>
      </c>
      <c r="J188" s="20">
        <v>0.5</v>
      </c>
      <c r="K188" s="20">
        <f t="shared" si="23"/>
        <v>4.5483750000000001</v>
      </c>
      <c r="L188" s="18"/>
      <c r="M188" s="57">
        <f t="shared" si="21"/>
        <v>0</v>
      </c>
    </row>
    <row r="189" spans="1:13" s="11" customFormat="1" ht="27" customHeight="1" x14ac:dyDescent="0.25">
      <c r="A189" s="56">
        <v>65</v>
      </c>
      <c r="B189" s="143" t="s">
        <v>540</v>
      </c>
      <c r="C189" s="25" t="s">
        <v>240</v>
      </c>
      <c r="D189" s="12" t="s">
        <v>10</v>
      </c>
      <c r="E189" s="18">
        <f>39.82</f>
        <v>39.82</v>
      </c>
      <c r="F189" s="18"/>
      <c r="G189" s="18">
        <f>E189*F189</f>
        <v>0</v>
      </c>
      <c r="H189" s="24" t="s">
        <v>223</v>
      </c>
      <c r="I189" s="27" t="s">
        <v>10</v>
      </c>
      <c r="J189" s="18">
        <v>1.05</v>
      </c>
      <c r="K189" s="18">
        <f>J189*$E$189</f>
        <v>41.811</v>
      </c>
      <c r="L189" s="28"/>
      <c r="M189" s="57">
        <f t="shared" si="21"/>
        <v>0</v>
      </c>
    </row>
    <row r="190" spans="1:13" s="11" customFormat="1" x14ac:dyDescent="0.25">
      <c r="A190" s="56"/>
      <c r="B190" s="139"/>
      <c r="C190" s="25"/>
      <c r="D190" s="12"/>
      <c r="E190" s="18"/>
      <c r="F190" s="18"/>
      <c r="G190" s="18"/>
      <c r="H190" s="130" t="s">
        <v>66</v>
      </c>
      <c r="I190" s="12" t="s">
        <v>16</v>
      </c>
      <c r="J190" s="18">
        <v>2</v>
      </c>
      <c r="K190" s="18">
        <f>ROUND(J190*$E$189,0)</f>
        <v>80</v>
      </c>
      <c r="L190" s="18"/>
      <c r="M190" s="57">
        <f t="shared" si="21"/>
        <v>0</v>
      </c>
    </row>
    <row r="191" spans="1:13" s="11" customFormat="1" x14ac:dyDescent="0.25">
      <c r="A191" s="56"/>
      <c r="B191" s="139"/>
      <c r="C191" s="25"/>
      <c r="D191" s="12"/>
      <c r="E191" s="18"/>
      <c r="F191" s="18"/>
      <c r="G191" s="18"/>
      <c r="H191" s="128" t="s">
        <v>57</v>
      </c>
      <c r="I191" s="12" t="s">
        <v>16</v>
      </c>
      <c r="J191" s="18">
        <v>3</v>
      </c>
      <c r="K191" s="18">
        <f>ROUND(J191*$E$189,0)</f>
        <v>119</v>
      </c>
      <c r="L191" s="104"/>
      <c r="M191" s="57">
        <f t="shared" si="21"/>
        <v>0</v>
      </c>
    </row>
    <row r="192" spans="1:13" s="11" customFormat="1" x14ac:dyDescent="0.25">
      <c r="A192" s="56"/>
      <c r="B192" s="139"/>
      <c r="C192" s="25"/>
      <c r="D192" s="12"/>
      <c r="E192" s="18"/>
      <c r="F192" s="18"/>
      <c r="G192" s="18"/>
      <c r="H192" s="30" t="s">
        <v>59</v>
      </c>
      <c r="I192" s="12" t="s">
        <v>16</v>
      </c>
      <c r="J192" s="18">
        <v>0.03</v>
      </c>
      <c r="K192" s="18">
        <f t="shared" ref="K192:K194" si="24">J192*$E$189</f>
        <v>1.1945999999999999</v>
      </c>
      <c r="L192" s="104"/>
      <c r="M192" s="57">
        <f t="shared" si="21"/>
        <v>0</v>
      </c>
    </row>
    <row r="193" spans="1:13" s="11" customFormat="1" x14ac:dyDescent="0.25">
      <c r="A193" s="56"/>
      <c r="B193" s="139"/>
      <c r="C193" s="25"/>
      <c r="D193" s="12"/>
      <c r="E193" s="18"/>
      <c r="F193" s="18"/>
      <c r="G193" s="18"/>
      <c r="H193" s="30" t="s">
        <v>67</v>
      </c>
      <c r="I193" s="12" t="s">
        <v>13</v>
      </c>
      <c r="J193" s="18">
        <v>2.5</v>
      </c>
      <c r="K193" s="18">
        <f t="shared" si="24"/>
        <v>99.55</v>
      </c>
      <c r="L193" s="104"/>
      <c r="M193" s="57">
        <f t="shared" si="21"/>
        <v>0</v>
      </c>
    </row>
    <row r="194" spans="1:13" s="11" customFormat="1" x14ac:dyDescent="0.25">
      <c r="A194" s="56"/>
      <c r="B194" s="139"/>
      <c r="C194" s="25"/>
      <c r="D194" s="12"/>
      <c r="E194" s="18"/>
      <c r="F194" s="18"/>
      <c r="G194" s="18"/>
      <c r="H194" s="30" t="s">
        <v>68</v>
      </c>
      <c r="I194" s="12" t="s">
        <v>13</v>
      </c>
      <c r="J194" s="18">
        <v>0.5</v>
      </c>
      <c r="K194" s="18">
        <f t="shared" si="24"/>
        <v>19.91</v>
      </c>
      <c r="L194" s="104"/>
      <c r="M194" s="57">
        <f t="shared" si="21"/>
        <v>0</v>
      </c>
    </row>
    <row r="195" spans="1:13" s="11" customFormat="1" x14ac:dyDescent="0.25">
      <c r="A195" s="56"/>
      <c r="B195" s="139"/>
      <c r="C195" s="25"/>
      <c r="D195" s="12"/>
      <c r="E195" s="18"/>
      <c r="F195" s="18"/>
      <c r="G195" s="18"/>
      <c r="H195" s="130" t="s">
        <v>60</v>
      </c>
      <c r="I195" s="12" t="s">
        <v>16</v>
      </c>
      <c r="J195" s="20">
        <v>35</v>
      </c>
      <c r="K195" s="18">
        <f>ROUND(J195*$E$189,0)</f>
        <v>1394</v>
      </c>
      <c r="L195" s="104"/>
      <c r="M195" s="57">
        <f t="shared" si="21"/>
        <v>0</v>
      </c>
    </row>
    <row r="196" spans="1:13" s="11" customFormat="1" x14ac:dyDescent="0.25">
      <c r="A196" s="56"/>
      <c r="B196" s="139"/>
      <c r="C196" s="25"/>
      <c r="D196" s="12"/>
      <c r="E196" s="18"/>
      <c r="F196" s="18"/>
      <c r="G196" s="18"/>
      <c r="H196" s="130" t="s">
        <v>61</v>
      </c>
      <c r="I196" s="12" t="s">
        <v>16</v>
      </c>
      <c r="J196" s="20">
        <v>4.34</v>
      </c>
      <c r="K196" s="18">
        <f t="shared" ref="K196:K197" si="25">ROUND(J196*$E$189,0)</f>
        <v>173</v>
      </c>
      <c r="L196" s="104"/>
      <c r="M196" s="57">
        <f t="shared" si="21"/>
        <v>0</v>
      </c>
    </row>
    <row r="197" spans="1:13" s="11" customFormat="1" x14ac:dyDescent="0.25">
      <c r="A197" s="56"/>
      <c r="B197" s="139"/>
      <c r="C197" s="25"/>
      <c r="D197" s="12"/>
      <c r="E197" s="18"/>
      <c r="F197" s="18"/>
      <c r="G197" s="18"/>
      <c r="H197" s="130" t="s">
        <v>69</v>
      </c>
      <c r="I197" s="12" t="s">
        <v>16</v>
      </c>
      <c r="J197" s="20">
        <v>1</v>
      </c>
      <c r="K197" s="18">
        <f t="shared" si="25"/>
        <v>40</v>
      </c>
      <c r="L197" s="28"/>
      <c r="M197" s="57">
        <f t="shared" si="21"/>
        <v>0</v>
      </c>
    </row>
    <row r="198" spans="1:13" s="11" customFormat="1" ht="27" customHeight="1" x14ac:dyDescent="0.25">
      <c r="A198" s="56">
        <v>66</v>
      </c>
      <c r="B198" s="143" t="s">
        <v>541</v>
      </c>
      <c r="C198" s="25" t="s">
        <v>241</v>
      </c>
      <c r="D198" s="12" t="s">
        <v>10</v>
      </c>
      <c r="E198" s="18">
        <f>21.61</f>
        <v>21.61</v>
      </c>
      <c r="F198" s="18"/>
      <c r="G198" s="18">
        <f>E198*F198</f>
        <v>0</v>
      </c>
      <c r="H198" s="24" t="s">
        <v>223</v>
      </c>
      <c r="I198" s="27" t="s">
        <v>10</v>
      </c>
      <c r="J198" s="18">
        <v>1.05</v>
      </c>
      <c r="K198" s="18">
        <f>J198*$E$198</f>
        <v>22.6905</v>
      </c>
      <c r="L198" s="28"/>
      <c r="M198" s="57">
        <f t="shared" si="21"/>
        <v>0</v>
      </c>
    </row>
    <row r="199" spans="1:13" s="11" customFormat="1" x14ac:dyDescent="0.25">
      <c r="A199" s="56"/>
      <c r="B199" s="139"/>
      <c r="C199" s="25"/>
      <c r="D199" s="12"/>
      <c r="E199" s="18"/>
      <c r="F199" s="18"/>
      <c r="G199" s="18"/>
      <c r="H199" s="130" t="s">
        <v>66</v>
      </c>
      <c r="I199" s="12" t="s">
        <v>16</v>
      </c>
      <c r="J199" s="18">
        <v>2</v>
      </c>
      <c r="K199" s="18">
        <f>ROUND(J199*$E$198,0)</f>
        <v>43</v>
      </c>
      <c r="L199" s="18"/>
      <c r="M199" s="57">
        <f t="shared" si="21"/>
        <v>0</v>
      </c>
    </row>
    <row r="200" spans="1:13" s="11" customFormat="1" x14ac:dyDescent="0.25">
      <c r="A200" s="56"/>
      <c r="B200" s="139"/>
      <c r="C200" s="25"/>
      <c r="D200" s="12"/>
      <c r="E200" s="18"/>
      <c r="F200" s="18"/>
      <c r="G200" s="18"/>
      <c r="H200" s="128" t="s">
        <v>57</v>
      </c>
      <c r="I200" s="12" t="s">
        <v>16</v>
      </c>
      <c r="J200" s="18">
        <v>3</v>
      </c>
      <c r="K200" s="18">
        <f>ROUND(J200*$E$198,0)</f>
        <v>65</v>
      </c>
      <c r="L200" s="18"/>
      <c r="M200" s="57">
        <f t="shared" si="21"/>
        <v>0</v>
      </c>
    </row>
    <row r="201" spans="1:13" s="11" customFormat="1" x14ac:dyDescent="0.25">
      <c r="A201" s="56"/>
      <c r="B201" s="139"/>
      <c r="C201" s="25"/>
      <c r="D201" s="12"/>
      <c r="E201" s="18"/>
      <c r="F201" s="18"/>
      <c r="G201" s="18"/>
      <c r="H201" s="30" t="s">
        <v>59</v>
      </c>
      <c r="I201" s="12" t="s">
        <v>16</v>
      </c>
      <c r="J201" s="18">
        <v>0.03</v>
      </c>
      <c r="K201" s="18">
        <f t="shared" ref="K201:K203" si="26">J201*$E$198</f>
        <v>0.64829999999999999</v>
      </c>
      <c r="L201" s="104"/>
      <c r="M201" s="57">
        <f t="shared" si="21"/>
        <v>0</v>
      </c>
    </row>
    <row r="202" spans="1:13" s="11" customFormat="1" x14ac:dyDescent="0.25">
      <c r="A202" s="56"/>
      <c r="B202" s="139"/>
      <c r="C202" s="25"/>
      <c r="D202" s="12"/>
      <c r="E202" s="18"/>
      <c r="F202" s="18"/>
      <c r="G202" s="18"/>
      <c r="H202" s="30" t="s">
        <v>67</v>
      </c>
      <c r="I202" s="12" t="s">
        <v>13</v>
      </c>
      <c r="J202" s="18">
        <v>2.5</v>
      </c>
      <c r="K202" s="18">
        <f t="shared" si="26"/>
        <v>54.024999999999999</v>
      </c>
      <c r="L202" s="104"/>
      <c r="M202" s="57">
        <f t="shared" si="21"/>
        <v>0</v>
      </c>
    </row>
    <row r="203" spans="1:13" s="11" customFormat="1" x14ac:dyDescent="0.25">
      <c r="A203" s="56"/>
      <c r="B203" s="139"/>
      <c r="C203" s="25"/>
      <c r="D203" s="12"/>
      <c r="E203" s="18"/>
      <c r="F203" s="18"/>
      <c r="G203" s="18"/>
      <c r="H203" s="30" t="s">
        <v>68</v>
      </c>
      <c r="I203" s="12" t="s">
        <v>13</v>
      </c>
      <c r="J203" s="18">
        <v>0.5</v>
      </c>
      <c r="K203" s="18">
        <f t="shared" si="26"/>
        <v>10.805</v>
      </c>
      <c r="L203" s="104"/>
      <c r="M203" s="57">
        <f t="shared" si="21"/>
        <v>0</v>
      </c>
    </row>
    <row r="204" spans="1:13" s="11" customFormat="1" x14ac:dyDescent="0.25">
      <c r="A204" s="56"/>
      <c r="B204" s="139"/>
      <c r="C204" s="25"/>
      <c r="D204" s="12"/>
      <c r="E204" s="18"/>
      <c r="F204" s="18"/>
      <c r="G204" s="18"/>
      <c r="H204" s="130" t="s">
        <v>60</v>
      </c>
      <c r="I204" s="12" t="s">
        <v>16</v>
      </c>
      <c r="J204" s="20">
        <v>35</v>
      </c>
      <c r="K204" s="18">
        <f>ROUND(J204*$E$198,0)</f>
        <v>756</v>
      </c>
      <c r="L204" s="104"/>
      <c r="M204" s="57">
        <f t="shared" si="21"/>
        <v>0</v>
      </c>
    </row>
    <row r="205" spans="1:13" s="11" customFormat="1" x14ac:dyDescent="0.25">
      <c r="A205" s="56"/>
      <c r="B205" s="139"/>
      <c r="C205" s="25"/>
      <c r="D205" s="12"/>
      <c r="E205" s="18"/>
      <c r="F205" s="18"/>
      <c r="G205" s="18"/>
      <c r="H205" s="130" t="s">
        <v>61</v>
      </c>
      <c r="I205" s="12" t="s">
        <v>16</v>
      </c>
      <c r="J205" s="20">
        <v>4.34</v>
      </c>
      <c r="K205" s="18">
        <f t="shared" ref="K205:K206" si="27">ROUND(J205*$E$198,0)</f>
        <v>94</v>
      </c>
      <c r="L205" s="104"/>
      <c r="M205" s="57">
        <f t="shared" si="21"/>
        <v>0</v>
      </c>
    </row>
    <row r="206" spans="1:13" s="11" customFormat="1" x14ac:dyDescent="0.25">
      <c r="A206" s="56"/>
      <c r="B206" s="139"/>
      <c r="C206" s="25"/>
      <c r="D206" s="12"/>
      <c r="E206" s="18"/>
      <c r="F206" s="18"/>
      <c r="G206" s="18"/>
      <c r="H206" s="130" t="s">
        <v>69</v>
      </c>
      <c r="I206" s="12" t="s">
        <v>16</v>
      </c>
      <c r="J206" s="20">
        <v>1</v>
      </c>
      <c r="K206" s="18">
        <f t="shared" si="27"/>
        <v>22</v>
      </c>
      <c r="L206" s="28"/>
      <c r="M206" s="57">
        <f t="shared" si="21"/>
        <v>0</v>
      </c>
    </row>
    <row r="207" spans="1:13" s="11" customFormat="1" ht="25.5" x14ac:dyDescent="0.25">
      <c r="A207" s="56">
        <v>67</v>
      </c>
      <c r="B207" s="143" t="s">
        <v>543</v>
      </c>
      <c r="C207" s="25" t="s">
        <v>533</v>
      </c>
      <c r="D207" s="12" t="s">
        <v>16</v>
      </c>
      <c r="E207" s="18">
        <f>3+2+4</f>
        <v>9</v>
      </c>
      <c r="F207" s="18"/>
      <c r="G207" s="18">
        <f>E207*F207</f>
        <v>0</v>
      </c>
      <c r="H207" s="34"/>
      <c r="I207" s="37"/>
      <c r="J207" s="36"/>
      <c r="K207" s="18"/>
      <c r="L207" s="28"/>
      <c r="M207" s="57"/>
    </row>
    <row r="208" spans="1:13" s="11" customFormat="1" ht="25.5" x14ac:dyDescent="0.25">
      <c r="A208" s="56">
        <v>68</v>
      </c>
      <c r="B208" s="143" t="s">
        <v>542</v>
      </c>
      <c r="C208" s="25" t="s">
        <v>192</v>
      </c>
      <c r="D208" s="12" t="s">
        <v>16</v>
      </c>
      <c r="E208" s="18">
        <v>2</v>
      </c>
      <c r="F208" s="18"/>
      <c r="G208" s="18">
        <f>E208*F208</f>
        <v>0</v>
      </c>
      <c r="H208" s="34" t="s">
        <v>70</v>
      </c>
      <c r="I208" s="37" t="s">
        <v>16</v>
      </c>
      <c r="J208" s="36">
        <v>1</v>
      </c>
      <c r="K208" s="18">
        <f>J208*E208</f>
        <v>2</v>
      </c>
      <c r="L208" s="28"/>
      <c r="M208" s="57">
        <f t="shared" si="21"/>
        <v>0</v>
      </c>
    </row>
    <row r="209" spans="1:13" s="11" customFormat="1" ht="13.5" customHeight="1" x14ac:dyDescent="0.25">
      <c r="A209" s="56">
        <v>69</v>
      </c>
      <c r="B209" s="143" t="s">
        <v>322</v>
      </c>
      <c r="C209" s="29" t="s">
        <v>544</v>
      </c>
      <c r="D209" s="27" t="s">
        <v>10</v>
      </c>
      <c r="E209" s="20">
        <f>E189+E198</f>
        <v>61.43</v>
      </c>
      <c r="F209" s="18"/>
      <c r="G209" s="18">
        <f>E209*F209</f>
        <v>0</v>
      </c>
      <c r="H209" s="24" t="s">
        <v>96</v>
      </c>
      <c r="I209" s="27" t="s">
        <v>15</v>
      </c>
      <c r="J209" s="32">
        <v>2</v>
      </c>
      <c r="K209" s="42">
        <f>J209*E209</f>
        <v>122.86</v>
      </c>
      <c r="L209" s="18"/>
      <c r="M209" s="57">
        <f t="shared" si="21"/>
        <v>0</v>
      </c>
    </row>
    <row r="210" spans="1:13" s="11" customFormat="1" ht="28.5" customHeight="1" x14ac:dyDescent="0.25">
      <c r="A210" s="56"/>
      <c r="B210" s="139"/>
      <c r="C210" s="31"/>
      <c r="D210" s="27"/>
      <c r="E210" s="20"/>
      <c r="F210" s="18"/>
      <c r="G210" s="18"/>
      <c r="H210" s="24" t="s">
        <v>97</v>
      </c>
      <c r="I210" s="27" t="s">
        <v>11</v>
      </c>
      <c r="J210" s="32">
        <v>0.15</v>
      </c>
      <c r="K210" s="42">
        <f>J210*E209</f>
        <v>9.2144999999999992</v>
      </c>
      <c r="L210" s="18"/>
      <c r="M210" s="57">
        <f t="shared" si="21"/>
        <v>0</v>
      </c>
    </row>
    <row r="211" spans="1:13" s="11" customFormat="1" x14ac:dyDescent="0.25">
      <c r="A211" s="56">
        <v>70</v>
      </c>
      <c r="B211" s="143" t="s">
        <v>300</v>
      </c>
      <c r="C211" s="29" t="s">
        <v>538</v>
      </c>
      <c r="D211" s="27" t="s">
        <v>10</v>
      </c>
      <c r="E211" s="20">
        <f>73.55</f>
        <v>73.55</v>
      </c>
      <c r="F211" s="18"/>
      <c r="G211" s="18">
        <f>E211*F211</f>
        <v>0</v>
      </c>
      <c r="H211" s="98" t="s">
        <v>236</v>
      </c>
      <c r="I211" s="27" t="s">
        <v>21</v>
      </c>
      <c r="J211" s="32">
        <v>0.25</v>
      </c>
      <c r="K211" s="42">
        <f>J211*E211</f>
        <v>18.387499999999999</v>
      </c>
      <c r="L211" s="28"/>
      <c r="M211" s="57">
        <f t="shared" ref="M211" si="28">K211*L211</f>
        <v>0</v>
      </c>
    </row>
    <row r="212" spans="1:13" s="11" customFormat="1" x14ac:dyDescent="0.25">
      <c r="A212" s="56">
        <v>71</v>
      </c>
      <c r="B212" s="143" t="s">
        <v>545</v>
      </c>
      <c r="C212" s="25" t="s">
        <v>547</v>
      </c>
      <c r="D212" s="12" t="s">
        <v>10</v>
      </c>
      <c r="E212" s="18">
        <f>50.83</f>
        <v>50.83</v>
      </c>
      <c r="F212" s="18"/>
      <c r="G212" s="18">
        <f>E212*F212</f>
        <v>0</v>
      </c>
      <c r="H212" s="24" t="s">
        <v>52</v>
      </c>
      <c r="I212" s="27" t="s">
        <v>21</v>
      </c>
      <c r="J212" s="32">
        <v>0.25</v>
      </c>
      <c r="K212" s="18">
        <f>J212*$E$212</f>
        <v>12.7075</v>
      </c>
      <c r="L212" s="28"/>
      <c r="M212" s="57">
        <f t="shared" si="21"/>
        <v>0</v>
      </c>
    </row>
    <row r="213" spans="1:13" s="11" customFormat="1" x14ac:dyDescent="0.25">
      <c r="A213" s="56"/>
      <c r="B213" s="139"/>
      <c r="C213" s="25"/>
      <c r="D213" s="12"/>
      <c r="E213" s="18"/>
      <c r="F213" s="18"/>
      <c r="G213" s="18"/>
      <c r="H213" s="25" t="s">
        <v>84</v>
      </c>
      <c r="I213" s="12" t="s">
        <v>11</v>
      </c>
      <c r="J213" s="18">
        <v>0.3</v>
      </c>
      <c r="K213" s="18">
        <f t="shared" ref="K213:K217" si="29">J213*$E$212</f>
        <v>15.248999999999999</v>
      </c>
      <c r="L213" s="18"/>
      <c r="M213" s="57">
        <f t="shared" si="21"/>
        <v>0</v>
      </c>
    </row>
    <row r="214" spans="1:13" s="11" customFormat="1" x14ac:dyDescent="0.25">
      <c r="A214" s="56"/>
      <c r="B214" s="139"/>
      <c r="C214" s="25"/>
      <c r="D214" s="12"/>
      <c r="E214" s="18"/>
      <c r="F214" s="18"/>
      <c r="G214" s="18"/>
      <c r="H214" s="25" t="s">
        <v>86</v>
      </c>
      <c r="I214" s="12" t="s">
        <v>10</v>
      </c>
      <c r="J214" s="18">
        <v>1.1000000000000001</v>
      </c>
      <c r="K214" s="18">
        <f t="shared" si="29"/>
        <v>55.913000000000004</v>
      </c>
      <c r="L214" s="18"/>
      <c r="M214" s="57">
        <f t="shared" si="21"/>
        <v>0</v>
      </c>
    </row>
    <row r="215" spans="1:13" s="11" customFormat="1" x14ac:dyDescent="0.25">
      <c r="A215" s="56"/>
      <c r="B215" s="139"/>
      <c r="C215" s="25"/>
      <c r="D215" s="12"/>
      <c r="E215" s="18"/>
      <c r="F215" s="18"/>
      <c r="G215" s="18"/>
      <c r="H215" s="25" t="s">
        <v>88</v>
      </c>
      <c r="I215" s="12" t="s">
        <v>11</v>
      </c>
      <c r="J215" s="18">
        <v>1.4</v>
      </c>
      <c r="K215" s="18">
        <f t="shared" si="29"/>
        <v>71.161999999999992</v>
      </c>
      <c r="L215" s="28"/>
      <c r="M215" s="57">
        <f t="shared" si="21"/>
        <v>0</v>
      </c>
    </row>
    <row r="216" spans="1:13" s="11" customFormat="1" x14ac:dyDescent="0.25">
      <c r="A216" s="56"/>
      <c r="B216" s="139"/>
      <c r="C216" s="25"/>
      <c r="D216" s="12"/>
      <c r="E216" s="18"/>
      <c r="F216" s="18"/>
      <c r="G216" s="18"/>
      <c r="H216" s="25" t="s">
        <v>81</v>
      </c>
      <c r="I216" s="12" t="s">
        <v>11</v>
      </c>
      <c r="J216" s="18">
        <v>2.4</v>
      </c>
      <c r="K216" s="18">
        <f t="shared" si="29"/>
        <v>121.99199999999999</v>
      </c>
      <c r="L216" s="18"/>
      <c r="M216" s="57">
        <f t="shared" si="21"/>
        <v>0</v>
      </c>
    </row>
    <row r="217" spans="1:13" s="11" customFormat="1" x14ac:dyDescent="0.25">
      <c r="A217" s="56"/>
      <c r="B217" s="139"/>
      <c r="C217" s="25"/>
      <c r="D217" s="12"/>
      <c r="E217" s="18"/>
      <c r="F217" s="18"/>
      <c r="G217" s="18"/>
      <c r="H217" s="25" t="s">
        <v>82</v>
      </c>
      <c r="I217" s="12" t="s">
        <v>11</v>
      </c>
      <c r="J217" s="18">
        <v>1.8</v>
      </c>
      <c r="K217" s="18">
        <f t="shared" si="29"/>
        <v>91.494</v>
      </c>
      <c r="L217" s="18"/>
      <c r="M217" s="57">
        <f t="shared" si="21"/>
        <v>0</v>
      </c>
    </row>
    <row r="218" spans="1:13" s="11" customFormat="1" ht="25.5" x14ac:dyDescent="0.25">
      <c r="A218" s="56">
        <v>72</v>
      </c>
      <c r="B218" s="143" t="s">
        <v>546</v>
      </c>
      <c r="C218" s="25" t="s">
        <v>87</v>
      </c>
      <c r="D218" s="12" t="s">
        <v>10</v>
      </c>
      <c r="E218" s="18">
        <f>22.72</f>
        <v>22.72</v>
      </c>
      <c r="F218" s="18"/>
      <c r="G218" s="18">
        <f>E218*F218</f>
        <v>0</v>
      </c>
      <c r="H218" s="24" t="s">
        <v>52</v>
      </c>
      <c r="I218" s="27" t="s">
        <v>21</v>
      </c>
      <c r="J218" s="32">
        <v>0.25</v>
      </c>
      <c r="K218" s="18">
        <f>J218*$E$218</f>
        <v>5.68</v>
      </c>
      <c r="L218" s="28"/>
      <c r="M218" s="57">
        <f t="shared" si="21"/>
        <v>0</v>
      </c>
    </row>
    <row r="219" spans="1:13" s="11" customFormat="1" x14ac:dyDescent="0.25">
      <c r="A219" s="56"/>
      <c r="B219" s="139"/>
      <c r="C219" s="25"/>
      <c r="D219" s="12"/>
      <c r="E219" s="18"/>
      <c r="F219" s="18"/>
      <c r="G219" s="18"/>
      <c r="H219" s="25" t="s">
        <v>84</v>
      </c>
      <c r="I219" s="12" t="s">
        <v>11</v>
      </c>
      <c r="J219" s="18">
        <v>0.3</v>
      </c>
      <c r="K219" s="18">
        <f t="shared" ref="K219:K223" si="30">J219*$E$218</f>
        <v>6.8159999999999998</v>
      </c>
      <c r="L219" s="18"/>
      <c r="M219" s="57">
        <f t="shared" si="21"/>
        <v>0</v>
      </c>
    </row>
    <row r="220" spans="1:13" s="11" customFormat="1" x14ac:dyDescent="0.25">
      <c r="A220" s="56"/>
      <c r="B220" s="139"/>
      <c r="C220" s="25"/>
      <c r="D220" s="12"/>
      <c r="E220" s="18"/>
      <c r="F220" s="18"/>
      <c r="G220" s="18"/>
      <c r="H220" s="25" t="s">
        <v>86</v>
      </c>
      <c r="I220" s="12" t="s">
        <v>10</v>
      </c>
      <c r="J220" s="18">
        <v>1.1000000000000001</v>
      </c>
      <c r="K220" s="18">
        <f t="shared" si="30"/>
        <v>24.992000000000001</v>
      </c>
      <c r="L220" s="18"/>
      <c r="M220" s="57">
        <f t="shared" si="21"/>
        <v>0</v>
      </c>
    </row>
    <row r="221" spans="1:13" s="11" customFormat="1" x14ac:dyDescent="0.25">
      <c r="A221" s="56"/>
      <c r="B221" s="139"/>
      <c r="C221" s="25"/>
      <c r="D221" s="12"/>
      <c r="E221" s="18"/>
      <c r="F221" s="18"/>
      <c r="G221" s="18"/>
      <c r="H221" s="25" t="s">
        <v>88</v>
      </c>
      <c r="I221" s="12" t="s">
        <v>11</v>
      </c>
      <c r="J221" s="18">
        <v>1.4</v>
      </c>
      <c r="K221" s="18">
        <f t="shared" si="30"/>
        <v>31.807999999999996</v>
      </c>
      <c r="L221" s="28"/>
      <c r="M221" s="57">
        <f t="shared" si="21"/>
        <v>0</v>
      </c>
    </row>
    <row r="222" spans="1:13" s="11" customFormat="1" x14ac:dyDescent="0.25">
      <c r="A222" s="56"/>
      <c r="B222" s="139"/>
      <c r="C222" s="25"/>
      <c r="D222" s="12"/>
      <c r="E222" s="18"/>
      <c r="F222" s="18"/>
      <c r="G222" s="18"/>
      <c r="H222" s="25" t="s">
        <v>81</v>
      </c>
      <c r="I222" s="12" t="s">
        <v>11</v>
      </c>
      <c r="J222" s="18">
        <v>2.4</v>
      </c>
      <c r="K222" s="18">
        <f t="shared" si="30"/>
        <v>54.527999999999999</v>
      </c>
      <c r="L222" s="18"/>
      <c r="M222" s="57">
        <f t="shared" si="21"/>
        <v>0</v>
      </c>
    </row>
    <row r="223" spans="1:13" s="11" customFormat="1" x14ac:dyDescent="0.25">
      <c r="A223" s="56"/>
      <c r="B223" s="139"/>
      <c r="C223" s="25"/>
      <c r="D223" s="12"/>
      <c r="E223" s="18"/>
      <c r="F223" s="18"/>
      <c r="G223" s="18"/>
      <c r="H223" s="25" t="s">
        <v>82</v>
      </c>
      <c r="I223" s="12" t="s">
        <v>11</v>
      </c>
      <c r="J223" s="18">
        <v>1.8</v>
      </c>
      <c r="K223" s="18">
        <f t="shared" si="30"/>
        <v>40.896000000000001</v>
      </c>
      <c r="L223" s="18"/>
      <c r="M223" s="57">
        <f t="shared" si="21"/>
        <v>0</v>
      </c>
    </row>
    <row r="224" spans="1:13" s="11" customFormat="1" x14ac:dyDescent="0.25">
      <c r="A224" s="56">
        <v>73</v>
      </c>
      <c r="B224" s="143" t="s">
        <v>310</v>
      </c>
      <c r="C224" s="29" t="s">
        <v>548</v>
      </c>
      <c r="D224" s="27" t="s">
        <v>15</v>
      </c>
      <c r="E224" s="20">
        <f>1.82*2+3.4*2+1.8*2+4.57+4.35+14.33*2</f>
        <v>51.620000000000005</v>
      </c>
      <c r="F224" s="18"/>
      <c r="G224" s="18">
        <f>E224*F224</f>
        <v>0</v>
      </c>
      <c r="H224" s="24" t="s">
        <v>249</v>
      </c>
      <c r="I224" s="27" t="s">
        <v>13</v>
      </c>
      <c r="J224" s="32">
        <v>1.05</v>
      </c>
      <c r="K224" s="42">
        <f>J224*E224</f>
        <v>54.201000000000008</v>
      </c>
      <c r="L224" s="18"/>
      <c r="M224" s="57">
        <f t="shared" si="21"/>
        <v>0</v>
      </c>
    </row>
    <row r="225" spans="1:13" s="11" customFormat="1" x14ac:dyDescent="0.25">
      <c r="A225" s="56">
        <v>74</v>
      </c>
      <c r="B225" s="143" t="s">
        <v>550</v>
      </c>
      <c r="C225" s="25" t="s">
        <v>549</v>
      </c>
      <c r="D225" s="12" t="s">
        <v>10</v>
      </c>
      <c r="E225" s="18">
        <f>73.55</f>
        <v>73.55</v>
      </c>
      <c r="F225" s="18"/>
      <c r="G225" s="18">
        <f>E225*F225</f>
        <v>0</v>
      </c>
      <c r="H225" s="24" t="s">
        <v>52</v>
      </c>
      <c r="I225" s="12" t="s">
        <v>21</v>
      </c>
      <c r="J225" s="18">
        <v>0.2</v>
      </c>
      <c r="K225" s="42">
        <f>J225*E225</f>
        <v>14.71</v>
      </c>
      <c r="L225" s="28"/>
      <c r="M225" s="57">
        <f t="shared" si="21"/>
        <v>0</v>
      </c>
    </row>
    <row r="226" spans="1:13" s="11" customFormat="1" x14ac:dyDescent="0.25">
      <c r="A226" s="56"/>
      <c r="B226" s="139"/>
      <c r="C226" s="25"/>
      <c r="D226" s="12"/>
      <c r="E226" s="18"/>
      <c r="F226" s="18"/>
      <c r="G226" s="18"/>
      <c r="H226" s="24" t="s">
        <v>90</v>
      </c>
      <c r="I226" s="12" t="s">
        <v>16</v>
      </c>
      <c r="J226" s="18">
        <v>0.01</v>
      </c>
      <c r="K226" s="42">
        <f>J226*E225</f>
        <v>0.73549999999999993</v>
      </c>
      <c r="L226" s="18"/>
      <c r="M226" s="57">
        <f t="shared" si="21"/>
        <v>0</v>
      </c>
    </row>
    <row r="227" spans="1:13" s="11" customFormat="1" x14ac:dyDescent="0.25">
      <c r="A227" s="56"/>
      <c r="B227" s="139"/>
      <c r="C227" s="25"/>
      <c r="D227" s="12"/>
      <c r="E227" s="18"/>
      <c r="F227" s="18"/>
      <c r="G227" s="18"/>
      <c r="H227" s="24" t="s">
        <v>329</v>
      </c>
      <c r="I227" s="27" t="s">
        <v>21</v>
      </c>
      <c r="J227" s="32">
        <v>0.15</v>
      </c>
      <c r="K227" s="42">
        <f>J227*E225</f>
        <v>11.032499999999999</v>
      </c>
      <c r="L227" s="18"/>
      <c r="M227" s="57">
        <f t="shared" si="21"/>
        <v>0</v>
      </c>
    </row>
    <row r="228" spans="1:13" s="11" customFormat="1" x14ac:dyDescent="0.25">
      <c r="A228" s="86"/>
      <c r="B228" s="138"/>
      <c r="C228" s="87" t="s">
        <v>24</v>
      </c>
      <c r="D228" s="88"/>
      <c r="E228" s="89"/>
      <c r="F228" s="89"/>
      <c r="G228" s="89"/>
      <c r="H228" s="87"/>
      <c r="I228" s="91"/>
      <c r="J228" s="89"/>
      <c r="K228" s="89"/>
      <c r="L228" s="89"/>
      <c r="M228" s="90"/>
    </row>
    <row r="229" spans="1:13" s="11" customFormat="1" x14ac:dyDescent="0.25">
      <c r="A229" s="56">
        <v>75</v>
      </c>
      <c r="B229" s="188" t="s">
        <v>348</v>
      </c>
      <c r="C229" s="184" t="s">
        <v>219</v>
      </c>
      <c r="D229" s="185" t="s">
        <v>213</v>
      </c>
      <c r="E229" s="177">
        <v>2</v>
      </c>
      <c r="F229" s="177">
        <v>0</v>
      </c>
      <c r="G229" s="177">
        <f>E229*F229</f>
        <v>0</v>
      </c>
      <c r="H229" s="184" t="s">
        <v>73</v>
      </c>
      <c r="I229" s="185" t="s">
        <v>16</v>
      </c>
      <c r="J229" s="183">
        <v>6</v>
      </c>
      <c r="K229" s="177">
        <f>J229*E229</f>
        <v>12</v>
      </c>
      <c r="L229" s="178"/>
      <c r="M229" s="175">
        <f t="shared" ref="M229:M266" si="31">K229*L229</f>
        <v>0</v>
      </c>
    </row>
    <row r="230" spans="1:13" s="11" customFormat="1" x14ac:dyDescent="0.25">
      <c r="A230" s="56"/>
      <c r="B230" s="139"/>
      <c r="C230" s="184" t="s">
        <v>215</v>
      </c>
      <c r="D230" s="185" t="s">
        <v>213</v>
      </c>
      <c r="E230" s="177">
        <v>2</v>
      </c>
      <c r="F230" s="177">
        <v>0</v>
      </c>
      <c r="G230" s="177">
        <f>E230*F230</f>
        <v>0</v>
      </c>
      <c r="H230" s="184" t="s">
        <v>72</v>
      </c>
      <c r="I230" s="185" t="s">
        <v>16</v>
      </c>
      <c r="J230" s="183">
        <v>1</v>
      </c>
      <c r="K230" s="177">
        <f>J230*E229</f>
        <v>2</v>
      </c>
      <c r="L230" s="177"/>
      <c r="M230" s="175">
        <f t="shared" si="31"/>
        <v>0</v>
      </c>
    </row>
    <row r="231" spans="1:13" s="11" customFormat="1" x14ac:dyDescent="0.25">
      <c r="A231" s="56"/>
      <c r="B231" s="139"/>
      <c r="C231" s="170" t="s">
        <v>230</v>
      </c>
      <c r="D231" s="186" t="s">
        <v>213</v>
      </c>
      <c r="E231" s="187">
        <v>2</v>
      </c>
      <c r="F231" s="177">
        <v>0</v>
      </c>
      <c r="G231" s="177">
        <f>E231*F231</f>
        <v>0</v>
      </c>
      <c r="H231" s="184" t="s">
        <v>224</v>
      </c>
      <c r="I231" s="171" t="s">
        <v>16</v>
      </c>
      <c r="J231" s="183"/>
      <c r="K231" s="177">
        <v>2</v>
      </c>
      <c r="L231" s="178"/>
      <c r="M231" s="175">
        <f t="shared" ref="M231:M232" si="32">K231*L231*1.1</f>
        <v>0</v>
      </c>
    </row>
    <row r="232" spans="1:13" s="11" customFormat="1" ht="54" customHeight="1" x14ac:dyDescent="0.25">
      <c r="A232" s="56"/>
      <c r="B232" s="139"/>
      <c r="C232" s="25"/>
      <c r="D232" s="12"/>
      <c r="E232" s="18"/>
      <c r="F232" s="18"/>
      <c r="G232" s="18"/>
      <c r="H232" s="170" t="s">
        <v>346</v>
      </c>
      <c r="I232" s="171" t="s">
        <v>16</v>
      </c>
      <c r="J232" s="183"/>
      <c r="K232" s="173">
        <v>1</v>
      </c>
      <c r="L232" s="177"/>
      <c r="M232" s="175">
        <f t="shared" si="32"/>
        <v>0</v>
      </c>
    </row>
    <row r="233" spans="1:13" s="11" customFormat="1" ht="54.75" customHeight="1" x14ac:dyDescent="0.25">
      <c r="A233" s="56"/>
      <c r="B233" s="139"/>
      <c r="C233" s="25"/>
      <c r="D233" s="12"/>
      <c r="E233" s="18"/>
      <c r="F233" s="18"/>
      <c r="G233" s="18"/>
      <c r="H233" s="170" t="s">
        <v>347</v>
      </c>
      <c r="I233" s="171" t="s">
        <v>16</v>
      </c>
      <c r="J233" s="183"/>
      <c r="K233" s="173">
        <v>1</v>
      </c>
      <c r="L233" s="177"/>
      <c r="M233" s="175">
        <f>K233*L233*1.1</f>
        <v>0</v>
      </c>
    </row>
    <row r="234" spans="1:13" s="11" customFormat="1" ht="15" customHeight="1" x14ac:dyDescent="0.25">
      <c r="A234" s="56">
        <v>76</v>
      </c>
      <c r="B234" s="188" t="s">
        <v>349</v>
      </c>
      <c r="C234" s="98" t="s">
        <v>350</v>
      </c>
      <c r="D234" s="100" t="s">
        <v>12</v>
      </c>
      <c r="E234" s="18">
        <v>2</v>
      </c>
      <c r="F234" s="18"/>
      <c r="G234" s="18">
        <f>E234*F234</f>
        <v>0</v>
      </c>
      <c r="H234" s="98" t="s">
        <v>351</v>
      </c>
      <c r="I234" s="189" t="s">
        <v>12</v>
      </c>
      <c r="J234" s="99">
        <v>1</v>
      </c>
      <c r="K234" s="42">
        <f>J234*E234</f>
        <v>2</v>
      </c>
      <c r="L234" s="18"/>
      <c r="M234" s="57">
        <f t="shared" ref="M234" si="33">K234*L234</f>
        <v>0</v>
      </c>
    </row>
    <row r="235" spans="1:13" s="11" customFormat="1" x14ac:dyDescent="0.25">
      <c r="A235" s="56">
        <v>77</v>
      </c>
      <c r="B235" s="188" t="s">
        <v>352</v>
      </c>
      <c r="C235" s="184" t="s">
        <v>353</v>
      </c>
      <c r="D235" s="185" t="s">
        <v>15</v>
      </c>
      <c r="E235" s="177">
        <f>4.54+1+5.36</f>
        <v>10.9</v>
      </c>
      <c r="F235" s="177">
        <v>0</v>
      </c>
      <c r="G235" s="177">
        <f>E235*F235</f>
        <v>0</v>
      </c>
      <c r="H235" s="30" t="s">
        <v>75</v>
      </c>
      <c r="I235" s="27" t="s">
        <v>16</v>
      </c>
      <c r="J235" s="20">
        <v>0.1</v>
      </c>
      <c r="K235" s="18">
        <f>J235*E235</f>
        <v>1.0900000000000001</v>
      </c>
      <c r="L235" s="28"/>
      <c r="M235" s="57">
        <f t="shared" si="31"/>
        <v>0</v>
      </c>
    </row>
    <row r="236" spans="1:13" s="11" customFormat="1" x14ac:dyDescent="0.25">
      <c r="A236" s="56"/>
      <c r="B236" s="139"/>
      <c r="C236" s="26"/>
      <c r="D236" s="12"/>
      <c r="E236" s="18"/>
      <c r="F236" s="18"/>
      <c r="G236" s="18"/>
      <c r="H236" s="25" t="s">
        <v>72</v>
      </c>
      <c r="I236" s="12" t="s">
        <v>16</v>
      </c>
      <c r="J236" s="20">
        <v>0.5</v>
      </c>
      <c r="K236" s="18">
        <f>J236*E235</f>
        <v>5.45</v>
      </c>
      <c r="L236" s="18"/>
      <c r="M236" s="57">
        <f t="shared" si="31"/>
        <v>0</v>
      </c>
    </row>
    <row r="237" spans="1:13" s="11" customFormat="1" ht="39.75" customHeight="1" x14ac:dyDescent="0.25">
      <c r="A237" s="56"/>
      <c r="B237" s="139"/>
      <c r="C237" s="26"/>
      <c r="D237" s="12"/>
      <c r="E237" s="18"/>
      <c r="F237" s="18"/>
      <c r="G237" s="18"/>
      <c r="H237" s="190" t="s">
        <v>354</v>
      </c>
      <c r="I237" s="191" t="s">
        <v>13</v>
      </c>
      <c r="J237" s="192"/>
      <c r="K237" s="177"/>
      <c r="L237" s="174"/>
      <c r="M237" s="175">
        <f t="shared" ref="M237" si="34">K237*L237*1.1</f>
        <v>0</v>
      </c>
    </row>
    <row r="238" spans="1:13" s="11" customFormat="1" x14ac:dyDescent="0.25">
      <c r="A238" s="86"/>
      <c r="B238" s="138"/>
      <c r="C238" s="87" t="s">
        <v>18</v>
      </c>
      <c r="D238" s="88"/>
      <c r="E238" s="89"/>
      <c r="F238" s="89"/>
      <c r="G238" s="89"/>
      <c r="H238" s="87"/>
      <c r="I238" s="91"/>
      <c r="J238" s="89"/>
      <c r="K238" s="89"/>
      <c r="L238" s="89"/>
      <c r="M238" s="90"/>
    </row>
    <row r="239" spans="1:13" s="11" customFormat="1" x14ac:dyDescent="0.25">
      <c r="A239" s="56">
        <v>78</v>
      </c>
      <c r="B239" s="188" t="s">
        <v>405</v>
      </c>
      <c r="C239" s="34" t="s">
        <v>177</v>
      </c>
      <c r="D239" s="35" t="s">
        <v>16</v>
      </c>
      <c r="E239" s="36">
        <v>1</v>
      </c>
      <c r="F239" s="18"/>
      <c r="G239" s="18">
        <f>E239*F239</f>
        <v>0</v>
      </c>
      <c r="H239" s="30" t="s">
        <v>71</v>
      </c>
      <c r="I239" s="27" t="s">
        <v>16</v>
      </c>
      <c r="J239" s="36">
        <v>4</v>
      </c>
      <c r="K239" s="36">
        <f>J239*E239</f>
        <v>4</v>
      </c>
      <c r="L239" s="33"/>
      <c r="M239" s="57">
        <f t="shared" si="31"/>
        <v>0</v>
      </c>
    </row>
    <row r="240" spans="1:13" s="11" customFormat="1" x14ac:dyDescent="0.25">
      <c r="A240" s="56"/>
      <c r="B240" s="139"/>
      <c r="C240" s="34"/>
      <c r="D240" s="35"/>
      <c r="E240" s="36"/>
      <c r="F240" s="18"/>
      <c r="G240" s="18"/>
      <c r="H240" s="30" t="s">
        <v>102</v>
      </c>
      <c r="I240" s="27" t="s">
        <v>155</v>
      </c>
      <c r="J240" s="36">
        <v>1</v>
      </c>
      <c r="K240" s="36">
        <f>J240*E239</f>
        <v>1</v>
      </c>
      <c r="L240" s="33"/>
      <c r="M240" s="57">
        <f t="shared" si="31"/>
        <v>0</v>
      </c>
    </row>
    <row r="241" spans="1:13" s="11" customFormat="1" x14ac:dyDescent="0.25">
      <c r="A241" s="56">
        <v>79</v>
      </c>
      <c r="B241" s="188" t="s">
        <v>405</v>
      </c>
      <c r="C241" s="34" t="s">
        <v>189</v>
      </c>
      <c r="D241" s="35" t="s">
        <v>16</v>
      </c>
      <c r="E241" s="36">
        <v>1</v>
      </c>
      <c r="F241" s="18"/>
      <c r="G241" s="18">
        <f>E241*F241</f>
        <v>0</v>
      </c>
      <c r="H241" s="30" t="s">
        <v>71</v>
      </c>
      <c r="I241" s="27" t="s">
        <v>16</v>
      </c>
      <c r="J241" s="36">
        <v>4</v>
      </c>
      <c r="K241" s="36">
        <f>J241*E241</f>
        <v>4</v>
      </c>
      <c r="L241" s="33"/>
      <c r="M241" s="57">
        <f t="shared" si="31"/>
        <v>0</v>
      </c>
    </row>
    <row r="242" spans="1:13" s="11" customFormat="1" x14ac:dyDescent="0.25">
      <c r="A242" s="56"/>
      <c r="B242" s="139"/>
      <c r="C242" s="34"/>
      <c r="D242" s="35"/>
      <c r="E242" s="36"/>
      <c r="F242" s="18"/>
      <c r="G242" s="18"/>
      <c r="H242" s="30" t="s">
        <v>102</v>
      </c>
      <c r="I242" s="27" t="s">
        <v>155</v>
      </c>
      <c r="J242" s="36">
        <v>1</v>
      </c>
      <c r="K242" s="36">
        <f>J242*E241</f>
        <v>1</v>
      </c>
      <c r="L242" s="33"/>
      <c r="M242" s="57">
        <f t="shared" si="31"/>
        <v>0</v>
      </c>
    </row>
    <row r="243" spans="1:13" s="11" customFormat="1" x14ac:dyDescent="0.25">
      <c r="A243" s="56">
        <v>80</v>
      </c>
      <c r="B243" s="188" t="s">
        <v>406</v>
      </c>
      <c r="C243" s="34" t="s">
        <v>99</v>
      </c>
      <c r="D243" s="35" t="s">
        <v>16</v>
      </c>
      <c r="E243" s="36">
        <v>9</v>
      </c>
      <c r="F243" s="18"/>
      <c r="G243" s="18">
        <f>E243*F243</f>
        <v>0</v>
      </c>
      <c r="H243" s="30" t="s">
        <v>103</v>
      </c>
      <c r="I243" s="27" t="s">
        <v>16</v>
      </c>
      <c r="J243" s="36"/>
      <c r="K243" s="23">
        <v>3</v>
      </c>
      <c r="L243" s="28"/>
      <c r="M243" s="57">
        <f t="shared" si="31"/>
        <v>0</v>
      </c>
    </row>
    <row r="244" spans="1:13" s="11" customFormat="1" x14ac:dyDescent="0.25">
      <c r="A244" s="56"/>
      <c r="B244" s="139"/>
      <c r="C244" s="14"/>
      <c r="D244" s="14"/>
      <c r="E244" s="17"/>
      <c r="F244" s="18"/>
      <c r="G244" s="18"/>
      <c r="H244" s="30" t="s">
        <v>104</v>
      </c>
      <c r="I244" s="27" t="s">
        <v>16</v>
      </c>
      <c r="J244" s="36"/>
      <c r="K244" s="23">
        <v>6</v>
      </c>
      <c r="L244" s="28"/>
      <c r="M244" s="57">
        <f t="shared" si="31"/>
        <v>0</v>
      </c>
    </row>
    <row r="245" spans="1:13" s="11" customFormat="1" x14ac:dyDescent="0.25">
      <c r="A245" s="56">
        <v>81</v>
      </c>
      <c r="B245" s="188" t="s">
        <v>407</v>
      </c>
      <c r="C245" s="34" t="s">
        <v>98</v>
      </c>
      <c r="D245" s="35" t="s">
        <v>16</v>
      </c>
      <c r="E245" s="36">
        <v>2</v>
      </c>
      <c r="F245" s="18"/>
      <c r="G245" s="18">
        <f>E245*F245</f>
        <v>0</v>
      </c>
      <c r="H245" s="30" t="s">
        <v>216</v>
      </c>
      <c r="I245" s="27" t="s">
        <v>16</v>
      </c>
      <c r="J245" s="36"/>
      <c r="K245" s="36">
        <v>1</v>
      </c>
      <c r="L245" s="28"/>
      <c r="M245" s="57">
        <f t="shared" si="31"/>
        <v>0</v>
      </c>
    </row>
    <row r="246" spans="1:13" s="11" customFormat="1" x14ac:dyDescent="0.25">
      <c r="A246" s="56"/>
      <c r="B246" s="139"/>
      <c r="C246" s="34"/>
      <c r="D246" s="35"/>
      <c r="E246" s="36"/>
      <c r="F246" s="18"/>
      <c r="G246" s="18"/>
      <c r="H246" s="30" t="s">
        <v>217</v>
      </c>
      <c r="I246" s="27" t="s">
        <v>16</v>
      </c>
      <c r="J246" s="36"/>
      <c r="K246" s="36">
        <v>1</v>
      </c>
      <c r="L246" s="28"/>
      <c r="M246" s="57">
        <f t="shared" si="31"/>
        <v>0</v>
      </c>
    </row>
    <row r="247" spans="1:13" s="11" customFormat="1" x14ac:dyDescent="0.25">
      <c r="A247" s="56">
        <v>82</v>
      </c>
      <c r="B247" s="188" t="s">
        <v>408</v>
      </c>
      <c r="C247" s="34" t="s">
        <v>100</v>
      </c>
      <c r="D247" s="35" t="s">
        <v>16</v>
      </c>
      <c r="E247" s="36">
        <v>3</v>
      </c>
      <c r="F247" s="18"/>
      <c r="G247" s="18">
        <f>E247*F247</f>
        <v>0</v>
      </c>
      <c r="H247" s="43" t="s">
        <v>101</v>
      </c>
      <c r="I247" s="27" t="s">
        <v>16</v>
      </c>
      <c r="J247" s="36"/>
      <c r="K247" s="23">
        <v>3</v>
      </c>
      <c r="L247" s="28"/>
      <c r="M247" s="57">
        <f t="shared" si="31"/>
        <v>0</v>
      </c>
    </row>
    <row r="248" spans="1:13" s="11" customFormat="1" x14ac:dyDescent="0.25">
      <c r="A248" s="56">
        <v>83</v>
      </c>
      <c r="B248" s="188" t="s">
        <v>409</v>
      </c>
      <c r="C248" s="34" t="s">
        <v>105</v>
      </c>
      <c r="D248" s="35" t="s">
        <v>16</v>
      </c>
      <c r="E248" s="36">
        <v>3</v>
      </c>
      <c r="F248" s="18"/>
      <c r="G248" s="18">
        <f>E248*F248</f>
        <v>0</v>
      </c>
      <c r="H248" s="34" t="s">
        <v>190</v>
      </c>
      <c r="I248" s="35" t="s">
        <v>12</v>
      </c>
      <c r="J248" s="36">
        <v>1</v>
      </c>
      <c r="K248" s="36">
        <v>3</v>
      </c>
      <c r="L248" s="33"/>
      <c r="M248" s="57">
        <f t="shared" si="31"/>
        <v>0</v>
      </c>
    </row>
    <row r="249" spans="1:13" s="11" customFormat="1" x14ac:dyDescent="0.25">
      <c r="A249" s="56"/>
      <c r="B249" s="139"/>
      <c r="C249" s="34"/>
      <c r="D249" s="35"/>
      <c r="E249" s="36"/>
      <c r="F249" s="18"/>
      <c r="G249" s="18"/>
      <c r="H249" s="34" t="s">
        <v>160</v>
      </c>
      <c r="I249" s="35" t="s">
        <v>12</v>
      </c>
      <c r="J249" s="36">
        <v>1</v>
      </c>
      <c r="K249" s="36">
        <f>J249*E248</f>
        <v>3</v>
      </c>
      <c r="L249" s="33"/>
      <c r="M249" s="57">
        <f t="shared" si="31"/>
        <v>0</v>
      </c>
    </row>
    <row r="250" spans="1:13" s="11" customFormat="1" x14ac:dyDescent="0.25">
      <c r="A250" s="56">
        <v>84</v>
      </c>
      <c r="B250" s="188" t="s">
        <v>410</v>
      </c>
      <c r="C250" s="34" t="s">
        <v>106</v>
      </c>
      <c r="D250" s="35" t="s">
        <v>107</v>
      </c>
      <c r="E250" s="36">
        <v>180</v>
      </c>
      <c r="F250" s="18"/>
      <c r="G250" s="18">
        <f>E250*F250</f>
        <v>0</v>
      </c>
      <c r="H250" s="34" t="s">
        <v>108</v>
      </c>
      <c r="I250" s="35" t="s">
        <v>13</v>
      </c>
      <c r="J250" s="104">
        <v>0.45</v>
      </c>
      <c r="K250" s="36">
        <f>J250*E250</f>
        <v>81</v>
      </c>
      <c r="L250" s="33"/>
      <c r="M250" s="57">
        <f t="shared" si="31"/>
        <v>0</v>
      </c>
    </row>
    <row r="251" spans="1:13" s="11" customFormat="1" x14ac:dyDescent="0.25">
      <c r="A251" s="56"/>
      <c r="B251" s="139"/>
      <c r="C251" s="34"/>
      <c r="D251" s="35"/>
      <c r="E251" s="36"/>
      <c r="F251" s="18"/>
      <c r="G251" s="18"/>
      <c r="H251" s="34" t="s">
        <v>109</v>
      </c>
      <c r="I251" s="35" t="s">
        <v>13</v>
      </c>
      <c r="J251" s="104">
        <v>0.55000000000000004</v>
      </c>
      <c r="K251" s="36">
        <f>J251*E250</f>
        <v>99.000000000000014</v>
      </c>
      <c r="L251" s="33"/>
      <c r="M251" s="57">
        <f t="shared" si="31"/>
        <v>0</v>
      </c>
    </row>
    <row r="252" spans="1:13" s="11" customFormat="1" ht="25.5" x14ac:dyDescent="0.25">
      <c r="A252" s="56">
        <v>85</v>
      </c>
      <c r="B252" s="188" t="s">
        <v>411</v>
      </c>
      <c r="C252" s="34" t="s">
        <v>110</v>
      </c>
      <c r="D252" s="35" t="s">
        <v>107</v>
      </c>
      <c r="E252" s="36">
        <v>960</v>
      </c>
      <c r="F252" s="18"/>
      <c r="G252" s="18">
        <f>E252*F252</f>
        <v>0</v>
      </c>
      <c r="H252" s="34" t="s">
        <v>139</v>
      </c>
      <c r="I252" s="35" t="s">
        <v>11</v>
      </c>
      <c r="J252" s="36">
        <v>0.2</v>
      </c>
      <c r="K252" s="36">
        <f>J252*E252</f>
        <v>192</v>
      </c>
      <c r="L252" s="18"/>
      <c r="M252" s="57">
        <f t="shared" si="31"/>
        <v>0</v>
      </c>
    </row>
    <row r="253" spans="1:13" s="11" customFormat="1" x14ac:dyDescent="0.25">
      <c r="A253" s="56"/>
      <c r="B253" s="139"/>
      <c r="C253" s="34"/>
      <c r="D253" s="35"/>
      <c r="E253" s="36"/>
      <c r="F253" s="18"/>
      <c r="G253" s="18"/>
      <c r="H253" s="34" t="s">
        <v>111</v>
      </c>
      <c r="I253" s="35" t="s">
        <v>13</v>
      </c>
      <c r="J253" s="99">
        <v>0.45</v>
      </c>
      <c r="K253" s="36">
        <f>J253*E252</f>
        <v>432</v>
      </c>
      <c r="L253" s="33"/>
      <c r="M253" s="57">
        <f t="shared" si="31"/>
        <v>0</v>
      </c>
    </row>
    <row r="254" spans="1:13" s="11" customFormat="1" x14ac:dyDescent="0.25">
      <c r="A254" s="56"/>
      <c r="B254" s="139"/>
      <c r="C254" s="34"/>
      <c r="D254" s="35"/>
      <c r="E254" s="36"/>
      <c r="F254" s="18"/>
      <c r="G254" s="18"/>
      <c r="H254" s="34" t="s">
        <v>112</v>
      </c>
      <c r="I254" s="35" t="s">
        <v>13</v>
      </c>
      <c r="J254" s="99">
        <v>0.5</v>
      </c>
      <c r="K254" s="36">
        <f>J254*E252</f>
        <v>480</v>
      </c>
      <c r="L254" s="33"/>
      <c r="M254" s="57">
        <f t="shared" si="31"/>
        <v>0</v>
      </c>
    </row>
    <row r="255" spans="1:13" s="11" customFormat="1" x14ac:dyDescent="0.25">
      <c r="A255" s="56"/>
      <c r="B255" s="139"/>
      <c r="C255" s="34"/>
      <c r="D255" s="35"/>
      <c r="E255" s="36"/>
      <c r="F255" s="18"/>
      <c r="G255" s="18"/>
      <c r="H255" s="34" t="s">
        <v>113</v>
      </c>
      <c r="I255" s="35" t="s">
        <v>13</v>
      </c>
      <c r="J255" s="112">
        <v>4.4999999999999998E-2</v>
      </c>
      <c r="K255" s="36">
        <f>J255*E252</f>
        <v>43.199999999999996</v>
      </c>
      <c r="L255" s="33"/>
      <c r="M255" s="57">
        <f t="shared" si="31"/>
        <v>0</v>
      </c>
    </row>
    <row r="256" spans="1:13" s="11" customFormat="1" x14ac:dyDescent="0.25">
      <c r="A256" s="56"/>
      <c r="B256" s="139"/>
      <c r="C256" s="34"/>
      <c r="D256" s="35"/>
      <c r="E256" s="36"/>
      <c r="F256" s="18"/>
      <c r="G256" s="18"/>
      <c r="H256" s="34" t="s">
        <v>218</v>
      </c>
      <c r="I256" s="35" t="s">
        <v>16</v>
      </c>
      <c r="J256" s="121">
        <v>1.4999999999999999E-2</v>
      </c>
      <c r="K256" s="36">
        <f>J256*E252</f>
        <v>14.399999999999999</v>
      </c>
      <c r="L256" s="33"/>
      <c r="M256" s="57">
        <f t="shared" si="31"/>
        <v>0</v>
      </c>
    </row>
    <row r="257" spans="1:13" s="11" customFormat="1" x14ac:dyDescent="0.25">
      <c r="A257" s="56"/>
      <c r="B257" s="139"/>
      <c r="C257" s="34"/>
      <c r="D257" s="35"/>
      <c r="E257" s="36"/>
      <c r="F257" s="18"/>
      <c r="G257" s="18"/>
      <c r="H257" s="34" t="s">
        <v>115</v>
      </c>
      <c r="I257" s="35" t="s">
        <v>16</v>
      </c>
      <c r="J257" s="36">
        <v>1</v>
      </c>
      <c r="K257" s="36">
        <f>J257*E252</f>
        <v>960</v>
      </c>
      <c r="L257" s="33"/>
      <c r="M257" s="57">
        <f t="shared" ref="M257" si="35">K257*L257</f>
        <v>0</v>
      </c>
    </row>
    <row r="258" spans="1:13" s="11" customFormat="1" x14ac:dyDescent="0.25">
      <c r="A258" s="56">
        <v>86</v>
      </c>
      <c r="B258" s="188" t="s">
        <v>412</v>
      </c>
      <c r="C258" s="34" t="s">
        <v>118</v>
      </c>
      <c r="D258" s="35" t="s">
        <v>15</v>
      </c>
      <c r="E258" s="36">
        <f>0.3+1.5+1.05+0.3+0.3*2+0.65*4+1.2*10+0.95*3+0.3</f>
        <v>21.500000000000004</v>
      </c>
      <c r="F258" s="18"/>
      <c r="G258" s="18">
        <f>E258*F258</f>
        <v>0</v>
      </c>
      <c r="H258" s="10" t="s">
        <v>32</v>
      </c>
      <c r="I258" s="13" t="s">
        <v>16</v>
      </c>
      <c r="J258" s="36">
        <v>0.05</v>
      </c>
      <c r="K258" s="36">
        <f>J258*E258</f>
        <v>1.0750000000000002</v>
      </c>
      <c r="L258" s="99"/>
      <c r="M258" s="57">
        <f t="shared" si="31"/>
        <v>0</v>
      </c>
    </row>
    <row r="259" spans="1:13" s="11" customFormat="1" x14ac:dyDescent="0.25">
      <c r="A259" s="56"/>
      <c r="B259" s="139"/>
      <c r="C259" s="24"/>
      <c r="D259" s="37"/>
      <c r="E259" s="32"/>
      <c r="F259" s="18"/>
      <c r="G259" s="18"/>
      <c r="H259" s="10" t="s">
        <v>33</v>
      </c>
      <c r="I259" s="13" t="s">
        <v>16</v>
      </c>
      <c r="J259" s="36">
        <v>7.0000000000000007E-2</v>
      </c>
      <c r="K259" s="36">
        <f>J259*E258</f>
        <v>1.5050000000000003</v>
      </c>
      <c r="L259" s="18"/>
      <c r="M259" s="57">
        <f t="shared" si="31"/>
        <v>0</v>
      </c>
    </row>
    <row r="260" spans="1:13" s="11" customFormat="1" ht="25.5" x14ac:dyDescent="0.25">
      <c r="A260" s="56">
        <v>87</v>
      </c>
      <c r="B260" s="188" t="s">
        <v>413</v>
      </c>
      <c r="C260" s="24" t="s">
        <v>119</v>
      </c>
      <c r="D260" s="35" t="s">
        <v>15</v>
      </c>
      <c r="E260" s="36">
        <v>3</v>
      </c>
      <c r="F260" s="18"/>
      <c r="G260" s="18">
        <f>E260*F260</f>
        <v>0</v>
      </c>
      <c r="H260" s="10" t="s">
        <v>32</v>
      </c>
      <c r="I260" s="13" t="s">
        <v>16</v>
      </c>
      <c r="J260" s="36">
        <v>0.05</v>
      </c>
      <c r="K260" s="36">
        <f>J260*E260</f>
        <v>0.15000000000000002</v>
      </c>
      <c r="L260" s="99"/>
      <c r="M260" s="57">
        <f t="shared" si="31"/>
        <v>0</v>
      </c>
    </row>
    <row r="261" spans="1:13" s="11" customFormat="1" x14ac:dyDescent="0.25">
      <c r="A261" s="56"/>
      <c r="B261" s="139"/>
      <c r="C261" s="22"/>
      <c r="D261" s="8"/>
      <c r="E261" s="23"/>
      <c r="F261" s="18"/>
      <c r="G261" s="18"/>
      <c r="H261" s="10" t="s">
        <v>33</v>
      </c>
      <c r="I261" s="13" t="s">
        <v>16</v>
      </c>
      <c r="J261" s="36">
        <v>0.1</v>
      </c>
      <c r="K261" s="36">
        <f>J261*E260</f>
        <v>0.30000000000000004</v>
      </c>
      <c r="L261" s="18"/>
      <c r="M261" s="57">
        <f t="shared" si="31"/>
        <v>0</v>
      </c>
    </row>
    <row r="262" spans="1:13" s="11" customFormat="1" x14ac:dyDescent="0.25">
      <c r="A262" s="56"/>
      <c r="B262" s="139"/>
      <c r="C262" s="22"/>
      <c r="D262" s="8"/>
      <c r="E262" s="23"/>
      <c r="F262" s="18"/>
      <c r="G262" s="18"/>
      <c r="H262" s="10"/>
      <c r="I262" s="13"/>
      <c r="J262" s="36"/>
      <c r="K262" s="36"/>
      <c r="L262" s="18"/>
      <c r="M262" s="57"/>
    </row>
    <row r="263" spans="1:13" s="11" customFormat="1" x14ac:dyDescent="0.25">
      <c r="A263" s="56">
        <v>88</v>
      </c>
      <c r="B263" s="188" t="s">
        <v>414</v>
      </c>
      <c r="C263" s="98" t="s">
        <v>416</v>
      </c>
      <c r="D263" s="100" t="s">
        <v>12</v>
      </c>
      <c r="E263" s="104">
        <v>9</v>
      </c>
      <c r="F263" s="18"/>
      <c r="G263" s="18">
        <f>E263*F263</f>
        <v>0</v>
      </c>
      <c r="H263" s="98" t="s">
        <v>121</v>
      </c>
      <c r="I263" s="35" t="s">
        <v>16</v>
      </c>
      <c r="J263" s="36">
        <v>1</v>
      </c>
      <c r="K263" s="36">
        <f>J263*E263</f>
        <v>9</v>
      </c>
      <c r="L263" s="39"/>
      <c r="M263" s="57">
        <f>K263*L263</f>
        <v>0</v>
      </c>
    </row>
    <row r="264" spans="1:13" s="11" customFormat="1" x14ac:dyDescent="0.2">
      <c r="A264" s="56">
        <v>89</v>
      </c>
      <c r="B264" s="188" t="s">
        <v>369</v>
      </c>
      <c r="C264" s="22" t="s">
        <v>415</v>
      </c>
      <c r="D264" s="100" t="s">
        <v>12</v>
      </c>
      <c r="E264" s="36">
        <f>36+18-E263</f>
        <v>45</v>
      </c>
      <c r="F264" s="18"/>
      <c r="G264" s="18">
        <f>E264*F264</f>
        <v>0</v>
      </c>
      <c r="H264" s="38" t="s">
        <v>120</v>
      </c>
      <c r="I264" s="35" t="s">
        <v>16</v>
      </c>
      <c r="J264" s="36">
        <v>0.02</v>
      </c>
      <c r="K264" s="36">
        <f>J264*E264</f>
        <v>0.9</v>
      </c>
      <c r="L264" s="39"/>
      <c r="M264" s="57">
        <f t="shared" si="31"/>
        <v>0</v>
      </c>
    </row>
    <row r="265" spans="1:13" s="11" customFormat="1" ht="25.5" x14ac:dyDescent="0.25">
      <c r="A265" s="56"/>
      <c r="B265" s="139"/>
      <c r="C265" s="22"/>
      <c r="D265" s="8"/>
      <c r="E265" s="23"/>
      <c r="F265" s="18"/>
      <c r="G265" s="18"/>
      <c r="H265" s="34" t="s">
        <v>139</v>
      </c>
      <c r="I265" s="35" t="s">
        <v>11</v>
      </c>
      <c r="J265" s="36">
        <v>0.1</v>
      </c>
      <c r="K265" s="36">
        <f>J265*E264</f>
        <v>4.5</v>
      </c>
      <c r="L265" s="18"/>
      <c r="M265" s="57">
        <f t="shared" si="31"/>
        <v>0</v>
      </c>
    </row>
    <row r="266" spans="1:13" s="11" customFormat="1" x14ac:dyDescent="0.2">
      <c r="A266" s="56"/>
      <c r="B266" s="139"/>
      <c r="C266" s="22"/>
      <c r="D266" s="8"/>
      <c r="E266" s="23"/>
      <c r="F266" s="18"/>
      <c r="G266" s="18"/>
      <c r="H266" s="38" t="s">
        <v>121</v>
      </c>
      <c r="I266" s="35" t="s">
        <v>16</v>
      </c>
      <c r="J266" s="36">
        <v>1</v>
      </c>
      <c r="K266" s="36">
        <f>J266*E264</f>
        <v>45</v>
      </c>
      <c r="L266" s="39"/>
      <c r="M266" s="57">
        <f t="shared" si="31"/>
        <v>0</v>
      </c>
    </row>
    <row r="267" spans="1:13" s="11" customFormat="1" x14ac:dyDescent="0.2">
      <c r="A267" s="56">
        <v>90</v>
      </c>
      <c r="B267" s="188" t="s">
        <v>370</v>
      </c>
      <c r="C267" s="22" t="s">
        <v>195</v>
      </c>
      <c r="D267" s="8" t="s">
        <v>16</v>
      </c>
      <c r="E267" s="23">
        <v>5</v>
      </c>
      <c r="F267" s="18"/>
      <c r="G267" s="18">
        <f>E267*F267</f>
        <v>0</v>
      </c>
      <c r="H267" s="38" t="s">
        <v>120</v>
      </c>
      <c r="I267" s="35" t="s">
        <v>16</v>
      </c>
      <c r="J267" s="36">
        <v>0.02</v>
      </c>
      <c r="K267" s="36">
        <f>J267*E267</f>
        <v>0.1</v>
      </c>
      <c r="L267" s="39"/>
      <c r="M267" s="57">
        <f>K267*L267</f>
        <v>0</v>
      </c>
    </row>
    <row r="268" spans="1:13" s="11" customFormat="1" ht="25.5" x14ac:dyDescent="0.25">
      <c r="A268" s="56"/>
      <c r="B268" s="139"/>
      <c r="C268" s="22"/>
      <c r="D268" s="8"/>
      <c r="E268" s="23"/>
      <c r="F268" s="18"/>
      <c r="G268" s="18"/>
      <c r="H268" s="34" t="s">
        <v>139</v>
      </c>
      <c r="I268" s="35" t="s">
        <v>11</v>
      </c>
      <c r="J268" s="36">
        <v>0.1</v>
      </c>
      <c r="K268" s="36">
        <f>J268*E267</f>
        <v>0.5</v>
      </c>
      <c r="L268" s="18"/>
      <c r="M268" s="57">
        <f>K268*L268</f>
        <v>0</v>
      </c>
    </row>
    <row r="269" spans="1:13" s="11" customFormat="1" x14ac:dyDescent="0.2">
      <c r="A269" s="56"/>
      <c r="B269" s="139"/>
      <c r="C269" s="22"/>
      <c r="D269" s="8"/>
      <c r="E269" s="23"/>
      <c r="F269" s="18"/>
      <c r="G269" s="18"/>
      <c r="H269" s="38" t="s">
        <v>121</v>
      </c>
      <c r="I269" s="35" t="s">
        <v>16</v>
      </c>
      <c r="J269" s="36">
        <v>1</v>
      </c>
      <c r="K269" s="36">
        <f>J269*E267</f>
        <v>5</v>
      </c>
      <c r="L269" s="39"/>
      <c r="M269" s="57">
        <f>K269*L269</f>
        <v>0</v>
      </c>
    </row>
    <row r="270" spans="1:13" s="11" customFormat="1" x14ac:dyDescent="0.2">
      <c r="A270" s="56">
        <v>91</v>
      </c>
      <c r="B270" s="188" t="s">
        <v>371</v>
      </c>
      <c r="C270" s="111" t="s">
        <v>246</v>
      </c>
      <c r="D270" s="100" t="s">
        <v>12</v>
      </c>
      <c r="E270" s="231">
        <f>E263+E264+E267</f>
        <v>59</v>
      </c>
      <c r="F270" s="18"/>
      <c r="G270" s="18">
        <f>E270*F270</f>
        <v>0</v>
      </c>
      <c r="H270" s="200" t="s">
        <v>417</v>
      </c>
      <c r="I270" s="180" t="s">
        <v>155</v>
      </c>
      <c r="J270" s="181"/>
      <c r="K270" s="177">
        <v>23</v>
      </c>
      <c r="L270" s="174"/>
      <c r="M270" s="175">
        <f t="shared" ref="M270:M289" si="36">K270*L270*1.1</f>
        <v>0</v>
      </c>
    </row>
    <row r="271" spans="1:13" s="11" customFormat="1" ht="25.5" x14ac:dyDescent="0.2">
      <c r="A271" s="56"/>
      <c r="B271" s="139"/>
      <c r="C271" s="22"/>
      <c r="D271" s="8"/>
      <c r="E271" s="23"/>
      <c r="F271" s="18"/>
      <c r="G271" s="18"/>
      <c r="H271" s="200" t="s">
        <v>418</v>
      </c>
      <c r="I271" s="180" t="s">
        <v>155</v>
      </c>
      <c r="J271" s="181"/>
      <c r="K271" s="177">
        <v>9</v>
      </c>
      <c r="L271" s="174"/>
      <c r="M271" s="175">
        <f t="shared" si="36"/>
        <v>0</v>
      </c>
    </row>
    <row r="272" spans="1:13" s="11" customFormat="1" ht="25.5" x14ac:dyDescent="0.2">
      <c r="A272" s="56"/>
      <c r="B272" s="139"/>
      <c r="C272" s="22"/>
      <c r="D272" s="8"/>
      <c r="E272" s="23"/>
      <c r="F272" s="18"/>
      <c r="G272" s="18"/>
      <c r="H272" s="200" t="s">
        <v>419</v>
      </c>
      <c r="I272" s="180" t="s">
        <v>155</v>
      </c>
      <c r="J272" s="181"/>
      <c r="K272" s="177">
        <v>2</v>
      </c>
      <c r="L272" s="174"/>
      <c r="M272" s="175">
        <f t="shared" si="36"/>
        <v>0</v>
      </c>
    </row>
    <row r="273" spans="1:13" s="11" customFormat="1" ht="25.5" x14ac:dyDescent="0.2">
      <c r="A273" s="56"/>
      <c r="B273" s="139"/>
      <c r="C273" s="22"/>
      <c r="D273" s="8"/>
      <c r="E273" s="23"/>
      <c r="F273" s="18"/>
      <c r="G273" s="18"/>
      <c r="H273" s="200" t="s">
        <v>420</v>
      </c>
      <c r="I273" s="180" t="s">
        <v>155</v>
      </c>
      <c r="J273" s="181"/>
      <c r="K273" s="177">
        <v>2</v>
      </c>
      <c r="L273" s="174"/>
      <c r="M273" s="175">
        <f t="shared" si="36"/>
        <v>0</v>
      </c>
    </row>
    <row r="274" spans="1:13" s="11" customFormat="1" x14ac:dyDescent="0.2">
      <c r="A274" s="56"/>
      <c r="B274" s="139"/>
      <c r="C274" s="22"/>
      <c r="D274" s="8"/>
      <c r="E274" s="23"/>
      <c r="F274" s="18"/>
      <c r="G274" s="18"/>
      <c r="H274" s="200" t="s">
        <v>421</v>
      </c>
      <c r="I274" s="180" t="s">
        <v>16</v>
      </c>
      <c r="J274" s="181"/>
      <c r="K274" s="177">
        <v>2</v>
      </c>
      <c r="L274" s="174"/>
      <c r="M274" s="175">
        <f t="shared" si="36"/>
        <v>0</v>
      </c>
    </row>
    <row r="275" spans="1:13" s="11" customFormat="1" ht="25.5" x14ac:dyDescent="0.2">
      <c r="A275" s="56"/>
      <c r="B275" s="139"/>
      <c r="C275" s="22"/>
      <c r="D275" s="8"/>
      <c r="E275" s="23"/>
      <c r="F275" s="18"/>
      <c r="G275" s="18"/>
      <c r="H275" s="200" t="s">
        <v>422</v>
      </c>
      <c r="I275" s="180" t="s">
        <v>16</v>
      </c>
      <c r="J275" s="181"/>
      <c r="K275" s="177">
        <v>1</v>
      </c>
      <c r="L275" s="174"/>
      <c r="M275" s="175">
        <f t="shared" si="36"/>
        <v>0</v>
      </c>
    </row>
    <row r="276" spans="1:13" s="11" customFormat="1" ht="25.5" x14ac:dyDescent="0.2">
      <c r="A276" s="56"/>
      <c r="B276" s="139"/>
      <c r="C276" s="22"/>
      <c r="D276" s="8"/>
      <c r="E276" s="23"/>
      <c r="F276" s="18"/>
      <c r="G276" s="18"/>
      <c r="H276" s="200" t="s">
        <v>423</v>
      </c>
      <c r="I276" s="180" t="s">
        <v>16</v>
      </c>
      <c r="J276" s="181"/>
      <c r="K276" s="177">
        <v>3</v>
      </c>
      <c r="L276" s="174"/>
      <c r="M276" s="175">
        <f t="shared" si="36"/>
        <v>0</v>
      </c>
    </row>
    <row r="277" spans="1:13" s="11" customFormat="1" ht="25.5" x14ac:dyDescent="0.2">
      <c r="A277" s="56"/>
      <c r="B277" s="139"/>
      <c r="C277" s="22"/>
      <c r="D277" s="8"/>
      <c r="E277" s="23"/>
      <c r="F277" s="18"/>
      <c r="G277" s="18"/>
      <c r="H277" s="200" t="s">
        <v>424</v>
      </c>
      <c r="I277" s="180" t="s">
        <v>16</v>
      </c>
      <c r="J277" s="181"/>
      <c r="K277" s="177">
        <v>3</v>
      </c>
      <c r="L277" s="174"/>
      <c r="M277" s="175">
        <f>K277*L277*1.1</f>
        <v>0</v>
      </c>
    </row>
    <row r="278" spans="1:13" s="11" customFormat="1" ht="25.5" x14ac:dyDescent="0.2">
      <c r="A278" s="56"/>
      <c r="B278" s="139"/>
      <c r="C278" s="22"/>
      <c r="D278" s="8"/>
      <c r="E278" s="23"/>
      <c r="F278" s="18"/>
      <c r="G278" s="18"/>
      <c r="H278" s="200" t="s">
        <v>425</v>
      </c>
      <c r="I278" s="180" t="s">
        <v>16</v>
      </c>
      <c r="J278" s="181"/>
      <c r="K278" s="177">
        <v>1</v>
      </c>
      <c r="L278" s="174"/>
      <c r="M278" s="175">
        <f t="shared" si="36"/>
        <v>0</v>
      </c>
    </row>
    <row r="279" spans="1:13" s="11" customFormat="1" x14ac:dyDescent="0.2">
      <c r="A279" s="56"/>
      <c r="B279" s="139"/>
      <c r="C279" s="22"/>
      <c r="D279" s="8"/>
      <c r="E279" s="23"/>
      <c r="F279" s="18"/>
      <c r="G279" s="18"/>
      <c r="H279" s="200" t="s">
        <v>426</v>
      </c>
      <c r="I279" s="180" t="s">
        <v>16</v>
      </c>
      <c r="J279" s="181"/>
      <c r="K279" s="177">
        <v>2</v>
      </c>
      <c r="L279" s="174"/>
      <c r="M279" s="175">
        <f t="shared" si="36"/>
        <v>0</v>
      </c>
    </row>
    <row r="280" spans="1:13" s="11" customFormat="1" ht="25.5" x14ac:dyDescent="0.2">
      <c r="A280" s="56"/>
      <c r="B280" s="139"/>
      <c r="C280" s="22"/>
      <c r="D280" s="8"/>
      <c r="E280" s="23"/>
      <c r="F280" s="18"/>
      <c r="G280" s="18"/>
      <c r="H280" s="200" t="s">
        <v>427</v>
      </c>
      <c r="I280" s="180" t="s">
        <v>16</v>
      </c>
      <c r="J280" s="181"/>
      <c r="K280" s="177">
        <v>1</v>
      </c>
      <c r="L280" s="174"/>
      <c r="M280" s="175">
        <f t="shared" ref="M280:M281" si="37">K280*L280*1.1</f>
        <v>0</v>
      </c>
    </row>
    <row r="281" spans="1:13" s="11" customFormat="1" ht="25.5" x14ac:dyDescent="0.2">
      <c r="A281" s="56"/>
      <c r="B281" s="139"/>
      <c r="C281" s="22"/>
      <c r="D281" s="8"/>
      <c r="E281" s="23"/>
      <c r="F281" s="18"/>
      <c r="G281" s="18"/>
      <c r="H281" s="200" t="s">
        <v>428</v>
      </c>
      <c r="I281" s="180" t="s">
        <v>16</v>
      </c>
      <c r="J281" s="181"/>
      <c r="K281" s="177">
        <v>5</v>
      </c>
      <c r="L281" s="174"/>
      <c r="M281" s="175">
        <f t="shared" si="37"/>
        <v>0</v>
      </c>
    </row>
    <row r="282" spans="1:13" s="11" customFormat="1" x14ac:dyDescent="0.2">
      <c r="A282" s="56"/>
      <c r="B282" s="139"/>
      <c r="C282" s="22"/>
      <c r="D282" s="8"/>
      <c r="E282" s="23"/>
      <c r="F282" s="18"/>
      <c r="G282" s="18"/>
      <c r="H282" s="200" t="s">
        <v>429</v>
      </c>
      <c r="I282" s="180" t="s">
        <v>155</v>
      </c>
      <c r="J282" s="181"/>
      <c r="K282" s="177">
        <v>2</v>
      </c>
      <c r="L282" s="174"/>
      <c r="M282" s="175">
        <f>K282*L282*1.1</f>
        <v>0</v>
      </c>
    </row>
    <row r="283" spans="1:13" s="11" customFormat="1" x14ac:dyDescent="0.2">
      <c r="A283" s="56"/>
      <c r="B283" s="139"/>
      <c r="C283" s="22"/>
      <c r="D283" s="8"/>
      <c r="E283" s="23"/>
      <c r="F283" s="18"/>
      <c r="G283" s="18"/>
      <c r="H283" s="200" t="s">
        <v>430</v>
      </c>
      <c r="I283" s="180" t="s">
        <v>155</v>
      </c>
      <c r="J283" s="181"/>
      <c r="K283" s="177">
        <v>3</v>
      </c>
      <c r="L283" s="174"/>
      <c r="M283" s="175">
        <f>K283*L283*1.1</f>
        <v>0</v>
      </c>
    </row>
    <row r="284" spans="1:13" s="11" customFormat="1" x14ac:dyDescent="0.2">
      <c r="A284" s="56"/>
      <c r="B284" s="139"/>
      <c r="C284" s="22"/>
      <c r="D284" s="8"/>
      <c r="E284" s="23"/>
      <c r="F284" s="18"/>
      <c r="G284" s="18"/>
      <c r="H284" s="200" t="s">
        <v>431</v>
      </c>
      <c r="I284" s="180" t="s">
        <v>16</v>
      </c>
      <c r="J284" s="181"/>
      <c r="K284" s="177">
        <v>12</v>
      </c>
      <c r="L284" s="174"/>
      <c r="M284" s="175">
        <f t="shared" si="36"/>
        <v>0</v>
      </c>
    </row>
    <row r="285" spans="1:13" s="11" customFormat="1" x14ac:dyDescent="0.2">
      <c r="A285" s="56"/>
      <c r="B285" s="139"/>
      <c r="C285" s="22"/>
      <c r="D285" s="8"/>
      <c r="E285" s="23"/>
      <c r="F285" s="18"/>
      <c r="G285" s="18"/>
      <c r="H285" s="200" t="s">
        <v>432</v>
      </c>
      <c r="I285" s="180" t="s">
        <v>16</v>
      </c>
      <c r="J285" s="181"/>
      <c r="K285" s="177">
        <v>8</v>
      </c>
      <c r="L285" s="174"/>
      <c r="M285" s="175">
        <f t="shared" si="36"/>
        <v>0</v>
      </c>
    </row>
    <row r="286" spans="1:13" s="11" customFormat="1" x14ac:dyDescent="0.2">
      <c r="A286" s="56"/>
      <c r="B286" s="139"/>
      <c r="C286" s="22"/>
      <c r="D286" s="8"/>
      <c r="E286" s="23"/>
      <c r="F286" s="18"/>
      <c r="G286" s="18"/>
      <c r="H286" s="200" t="s">
        <v>433</v>
      </c>
      <c r="I286" s="180" t="s">
        <v>16</v>
      </c>
      <c r="J286" s="181"/>
      <c r="K286" s="177">
        <v>4</v>
      </c>
      <c r="L286" s="174"/>
      <c r="M286" s="175">
        <f t="shared" si="36"/>
        <v>0</v>
      </c>
    </row>
    <row r="287" spans="1:13" s="11" customFormat="1" x14ac:dyDescent="0.2">
      <c r="A287" s="56"/>
      <c r="B287" s="139"/>
      <c r="C287" s="22"/>
      <c r="D287" s="8"/>
      <c r="E287" s="23"/>
      <c r="F287" s="18"/>
      <c r="G287" s="18"/>
      <c r="H287" s="200" t="s">
        <v>434</v>
      </c>
      <c r="I287" s="180" t="s">
        <v>16</v>
      </c>
      <c r="J287" s="181"/>
      <c r="K287" s="177">
        <v>1</v>
      </c>
      <c r="L287" s="174"/>
      <c r="M287" s="175">
        <f t="shared" ref="M287" si="38">K287*L287*1.1</f>
        <v>0</v>
      </c>
    </row>
    <row r="288" spans="1:13" s="11" customFormat="1" x14ac:dyDescent="0.2">
      <c r="A288" s="56"/>
      <c r="B288" s="139"/>
      <c r="C288" s="22"/>
      <c r="D288" s="8"/>
      <c r="E288" s="23"/>
      <c r="F288" s="18"/>
      <c r="G288" s="18"/>
      <c r="H288" s="200" t="s">
        <v>435</v>
      </c>
      <c r="I288" s="180" t="s">
        <v>16</v>
      </c>
      <c r="J288" s="181"/>
      <c r="K288" s="177">
        <v>1</v>
      </c>
      <c r="L288" s="174"/>
      <c r="M288" s="175">
        <f t="shared" si="36"/>
        <v>0</v>
      </c>
    </row>
    <row r="289" spans="1:13" s="11" customFormat="1" x14ac:dyDescent="0.2">
      <c r="A289" s="56"/>
      <c r="B289" s="139"/>
      <c r="C289" s="22"/>
      <c r="D289" s="8"/>
      <c r="E289" s="23"/>
      <c r="F289" s="18"/>
      <c r="G289" s="18"/>
      <c r="H289" s="200" t="s">
        <v>436</v>
      </c>
      <c r="I289" s="180" t="s">
        <v>16</v>
      </c>
      <c r="J289" s="181"/>
      <c r="K289" s="177">
        <v>2</v>
      </c>
      <c r="L289" s="174"/>
      <c r="M289" s="175">
        <f t="shared" si="36"/>
        <v>0</v>
      </c>
    </row>
    <row r="290" spans="1:13" s="11" customFormat="1" ht="13.5" customHeight="1" x14ac:dyDescent="0.25">
      <c r="A290" s="56">
        <v>92</v>
      </c>
      <c r="B290" s="188" t="s">
        <v>377</v>
      </c>
      <c r="C290" s="24" t="s">
        <v>372</v>
      </c>
      <c r="D290" s="8" t="s">
        <v>16</v>
      </c>
      <c r="E290" s="23">
        <v>4</v>
      </c>
      <c r="F290" s="18"/>
      <c r="G290" s="18">
        <f>E290*F290</f>
        <v>0</v>
      </c>
      <c r="H290" s="22" t="s">
        <v>122</v>
      </c>
      <c r="I290" s="35" t="s">
        <v>16</v>
      </c>
      <c r="J290" s="36">
        <v>3</v>
      </c>
      <c r="K290" s="36">
        <f>J290*E290</f>
        <v>12</v>
      </c>
      <c r="L290" s="39"/>
      <c r="M290" s="57">
        <f t="shared" ref="M290:M324" si="39">K290*L290</f>
        <v>0</v>
      </c>
    </row>
    <row r="291" spans="1:13" s="11" customFormat="1" ht="13.5" customHeight="1" x14ac:dyDescent="0.2">
      <c r="A291" s="56"/>
      <c r="B291" s="139"/>
      <c r="C291" s="22"/>
      <c r="D291" s="8"/>
      <c r="E291" s="23"/>
      <c r="F291" s="18"/>
      <c r="G291" s="18"/>
      <c r="H291" s="200" t="s">
        <v>373</v>
      </c>
      <c r="I291" s="180" t="s">
        <v>12</v>
      </c>
      <c r="J291" s="181"/>
      <c r="K291" s="181">
        <v>1</v>
      </c>
      <c r="L291" s="174"/>
      <c r="M291" s="175">
        <f>K291*L291*1.2</f>
        <v>0</v>
      </c>
    </row>
    <row r="292" spans="1:13" s="11" customFormat="1" x14ac:dyDescent="0.25">
      <c r="A292" s="56"/>
      <c r="B292" s="139"/>
      <c r="C292" s="24"/>
      <c r="D292" s="37"/>
      <c r="E292" s="18"/>
      <c r="F292" s="18"/>
      <c r="G292" s="18"/>
      <c r="H292" s="190" t="s">
        <v>374</v>
      </c>
      <c r="I292" s="191" t="s">
        <v>12</v>
      </c>
      <c r="J292" s="181"/>
      <c r="K292" s="177">
        <v>1</v>
      </c>
      <c r="L292" s="177"/>
      <c r="M292" s="175">
        <f t="shared" ref="M292:M295" si="40">K292*L292*1.1</f>
        <v>0</v>
      </c>
    </row>
    <row r="293" spans="1:13" s="11" customFormat="1" x14ac:dyDescent="0.25">
      <c r="A293" s="56"/>
      <c r="B293" s="139"/>
      <c r="C293" s="24"/>
      <c r="D293" s="37"/>
      <c r="E293" s="18"/>
      <c r="F293" s="18"/>
      <c r="G293" s="18"/>
      <c r="H293" s="190" t="s">
        <v>375</v>
      </c>
      <c r="I293" s="191" t="s">
        <v>12</v>
      </c>
      <c r="J293" s="181"/>
      <c r="K293" s="177">
        <v>1</v>
      </c>
      <c r="L293" s="177"/>
      <c r="M293" s="175">
        <f t="shared" ref="M293:M294" si="41">K293*L293*1.1</f>
        <v>0</v>
      </c>
    </row>
    <row r="294" spans="1:13" s="11" customFormat="1" x14ac:dyDescent="0.25">
      <c r="A294" s="56"/>
      <c r="B294" s="139"/>
      <c r="C294" s="22"/>
      <c r="D294" s="8"/>
      <c r="E294" s="23"/>
      <c r="F294" s="18"/>
      <c r="G294" s="18"/>
      <c r="H294" s="193" t="s">
        <v>502</v>
      </c>
      <c r="I294" s="191" t="s">
        <v>12</v>
      </c>
      <c r="J294" s="177"/>
      <c r="K294" s="177">
        <v>2</v>
      </c>
      <c r="L294" s="194"/>
      <c r="M294" s="175">
        <f t="shared" si="41"/>
        <v>0</v>
      </c>
    </row>
    <row r="295" spans="1:13" s="11" customFormat="1" x14ac:dyDescent="0.2">
      <c r="A295" s="56"/>
      <c r="B295" s="139"/>
      <c r="C295" s="22"/>
      <c r="D295" s="8"/>
      <c r="E295" s="23"/>
      <c r="F295" s="18"/>
      <c r="G295" s="18"/>
      <c r="H295" s="200" t="s">
        <v>376</v>
      </c>
      <c r="I295" s="180" t="s">
        <v>12</v>
      </c>
      <c r="J295" s="181"/>
      <c r="K295" s="181">
        <v>1</v>
      </c>
      <c r="L295" s="194"/>
      <c r="M295" s="175">
        <f t="shared" si="40"/>
        <v>0</v>
      </c>
    </row>
    <row r="296" spans="1:13" s="11" customFormat="1" x14ac:dyDescent="0.25">
      <c r="A296" s="56">
        <v>93</v>
      </c>
      <c r="B296" s="188" t="s">
        <v>379</v>
      </c>
      <c r="C296" s="22" t="s">
        <v>123</v>
      </c>
      <c r="D296" s="8" t="s">
        <v>16</v>
      </c>
      <c r="E296" s="23">
        <v>1</v>
      </c>
      <c r="F296" s="18"/>
      <c r="G296" s="18">
        <f>E296*F296</f>
        <v>0</v>
      </c>
      <c r="H296" s="22" t="s">
        <v>122</v>
      </c>
      <c r="I296" s="35" t="s">
        <v>16</v>
      </c>
      <c r="J296" s="36">
        <v>3</v>
      </c>
      <c r="K296" s="36">
        <f>J296*E296</f>
        <v>3</v>
      </c>
      <c r="L296" s="39"/>
      <c r="M296" s="57">
        <f t="shared" si="39"/>
        <v>0</v>
      </c>
    </row>
    <row r="297" spans="1:13" s="11" customFormat="1" x14ac:dyDescent="0.25">
      <c r="A297" s="56"/>
      <c r="B297" s="139"/>
      <c r="C297" s="22"/>
      <c r="D297" s="8"/>
      <c r="E297" s="23"/>
      <c r="F297" s="18"/>
      <c r="G297" s="18"/>
      <c r="H297" s="170" t="s">
        <v>238</v>
      </c>
      <c r="I297" s="180" t="s">
        <v>12</v>
      </c>
      <c r="J297" s="181"/>
      <c r="K297" s="181">
        <v>1</v>
      </c>
      <c r="L297" s="174"/>
      <c r="M297" s="175">
        <f>K297*L297*1.2</f>
        <v>0</v>
      </c>
    </row>
    <row r="298" spans="1:13" s="11" customFormat="1" x14ac:dyDescent="0.25">
      <c r="A298" s="56">
        <v>94</v>
      </c>
      <c r="B298" s="188" t="s">
        <v>380</v>
      </c>
      <c r="C298" s="22" t="s">
        <v>124</v>
      </c>
      <c r="D298" s="8" t="s">
        <v>10</v>
      </c>
      <c r="E298" s="23">
        <v>1</v>
      </c>
      <c r="F298" s="18"/>
      <c r="G298" s="18">
        <f>E298*F298</f>
        <v>0</v>
      </c>
      <c r="H298" s="170" t="s">
        <v>381</v>
      </c>
      <c r="I298" s="180" t="s">
        <v>10</v>
      </c>
      <c r="J298" s="181"/>
      <c r="K298" s="181">
        <v>1</v>
      </c>
      <c r="L298" s="174"/>
      <c r="M298" s="175">
        <f t="shared" ref="M298" si="42">K298*L298*1.1</f>
        <v>0</v>
      </c>
    </row>
    <row r="299" spans="1:13" s="11" customFormat="1" x14ac:dyDescent="0.25">
      <c r="A299" s="56">
        <v>95</v>
      </c>
      <c r="B299" s="188" t="s">
        <v>383</v>
      </c>
      <c r="C299" s="22" t="s">
        <v>382</v>
      </c>
      <c r="D299" s="8" t="s">
        <v>16</v>
      </c>
      <c r="E299" s="23">
        <v>1</v>
      </c>
      <c r="F299" s="18"/>
      <c r="G299" s="18">
        <f>E299*F299</f>
        <v>0</v>
      </c>
      <c r="H299" s="34" t="s">
        <v>114</v>
      </c>
      <c r="I299" s="35" t="s">
        <v>16</v>
      </c>
      <c r="J299" s="36">
        <v>1</v>
      </c>
      <c r="K299" s="36">
        <f>E299*J299</f>
        <v>1</v>
      </c>
      <c r="L299" s="39"/>
      <c r="M299" s="57">
        <f t="shared" si="39"/>
        <v>0</v>
      </c>
    </row>
    <row r="300" spans="1:13" s="11" customFormat="1" x14ac:dyDescent="0.2">
      <c r="A300" s="56"/>
      <c r="B300" s="139"/>
      <c r="C300" s="22"/>
      <c r="D300" s="8"/>
      <c r="E300" s="23"/>
      <c r="F300" s="18"/>
      <c r="G300" s="18"/>
      <c r="H300" s="38" t="s">
        <v>207</v>
      </c>
      <c r="I300" s="35" t="s">
        <v>13</v>
      </c>
      <c r="J300" s="36"/>
      <c r="K300" s="36">
        <v>3</v>
      </c>
      <c r="L300" s="39"/>
      <c r="M300" s="57">
        <f t="shared" si="39"/>
        <v>0</v>
      </c>
    </row>
    <row r="301" spans="1:13" s="11" customFormat="1" x14ac:dyDescent="0.2">
      <c r="A301" s="56"/>
      <c r="B301" s="139"/>
      <c r="C301" s="22"/>
      <c r="D301" s="8"/>
      <c r="E301" s="23"/>
      <c r="F301" s="18"/>
      <c r="G301" s="18"/>
      <c r="H301" s="200" t="s">
        <v>384</v>
      </c>
      <c r="I301" s="180" t="s">
        <v>12</v>
      </c>
      <c r="J301" s="181"/>
      <c r="K301" s="181">
        <v>1</v>
      </c>
      <c r="L301" s="201"/>
      <c r="M301" s="175">
        <f t="shared" ref="M301:M305" si="43">K301*L301*1.1</f>
        <v>0</v>
      </c>
    </row>
    <row r="302" spans="1:13" s="11" customFormat="1" x14ac:dyDescent="0.2">
      <c r="A302" s="56">
        <v>96</v>
      </c>
      <c r="B302" s="139"/>
      <c r="C302" s="22" t="s">
        <v>493</v>
      </c>
      <c r="D302" s="8" t="s">
        <v>155</v>
      </c>
      <c r="E302" s="23">
        <v>1</v>
      </c>
      <c r="F302" s="18"/>
      <c r="G302" s="18">
        <f>E302*F302</f>
        <v>0</v>
      </c>
      <c r="H302" s="200" t="s">
        <v>494</v>
      </c>
      <c r="I302" s="180" t="s">
        <v>12</v>
      </c>
      <c r="J302" s="181"/>
      <c r="K302" s="181">
        <v>1</v>
      </c>
      <c r="L302" s="201"/>
      <c r="M302" s="175">
        <f t="shared" ref="M302" si="44">K302*L302*1.1</f>
        <v>0</v>
      </c>
    </row>
    <row r="303" spans="1:13" s="11" customFormat="1" ht="15" customHeight="1" x14ac:dyDescent="0.25">
      <c r="A303" s="56">
        <v>97</v>
      </c>
      <c r="B303" s="188" t="s">
        <v>385</v>
      </c>
      <c r="C303" s="22" t="s">
        <v>214</v>
      </c>
      <c r="D303" s="8" t="s">
        <v>16</v>
      </c>
      <c r="E303" s="23">
        <v>3</v>
      </c>
      <c r="F303" s="18"/>
      <c r="G303" s="18">
        <f>E303*F303</f>
        <v>0</v>
      </c>
      <c r="H303" s="190" t="s">
        <v>386</v>
      </c>
      <c r="I303" s="180" t="s">
        <v>12</v>
      </c>
      <c r="J303" s="177"/>
      <c r="K303" s="177">
        <v>1</v>
      </c>
      <c r="L303" s="174"/>
      <c r="M303" s="175">
        <f t="shared" si="43"/>
        <v>0</v>
      </c>
    </row>
    <row r="304" spans="1:13" s="11" customFormat="1" x14ac:dyDescent="0.25">
      <c r="A304" s="56"/>
      <c r="B304" s="139"/>
      <c r="C304" s="22"/>
      <c r="D304" s="8"/>
      <c r="E304" s="23"/>
      <c r="F304" s="18"/>
      <c r="G304" s="18"/>
      <c r="H304" s="193" t="s">
        <v>387</v>
      </c>
      <c r="I304" s="191" t="s">
        <v>12</v>
      </c>
      <c r="J304" s="177"/>
      <c r="K304" s="177">
        <v>1</v>
      </c>
      <c r="L304" s="199"/>
      <c r="M304" s="175">
        <f>K304*L304*1.2</f>
        <v>0</v>
      </c>
    </row>
    <row r="305" spans="1:13" s="11" customFormat="1" x14ac:dyDescent="0.25">
      <c r="A305" s="56"/>
      <c r="B305" s="139"/>
      <c r="C305" s="22"/>
      <c r="D305" s="8"/>
      <c r="E305" s="23"/>
      <c r="F305" s="18"/>
      <c r="G305" s="18"/>
      <c r="H305" s="193" t="s">
        <v>388</v>
      </c>
      <c r="I305" s="191" t="s">
        <v>12</v>
      </c>
      <c r="J305" s="177"/>
      <c r="K305" s="177">
        <v>1</v>
      </c>
      <c r="L305" s="194"/>
      <c r="M305" s="175">
        <f t="shared" si="43"/>
        <v>0</v>
      </c>
    </row>
    <row r="306" spans="1:13" s="11" customFormat="1" ht="38.25" x14ac:dyDescent="0.25">
      <c r="A306" s="56">
        <v>98</v>
      </c>
      <c r="B306" s="188" t="s">
        <v>389</v>
      </c>
      <c r="C306" s="24" t="s">
        <v>170</v>
      </c>
      <c r="D306" s="8" t="s">
        <v>16</v>
      </c>
      <c r="E306" s="23">
        <f>32+4</f>
        <v>36</v>
      </c>
      <c r="F306" s="18"/>
      <c r="G306" s="18">
        <f>E306*F306</f>
        <v>0</v>
      </c>
      <c r="H306" s="24" t="s">
        <v>122</v>
      </c>
      <c r="I306" s="35" t="s">
        <v>12</v>
      </c>
      <c r="J306" s="36">
        <v>3</v>
      </c>
      <c r="K306" s="36">
        <f>J306*E306</f>
        <v>108</v>
      </c>
      <c r="L306" s="39"/>
      <c r="M306" s="57">
        <f t="shared" si="39"/>
        <v>0</v>
      </c>
    </row>
    <row r="307" spans="1:13" s="11" customFormat="1" ht="38.25" x14ac:dyDescent="0.25">
      <c r="A307" s="56"/>
      <c r="B307" s="139"/>
      <c r="C307" s="22"/>
      <c r="D307" s="8"/>
      <c r="E307" s="23"/>
      <c r="F307" s="18"/>
      <c r="G307" s="18"/>
      <c r="H307" s="193" t="s">
        <v>392</v>
      </c>
      <c r="I307" s="180" t="s">
        <v>12</v>
      </c>
      <c r="J307" s="181"/>
      <c r="K307" s="177">
        <v>32</v>
      </c>
      <c r="L307" s="174"/>
      <c r="M307" s="175">
        <f>K307*L307*1.3</f>
        <v>0</v>
      </c>
    </row>
    <row r="308" spans="1:13" s="11" customFormat="1" ht="38.25" x14ac:dyDescent="0.25">
      <c r="A308" s="56"/>
      <c r="B308" s="139"/>
      <c r="C308" s="22"/>
      <c r="D308" s="8"/>
      <c r="E308" s="23"/>
      <c r="F308" s="18"/>
      <c r="G308" s="18"/>
      <c r="H308" s="193" t="s">
        <v>393</v>
      </c>
      <c r="I308" s="180" t="s">
        <v>12</v>
      </c>
      <c r="J308" s="181"/>
      <c r="K308" s="181">
        <v>4</v>
      </c>
      <c r="L308" s="174"/>
      <c r="M308" s="175">
        <f t="shared" ref="M308" si="45">K308*L308*1.3</f>
        <v>0</v>
      </c>
    </row>
    <row r="309" spans="1:13" s="11" customFormat="1" x14ac:dyDescent="0.25">
      <c r="A309" s="56"/>
      <c r="B309" s="139"/>
      <c r="C309" s="22"/>
      <c r="D309" s="8"/>
      <c r="E309" s="23"/>
      <c r="F309" s="18"/>
      <c r="G309" s="18"/>
      <c r="H309" s="193" t="s">
        <v>390</v>
      </c>
      <c r="I309" s="180" t="s">
        <v>12</v>
      </c>
      <c r="J309" s="181"/>
      <c r="K309" s="181">
        <f>32+4</f>
        <v>36</v>
      </c>
      <c r="L309" s="174"/>
      <c r="M309" s="175">
        <f>K309*L309*1.1</f>
        <v>0</v>
      </c>
    </row>
    <row r="310" spans="1:13" s="11" customFormat="1" ht="25.5" x14ac:dyDescent="0.25">
      <c r="A310" s="56">
        <v>99</v>
      </c>
      <c r="B310" s="188" t="s">
        <v>391</v>
      </c>
      <c r="C310" s="24" t="s">
        <v>171</v>
      </c>
      <c r="D310" s="8" t="s">
        <v>16</v>
      </c>
      <c r="E310" s="23">
        <v>2</v>
      </c>
      <c r="F310" s="18"/>
      <c r="G310" s="18">
        <f>E310*F310</f>
        <v>0</v>
      </c>
      <c r="H310" s="24" t="s">
        <v>122</v>
      </c>
      <c r="I310" s="35" t="s">
        <v>12</v>
      </c>
      <c r="J310" s="36">
        <v>3</v>
      </c>
      <c r="K310" s="36">
        <f>J310*E310</f>
        <v>6</v>
      </c>
      <c r="L310" s="39"/>
      <c r="M310" s="57">
        <f t="shared" si="39"/>
        <v>0</v>
      </c>
    </row>
    <row r="311" spans="1:13" s="11" customFormat="1" x14ac:dyDescent="0.25">
      <c r="A311" s="56"/>
      <c r="B311" s="139"/>
      <c r="C311" s="24"/>
      <c r="D311" s="8"/>
      <c r="E311" s="23"/>
      <c r="F311" s="18"/>
      <c r="G311" s="18"/>
      <c r="H311" s="170" t="s">
        <v>394</v>
      </c>
      <c r="I311" s="180" t="s">
        <v>12</v>
      </c>
      <c r="J311" s="181"/>
      <c r="K311" s="181">
        <v>1</v>
      </c>
      <c r="L311" s="174"/>
      <c r="M311" s="175">
        <f>K311*L311*1.1</f>
        <v>0</v>
      </c>
    </row>
    <row r="312" spans="1:13" s="11" customFormat="1" x14ac:dyDescent="0.25">
      <c r="A312" s="56"/>
      <c r="B312" s="139"/>
      <c r="C312" s="24"/>
      <c r="D312" s="8"/>
      <c r="E312" s="23"/>
      <c r="F312" s="18"/>
      <c r="G312" s="18"/>
      <c r="H312" s="170" t="s">
        <v>395</v>
      </c>
      <c r="I312" s="180" t="s">
        <v>12</v>
      </c>
      <c r="J312" s="181"/>
      <c r="K312" s="181">
        <v>1</v>
      </c>
      <c r="L312" s="174"/>
      <c r="M312" s="175">
        <f>K312*L312*1.1</f>
        <v>0</v>
      </c>
    </row>
    <row r="313" spans="1:13" s="11" customFormat="1" x14ac:dyDescent="0.25">
      <c r="A313" s="56"/>
      <c r="B313" s="139"/>
      <c r="C313" s="24"/>
      <c r="D313" s="8"/>
      <c r="E313" s="23"/>
      <c r="F313" s="18"/>
      <c r="G313" s="18"/>
      <c r="H313" s="170" t="s">
        <v>390</v>
      </c>
      <c r="I313" s="180" t="s">
        <v>12</v>
      </c>
      <c r="J313" s="181"/>
      <c r="K313" s="181">
        <f>3+8</f>
        <v>11</v>
      </c>
      <c r="L313" s="174"/>
      <c r="M313" s="175">
        <f>K313*L313*1.1</f>
        <v>0</v>
      </c>
    </row>
    <row r="314" spans="1:13" s="11" customFormat="1" ht="25.5" x14ac:dyDescent="0.25">
      <c r="A314" s="56">
        <v>100</v>
      </c>
      <c r="B314" s="188" t="s">
        <v>396</v>
      </c>
      <c r="C314" s="22" t="s">
        <v>397</v>
      </c>
      <c r="D314" s="8" t="s">
        <v>16</v>
      </c>
      <c r="E314" s="23">
        <f>3+1</f>
        <v>4</v>
      </c>
      <c r="F314" s="18"/>
      <c r="G314" s="18">
        <f>E314*F314</f>
        <v>0</v>
      </c>
      <c r="H314" s="193" t="s">
        <v>398</v>
      </c>
      <c r="I314" s="180" t="s">
        <v>12</v>
      </c>
      <c r="J314" s="181"/>
      <c r="K314" s="181">
        <v>2</v>
      </c>
      <c r="L314" s="201"/>
      <c r="M314" s="175">
        <f>K314*L314*1.1</f>
        <v>0</v>
      </c>
    </row>
    <row r="315" spans="1:13" s="11" customFormat="1" x14ac:dyDescent="0.25">
      <c r="A315" s="56"/>
      <c r="B315" s="139"/>
      <c r="C315" s="24"/>
      <c r="D315" s="8"/>
      <c r="E315" s="23"/>
      <c r="F315" s="18"/>
      <c r="G315" s="18"/>
      <c r="H315" s="170" t="s">
        <v>390</v>
      </c>
      <c r="I315" s="180" t="s">
        <v>12</v>
      </c>
      <c r="J315" s="181"/>
      <c r="K315" s="181">
        <v>2</v>
      </c>
      <c r="L315" s="174"/>
      <c r="M315" s="175">
        <f>K315*L315*1.1</f>
        <v>0</v>
      </c>
    </row>
    <row r="316" spans="1:13" s="11" customFormat="1" ht="25.5" x14ac:dyDescent="0.25">
      <c r="A316" s="56">
        <v>101</v>
      </c>
      <c r="B316" s="188" t="s">
        <v>399</v>
      </c>
      <c r="C316" s="24" t="s">
        <v>200</v>
      </c>
      <c r="D316" s="8" t="s">
        <v>13</v>
      </c>
      <c r="E316" s="23">
        <f>19.92+2.88</f>
        <v>22.8</v>
      </c>
      <c r="F316" s="18"/>
      <c r="G316" s="18">
        <f>E316*F316</f>
        <v>0</v>
      </c>
      <c r="H316" s="22" t="s">
        <v>122</v>
      </c>
      <c r="I316" s="35" t="s">
        <v>16</v>
      </c>
      <c r="J316" s="36">
        <v>3</v>
      </c>
      <c r="K316" s="36">
        <f>J316*E316</f>
        <v>68.400000000000006</v>
      </c>
      <c r="L316" s="39"/>
      <c r="M316" s="57">
        <f t="shared" si="39"/>
        <v>0</v>
      </c>
    </row>
    <row r="317" spans="1:13" s="11" customFormat="1" x14ac:dyDescent="0.25">
      <c r="A317" s="56"/>
      <c r="B317" s="139"/>
      <c r="C317" s="24"/>
      <c r="D317" s="8"/>
      <c r="E317" s="23"/>
      <c r="F317" s="18"/>
      <c r="G317" s="18"/>
      <c r="H317" s="193" t="s">
        <v>400</v>
      </c>
      <c r="I317" s="191" t="s">
        <v>13</v>
      </c>
      <c r="J317" s="181"/>
      <c r="K317" s="177">
        <v>35</v>
      </c>
      <c r="L317" s="174"/>
      <c r="M317" s="175">
        <f t="shared" ref="M317:M321" si="46">K317*L317*1.1</f>
        <v>0</v>
      </c>
    </row>
    <row r="318" spans="1:13" s="11" customFormat="1" x14ac:dyDescent="0.25">
      <c r="A318" s="56"/>
      <c r="B318" s="139"/>
      <c r="C318" s="24"/>
      <c r="D318" s="8"/>
      <c r="E318" s="23"/>
      <c r="F318" s="18"/>
      <c r="G318" s="18"/>
      <c r="H318" s="193" t="s">
        <v>204</v>
      </c>
      <c r="I318" s="191" t="s">
        <v>12</v>
      </c>
      <c r="J318" s="181"/>
      <c r="K318" s="177">
        <v>13</v>
      </c>
      <c r="L318" s="174"/>
      <c r="M318" s="175">
        <f t="shared" si="46"/>
        <v>0</v>
      </c>
    </row>
    <row r="319" spans="1:13" s="11" customFormat="1" x14ac:dyDescent="0.25">
      <c r="A319" s="56"/>
      <c r="B319" s="139"/>
      <c r="C319" s="24"/>
      <c r="D319" s="8"/>
      <c r="E319" s="23"/>
      <c r="F319" s="18"/>
      <c r="G319" s="18"/>
      <c r="H319" s="193" t="s">
        <v>401</v>
      </c>
      <c r="I319" s="191" t="s">
        <v>12</v>
      </c>
      <c r="J319" s="181"/>
      <c r="K319" s="177">
        <v>3</v>
      </c>
      <c r="L319" s="174"/>
      <c r="M319" s="175">
        <f t="shared" si="46"/>
        <v>0</v>
      </c>
    </row>
    <row r="320" spans="1:13" s="11" customFormat="1" x14ac:dyDescent="0.25">
      <c r="A320" s="56"/>
      <c r="B320" s="139"/>
      <c r="C320" s="24"/>
      <c r="D320" s="8"/>
      <c r="E320" s="23"/>
      <c r="F320" s="18"/>
      <c r="G320" s="18"/>
      <c r="H320" s="193" t="s">
        <v>402</v>
      </c>
      <c r="I320" s="191" t="s">
        <v>12</v>
      </c>
      <c r="J320" s="181"/>
      <c r="K320" s="177">
        <v>3</v>
      </c>
      <c r="L320" s="174"/>
      <c r="M320" s="175">
        <f t="shared" si="46"/>
        <v>0</v>
      </c>
    </row>
    <row r="321" spans="1:13" s="11" customFormat="1" x14ac:dyDescent="0.25">
      <c r="A321" s="56"/>
      <c r="B321" s="139"/>
      <c r="C321" s="24"/>
      <c r="D321" s="8"/>
      <c r="E321" s="23"/>
      <c r="F321" s="18"/>
      <c r="G321" s="18"/>
      <c r="H321" s="193" t="s">
        <v>403</v>
      </c>
      <c r="I321" s="191" t="s">
        <v>12</v>
      </c>
      <c r="J321" s="181"/>
      <c r="K321" s="181">
        <v>7</v>
      </c>
      <c r="L321" s="174"/>
      <c r="M321" s="175">
        <f t="shared" si="46"/>
        <v>0</v>
      </c>
    </row>
    <row r="322" spans="1:13" s="11" customFormat="1" x14ac:dyDescent="0.2">
      <c r="A322" s="56">
        <v>102</v>
      </c>
      <c r="B322" s="188" t="s">
        <v>404</v>
      </c>
      <c r="C322" s="22" t="s">
        <v>125</v>
      </c>
      <c r="D322" s="8" t="s">
        <v>16</v>
      </c>
      <c r="E322" s="23">
        <v>15</v>
      </c>
      <c r="F322" s="18"/>
      <c r="G322" s="18">
        <f>E322*F322</f>
        <v>0</v>
      </c>
      <c r="H322" s="38" t="s">
        <v>126</v>
      </c>
      <c r="I322" s="35" t="s">
        <v>16</v>
      </c>
      <c r="J322" s="36">
        <v>1</v>
      </c>
      <c r="K322" s="36">
        <f>J322*E322</f>
        <v>15</v>
      </c>
      <c r="L322" s="39"/>
      <c r="M322" s="57">
        <f t="shared" si="39"/>
        <v>0</v>
      </c>
    </row>
    <row r="323" spans="1:13" s="11" customFormat="1" x14ac:dyDescent="0.25">
      <c r="A323" s="86"/>
      <c r="B323" s="138"/>
      <c r="C323" s="87" t="s">
        <v>127</v>
      </c>
      <c r="D323" s="88"/>
      <c r="E323" s="89"/>
      <c r="F323" s="89"/>
      <c r="G323" s="89"/>
      <c r="H323" s="87"/>
      <c r="I323" s="91"/>
      <c r="J323" s="89"/>
      <c r="K323" s="89"/>
      <c r="L323" s="89"/>
      <c r="M323" s="90"/>
    </row>
    <row r="324" spans="1:13" s="11" customFormat="1" x14ac:dyDescent="0.25">
      <c r="A324" s="56">
        <v>103</v>
      </c>
      <c r="B324" s="188" t="s">
        <v>440</v>
      </c>
      <c r="C324" s="22" t="s">
        <v>128</v>
      </c>
      <c r="D324" s="8" t="s">
        <v>13</v>
      </c>
      <c r="E324" s="23">
        <v>48.3</v>
      </c>
      <c r="F324" s="18"/>
      <c r="G324" s="18">
        <f t="shared" ref="G324:G340" si="47">E324*F324</f>
        <v>0</v>
      </c>
      <c r="H324" s="10" t="s">
        <v>174</v>
      </c>
      <c r="I324" s="13" t="s">
        <v>74</v>
      </c>
      <c r="J324" s="36"/>
      <c r="K324" s="36">
        <v>1</v>
      </c>
      <c r="L324" s="33"/>
      <c r="M324" s="57">
        <f t="shared" si="39"/>
        <v>0</v>
      </c>
    </row>
    <row r="325" spans="1:13" s="11" customFormat="1" ht="25.5" x14ac:dyDescent="0.2">
      <c r="A325" s="56">
        <v>104</v>
      </c>
      <c r="B325" s="188" t="s">
        <v>441</v>
      </c>
      <c r="C325" s="24" t="s">
        <v>442</v>
      </c>
      <c r="D325" s="8" t="s">
        <v>16</v>
      </c>
      <c r="E325" s="23">
        <v>1</v>
      </c>
      <c r="F325" s="18"/>
      <c r="G325" s="18">
        <f t="shared" si="47"/>
        <v>0</v>
      </c>
      <c r="H325" s="40"/>
      <c r="I325" s="35"/>
      <c r="J325" s="36"/>
      <c r="K325" s="36"/>
      <c r="L325" s="28"/>
      <c r="M325" s="57"/>
    </row>
    <row r="326" spans="1:13" s="11" customFormat="1" x14ac:dyDescent="0.2">
      <c r="A326" s="56">
        <v>105</v>
      </c>
      <c r="B326" s="188" t="s">
        <v>443</v>
      </c>
      <c r="C326" s="22" t="s">
        <v>129</v>
      </c>
      <c r="D326" s="8" t="s">
        <v>16</v>
      </c>
      <c r="E326" s="23">
        <v>5</v>
      </c>
      <c r="F326" s="18"/>
      <c r="G326" s="18">
        <f t="shared" si="47"/>
        <v>0</v>
      </c>
      <c r="H326" s="40"/>
      <c r="I326" s="35"/>
      <c r="J326" s="36"/>
      <c r="K326" s="36"/>
      <c r="L326" s="28"/>
      <c r="M326" s="57"/>
    </row>
    <row r="327" spans="1:13" s="11" customFormat="1" x14ac:dyDescent="0.2">
      <c r="A327" s="56">
        <v>106</v>
      </c>
      <c r="B327" s="188" t="s">
        <v>444</v>
      </c>
      <c r="C327" s="22" t="s">
        <v>130</v>
      </c>
      <c r="D327" s="8" t="s">
        <v>16</v>
      </c>
      <c r="E327" s="23">
        <v>1</v>
      </c>
      <c r="F327" s="18"/>
      <c r="G327" s="18">
        <f t="shared" si="47"/>
        <v>0</v>
      </c>
      <c r="H327" s="40"/>
      <c r="I327" s="35"/>
      <c r="J327" s="36"/>
      <c r="K327" s="36"/>
      <c r="L327" s="28"/>
      <c r="M327" s="57"/>
    </row>
    <row r="328" spans="1:13" s="11" customFormat="1" x14ac:dyDescent="0.2">
      <c r="A328" s="56">
        <v>107</v>
      </c>
      <c r="B328" s="188" t="s">
        <v>445</v>
      </c>
      <c r="C328" s="22" t="s">
        <v>131</v>
      </c>
      <c r="D328" s="8" t="s">
        <v>13</v>
      </c>
      <c r="E328" s="23">
        <f>7+3</f>
        <v>10</v>
      </c>
      <c r="F328" s="18"/>
      <c r="G328" s="18">
        <f t="shared" si="47"/>
        <v>0</v>
      </c>
      <c r="H328" s="38"/>
      <c r="I328" s="35"/>
      <c r="J328" s="36"/>
      <c r="K328" s="36"/>
      <c r="L328" s="28"/>
      <c r="M328" s="57"/>
    </row>
    <row r="329" spans="1:13" s="11" customFormat="1" x14ac:dyDescent="0.25">
      <c r="A329" s="56">
        <v>108</v>
      </c>
      <c r="B329" s="188" t="s">
        <v>446</v>
      </c>
      <c r="C329" s="34" t="s">
        <v>132</v>
      </c>
      <c r="D329" s="8" t="s">
        <v>13</v>
      </c>
      <c r="E329" s="36">
        <v>2</v>
      </c>
      <c r="F329" s="18"/>
      <c r="G329" s="18">
        <f t="shared" si="47"/>
        <v>0</v>
      </c>
      <c r="H329" s="34"/>
      <c r="I329" s="35"/>
      <c r="J329" s="36"/>
      <c r="K329" s="36"/>
      <c r="L329" s="36"/>
      <c r="M329" s="57"/>
    </row>
    <row r="330" spans="1:13" s="11" customFormat="1" x14ac:dyDescent="0.25">
      <c r="A330" s="56">
        <v>109</v>
      </c>
      <c r="B330" s="188" t="s">
        <v>447</v>
      </c>
      <c r="C330" s="34" t="s">
        <v>133</v>
      </c>
      <c r="D330" s="35" t="s">
        <v>13</v>
      </c>
      <c r="E330" s="36">
        <f>3.5+13.5+11+2.5</f>
        <v>30.5</v>
      </c>
      <c r="F330" s="18"/>
      <c r="G330" s="18">
        <f t="shared" si="47"/>
        <v>0</v>
      </c>
      <c r="H330" s="44"/>
      <c r="I330" s="35"/>
      <c r="J330" s="36"/>
      <c r="K330" s="36"/>
      <c r="L330" s="20"/>
      <c r="M330" s="57"/>
    </row>
    <row r="331" spans="1:13" s="11" customFormat="1" x14ac:dyDescent="0.25">
      <c r="A331" s="56">
        <v>110</v>
      </c>
      <c r="B331" s="188" t="s">
        <v>448</v>
      </c>
      <c r="C331" s="22" t="s">
        <v>134</v>
      </c>
      <c r="D331" s="8" t="s">
        <v>13</v>
      </c>
      <c r="E331" s="36">
        <v>10</v>
      </c>
      <c r="F331" s="18"/>
      <c r="G331" s="18">
        <f t="shared" si="47"/>
        <v>0</v>
      </c>
      <c r="H331" s="44"/>
      <c r="I331" s="35"/>
      <c r="J331" s="36"/>
      <c r="K331" s="36"/>
      <c r="L331" s="20"/>
      <c r="M331" s="57"/>
    </row>
    <row r="332" spans="1:13" s="11" customFormat="1" x14ac:dyDescent="0.25">
      <c r="A332" s="56">
        <v>111</v>
      </c>
      <c r="B332" s="188" t="s">
        <v>449</v>
      </c>
      <c r="C332" s="22" t="s">
        <v>135</v>
      </c>
      <c r="D332" s="8" t="s">
        <v>13</v>
      </c>
      <c r="E332" s="36">
        <f>E330+E331</f>
        <v>40.5</v>
      </c>
      <c r="F332" s="18"/>
      <c r="G332" s="18">
        <f t="shared" si="47"/>
        <v>0</v>
      </c>
      <c r="H332" s="22"/>
      <c r="I332" s="35"/>
      <c r="J332" s="36"/>
      <c r="K332" s="36"/>
      <c r="L332" s="20"/>
      <c r="M332" s="57"/>
    </row>
    <row r="333" spans="1:13" s="11" customFormat="1" ht="25.5" x14ac:dyDescent="0.25">
      <c r="A333" s="56">
        <v>112</v>
      </c>
      <c r="B333" s="188" t="s">
        <v>437</v>
      </c>
      <c r="C333" s="22" t="s">
        <v>173</v>
      </c>
      <c r="D333" s="8" t="s">
        <v>16</v>
      </c>
      <c r="E333" s="36">
        <v>1</v>
      </c>
      <c r="F333" s="18"/>
      <c r="G333" s="18">
        <f t="shared" si="47"/>
        <v>0</v>
      </c>
      <c r="H333" s="170" t="s">
        <v>438</v>
      </c>
      <c r="I333" s="191" t="s">
        <v>12</v>
      </c>
      <c r="J333" s="181"/>
      <c r="K333" s="177">
        <v>1</v>
      </c>
      <c r="L333" s="174"/>
      <c r="M333" s="175">
        <f t="shared" ref="M333" si="48">K333*L333*1.1</f>
        <v>0</v>
      </c>
    </row>
    <row r="334" spans="1:13" s="11" customFormat="1" ht="25.5" x14ac:dyDescent="0.25">
      <c r="A334" s="56">
        <v>113</v>
      </c>
      <c r="B334" s="188" t="s">
        <v>439</v>
      </c>
      <c r="C334" s="24" t="s">
        <v>136</v>
      </c>
      <c r="D334" s="37" t="s">
        <v>16</v>
      </c>
      <c r="E334" s="32">
        <v>2</v>
      </c>
      <c r="F334" s="18"/>
      <c r="G334" s="18">
        <f t="shared" si="47"/>
        <v>0</v>
      </c>
      <c r="H334" s="34"/>
      <c r="I334" s="37"/>
      <c r="J334" s="32"/>
      <c r="K334" s="18"/>
      <c r="L334" s="20"/>
      <c r="M334" s="57"/>
    </row>
    <row r="335" spans="1:13" s="11" customFormat="1" x14ac:dyDescent="0.25">
      <c r="A335" s="56">
        <v>114</v>
      </c>
      <c r="B335" s="188" t="s">
        <v>450</v>
      </c>
      <c r="C335" s="170" t="s">
        <v>137</v>
      </c>
      <c r="D335" s="196" t="s">
        <v>16</v>
      </c>
      <c r="E335" s="177">
        <v>1</v>
      </c>
      <c r="F335" s="177"/>
      <c r="G335" s="177">
        <f t="shared" si="47"/>
        <v>0</v>
      </c>
      <c r="H335" s="182" t="s">
        <v>451</v>
      </c>
      <c r="I335" s="191" t="s">
        <v>12</v>
      </c>
      <c r="J335" s="177"/>
      <c r="K335" s="177">
        <v>1</v>
      </c>
      <c r="L335" s="174"/>
      <c r="M335" s="175">
        <f t="shared" ref="M335" si="49">K335*L335*1.1</f>
        <v>0</v>
      </c>
    </row>
    <row r="336" spans="1:13" s="11" customFormat="1" x14ac:dyDescent="0.25">
      <c r="A336" s="56">
        <v>115</v>
      </c>
      <c r="B336" s="188" t="s">
        <v>452</v>
      </c>
      <c r="C336" s="24" t="s">
        <v>453</v>
      </c>
      <c r="D336" s="37" t="s">
        <v>16</v>
      </c>
      <c r="E336" s="18">
        <v>1</v>
      </c>
      <c r="F336" s="18"/>
      <c r="G336" s="18">
        <f t="shared" si="47"/>
        <v>0</v>
      </c>
      <c r="H336" s="182" t="s">
        <v>454</v>
      </c>
      <c r="I336" s="191" t="s">
        <v>12</v>
      </c>
      <c r="J336" s="177"/>
      <c r="K336" s="177">
        <v>1</v>
      </c>
      <c r="L336" s="174"/>
      <c r="M336" s="175">
        <f t="shared" ref="M336" si="50">K336*L336*1.1</f>
        <v>0</v>
      </c>
    </row>
    <row r="337" spans="1:13" s="11" customFormat="1" ht="15" customHeight="1" x14ac:dyDescent="0.25">
      <c r="A337" s="56">
        <v>116</v>
      </c>
      <c r="B337" s="188" t="s">
        <v>455</v>
      </c>
      <c r="C337" s="170" t="s">
        <v>456</v>
      </c>
      <c r="D337" s="196" t="s">
        <v>16</v>
      </c>
      <c r="E337" s="177">
        <v>1</v>
      </c>
      <c r="F337" s="177"/>
      <c r="G337" s="177">
        <f t="shared" si="47"/>
        <v>0</v>
      </c>
      <c r="H337" s="182" t="s">
        <v>457</v>
      </c>
      <c r="I337" s="191" t="s">
        <v>12</v>
      </c>
      <c r="J337" s="181"/>
      <c r="K337" s="181">
        <v>1</v>
      </c>
      <c r="L337" s="183"/>
      <c r="M337" s="175">
        <f>K337*L337*1.1</f>
        <v>0</v>
      </c>
    </row>
    <row r="338" spans="1:13" s="11" customFormat="1" x14ac:dyDescent="0.25">
      <c r="A338" s="56">
        <v>117</v>
      </c>
      <c r="B338" s="188" t="s">
        <v>458</v>
      </c>
      <c r="C338" s="24" t="s">
        <v>459</v>
      </c>
      <c r="D338" s="37" t="s">
        <v>16</v>
      </c>
      <c r="E338" s="18">
        <v>1</v>
      </c>
      <c r="F338" s="18"/>
      <c r="G338" s="18">
        <f t="shared" si="47"/>
        <v>0</v>
      </c>
      <c r="H338" s="190" t="s">
        <v>460</v>
      </c>
      <c r="I338" s="191" t="s">
        <v>12</v>
      </c>
      <c r="J338" s="177"/>
      <c r="K338" s="177">
        <v>1</v>
      </c>
      <c r="L338" s="174"/>
      <c r="M338" s="175">
        <f t="shared" ref="M338:M347" si="51">K338*L338*1.1</f>
        <v>0</v>
      </c>
    </row>
    <row r="339" spans="1:13" s="11" customFormat="1" x14ac:dyDescent="0.25">
      <c r="A339" s="56">
        <v>118</v>
      </c>
      <c r="B339" s="188" t="s">
        <v>461</v>
      </c>
      <c r="C339" s="24" t="s">
        <v>462</v>
      </c>
      <c r="D339" s="37" t="s">
        <v>16</v>
      </c>
      <c r="E339" s="18">
        <v>1</v>
      </c>
      <c r="F339" s="18"/>
      <c r="G339" s="18">
        <f t="shared" si="47"/>
        <v>0</v>
      </c>
      <c r="H339" s="190" t="s">
        <v>463</v>
      </c>
      <c r="I339" s="191" t="s">
        <v>12</v>
      </c>
      <c r="J339" s="177"/>
      <c r="K339" s="177">
        <v>1</v>
      </c>
      <c r="L339" s="174"/>
      <c r="M339" s="175">
        <f t="shared" ref="M339" si="52">K339*L339*1.1</f>
        <v>0</v>
      </c>
    </row>
    <row r="340" spans="1:13" s="11" customFormat="1" x14ac:dyDescent="0.25">
      <c r="A340" s="56">
        <v>119</v>
      </c>
      <c r="B340" s="188" t="s">
        <v>464</v>
      </c>
      <c r="C340" s="24" t="s">
        <v>138</v>
      </c>
      <c r="D340" s="37" t="s">
        <v>16</v>
      </c>
      <c r="E340" s="18">
        <v>2</v>
      </c>
      <c r="F340" s="18"/>
      <c r="G340" s="18">
        <f t="shared" si="47"/>
        <v>0</v>
      </c>
      <c r="H340" s="190" t="s">
        <v>465</v>
      </c>
      <c r="I340" s="191" t="s">
        <v>12</v>
      </c>
      <c r="J340" s="203"/>
      <c r="K340" s="177">
        <v>1</v>
      </c>
      <c r="L340" s="174"/>
      <c r="M340" s="175">
        <f t="shared" si="51"/>
        <v>0</v>
      </c>
    </row>
    <row r="341" spans="1:13" s="11" customFormat="1" ht="25.5" x14ac:dyDescent="0.25">
      <c r="A341" s="56"/>
      <c r="B341" s="202"/>
      <c r="C341" s="24"/>
      <c r="D341" s="37"/>
      <c r="E341" s="18"/>
      <c r="F341" s="18"/>
      <c r="G341" s="18"/>
      <c r="H341" s="190" t="s">
        <v>485</v>
      </c>
      <c r="I341" s="191" t="s">
        <v>12</v>
      </c>
      <c r="J341" s="203"/>
      <c r="K341" s="177">
        <v>1</v>
      </c>
      <c r="L341" s="174"/>
      <c r="M341" s="175">
        <f t="shared" ref="M341" si="53">K341*L341*1.1</f>
        <v>0</v>
      </c>
    </row>
    <row r="342" spans="1:13" s="11" customFormat="1" x14ac:dyDescent="0.25">
      <c r="A342" s="56"/>
      <c r="B342" s="139"/>
      <c r="C342" s="24"/>
      <c r="D342" s="37"/>
      <c r="E342" s="18"/>
      <c r="F342" s="18"/>
      <c r="G342" s="18"/>
      <c r="H342" s="190" t="s">
        <v>229</v>
      </c>
      <c r="I342" s="191" t="s">
        <v>12</v>
      </c>
      <c r="J342" s="177"/>
      <c r="K342" s="177">
        <v>2</v>
      </c>
      <c r="L342" s="174"/>
      <c r="M342" s="175">
        <f t="shared" si="51"/>
        <v>0</v>
      </c>
    </row>
    <row r="343" spans="1:13" s="11" customFormat="1" x14ac:dyDescent="0.25">
      <c r="A343" s="56">
        <v>120</v>
      </c>
      <c r="B343" s="188" t="s">
        <v>466</v>
      </c>
      <c r="C343" s="24" t="s">
        <v>467</v>
      </c>
      <c r="D343" s="37" t="s">
        <v>16</v>
      </c>
      <c r="E343" s="18">
        <v>1</v>
      </c>
      <c r="F343" s="18"/>
      <c r="G343" s="18">
        <f>E343*F343</f>
        <v>0</v>
      </c>
      <c r="H343" s="190" t="s">
        <v>468</v>
      </c>
      <c r="I343" s="191" t="s">
        <v>12</v>
      </c>
      <c r="J343" s="203"/>
      <c r="K343" s="177">
        <v>1</v>
      </c>
      <c r="L343" s="174"/>
      <c r="M343" s="175">
        <f t="shared" ref="M343:M344" si="54">K343*L343*1.1</f>
        <v>0</v>
      </c>
    </row>
    <row r="344" spans="1:13" s="11" customFormat="1" x14ac:dyDescent="0.25">
      <c r="A344" s="56"/>
      <c r="B344" s="139"/>
      <c r="C344" s="24"/>
      <c r="D344" s="37"/>
      <c r="E344" s="18"/>
      <c r="F344" s="18"/>
      <c r="G344" s="18"/>
      <c r="H344" s="190" t="s">
        <v>229</v>
      </c>
      <c r="I344" s="191" t="s">
        <v>12</v>
      </c>
      <c r="J344" s="177"/>
      <c r="K344" s="177">
        <v>1</v>
      </c>
      <c r="L344" s="174"/>
      <c r="M344" s="175">
        <f t="shared" si="54"/>
        <v>0</v>
      </c>
    </row>
    <row r="345" spans="1:13" s="11" customFormat="1" x14ac:dyDescent="0.25">
      <c r="A345" s="56">
        <v>121</v>
      </c>
      <c r="B345" s="188" t="s">
        <v>469</v>
      </c>
      <c r="C345" s="24" t="s">
        <v>172</v>
      </c>
      <c r="D345" s="37" t="s">
        <v>16</v>
      </c>
      <c r="E345" s="18">
        <v>1</v>
      </c>
      <c r="F345" s="18"/>
      <c r="G345" s="18">
        <f>E345*F345</f>
        <v>0</v>
      </c>
      <c r="H345" s="190" t="s">
        <v>471</v>
      </c>
      <c r="I345" s="191" t="s">
        <v>12</v>
      </c>
      <c r="J345" s="177"/>
      <c r="K345" s="177">
        <v>1</v>
      </c>
      <c r="L345" s="174"/>
      <c r="M345" s="175">
        <f t="shared" si="51"/>
        <v>0</v>
      </c>
    </row>
    <row r="346" spans="1:13" s="11" customFormat="1" x14ac:dyDescent="0.25">
      <c r="A346" s="56"/>
      <c r="B346" s="139"/>
      <c r="C346" s="24"/>
      <c r="D346" s="37"/>
      <c r="E346" s="18"/>
      <c r="F346" s="18"/>
      <c r="G346" s="18"/>
      <c r="H346" s="182" t="s">
        <v>470</v>
      </c>
      <c r="I346" s="180" t="s">
        <v>12</v>
      </c>
      <c r="J346" s="177"/>
      <c r="K346" s="177">
        <v>1</v>
      </c>
      <c r="L346" s="174"/>
      <c r="M346" s="175">
        <f t="shared" si="51"/>
        <v>0</v>
      </c>
    </row>
    <row r="347" spans="1:13" s="11" customFormat="1" x14ac:dyDescent="0.25">
      <c r="A347" s="56">
        <v>122</v>
      </c>
      <c r="B347" s="188" t="s">
        <v>472</v>
      </c>
      <c r="C347" s="24" t="s">
        <v>140</v>
      </c>
      <c r="D347" s="37" t="s">
        <v>16</v>
      </c>
      <c r="E347" s="18">
        <v>1</v>
      </c>
      <c r="F347" s="18"/>
      <c r="G347" s="18">
        <f t="shared" ref="G347:G355" si="55">E347*F347</f>
        <v>0</v>
      </c>
      <c r="H347" s="190" t="s">
        <v>473</v>
      </c>
      <c r="I347" s="180" t="s">
        <v>12</v>
      </c>
      <c r="J347" s="177"/>
      <c r="K347" s="177">
        <v>1</v>
      </c>
      <c r="L347" s="174"/>
      <c r="M347" s="175">
        <f t="shared" si="51"/>
        <v>0</v>
      </c>
    </row>
    <row r="348" spans="1:13" s="11" customFormat="1" x14ac:dyDescent="0.25">
      <c r="A348" s="56">
        <v>123</v>
      </c>
      <c r="B348" s="188" t="s">
        <v>475</v>
      </c>
      <c r="C348" s="24" t="s">
        <v>474</v>
      </c>
      <c r="D348" s="37" t="s">
        <v>16</v>
      </c>
      <c r="E348" s="18">
        <v>3</v>
      </c>
      <c r="F348" s="18"/>
      <c r="G348" s="18">
        <f t="shared" si="55"/>
        <v>0</v>
      </c>
      <c r="H348" s="30"/>
      <c r="I348" s="35"/>
      <c r="J348" s="18"/>
      <c r="K348" s="18"/>
      <c r="L348" s="14"/>
      <c r="M348" s="57"/>
    </row>
    <row r="349" spans="1:13" s="11" customFormat="1" x14ac:dyDescent="0.25">
      <c r="A349" s="56">
        <v>124</v>
      </c>
      <c r="B349" s="188" t="s">
        <v>486</v>
      </c>
      <c r="C349" s="24" t="s">
        <v>487</v>
      </c>
      <c r="D349" s="37" t="s">
        <v>16</v>
      </c>
      <c r="E349" s="18">
        <v>1</v>
      </c>
      <c r="F349" s="18"/>
      <c r="G349" s="18">
        <f t="shared" si="55"/>
        <v>0</v>
      </c>
      <c r="H349" s="190" t="s">
        <v>488</v>
      </c>
      <c r="I349" s="180" t="s">
        <v>12</v>
      </c>
      <c r="J349" s="177"/>
      <c r="K349" s="177">
        <v>1</v>
      </c>
      <c r="L349" s="174"/>
      <c r="M349" s="175">
        <f t="shared" ref="M349" si="56">K349*L349*1.1</f>
        <v>0</v>
      </c>
    </row>
    <row r="350" spans="1:13" s="11" customFormat="1" x14ac:dyDescent="0.25">
      <c r="A350" s="56">
        <v>125</v>
      </c>
      <c r="B350" s="188" t="s">
        <v>476</v>
      </c>
      <c r="C350" s="24" t="s">
        <v>141</v>
      </c>
      <c r="D350" s="37" t="s">
        <v>16</v>
      </c>
      <c r="E350" s="32">
        <v>15</v>
      </c>
      <c r="F350" s="18"/>
      <c r="G350" s="18">
        <f t="shared" si="55"/>
        <v>0</v>
      </c>
      <c r="H350" s="34"/>
      <c r="I350" s="37"/>
      <c r="J350" s="32"/>
      <c r="K350" s="36"/>
      <c r="L350" s="20"/>
      <c r="M350" s="57"/>
    </row>
    <row r="351" spans="1:13" s="11" customFormat="1" x14ac:dyDescent="0.25">
      <c r="A351" s="56">
        <v>126</v>
      </c>
      <c r="B351" s="188" t="s">
        <v>477</v>
      </c>
      <c r="C351" s="24" t="s">
        <v>161</v>
      </c>
      <c r="D351" s="37" t="s">
        <v>16</v>
      </c>
      <c r="E351" s="32">
        <v>15</v>
      </c>
      <c r="F351" s="18"/>
      <c r="G351" s="18">
        <f t="shared" si="55"/>
        <v>0</v>
      </c>
      <c r="H351" s="34"/>
      <c r="I351" s="37"/>
      <c r="J351" s="32"/>
      <c r="K351" s="36"/>
      <c r="L351" s="20"/>
      <c r="M351" s="57"/>
    </row>
    <row r="352" spans="1:13" s="11" customFormat="1" x14ac:dyDescent="0.25">
      <c r="A352" s="56">
        <v>127</v>
      </c>
      <c r="B352" s="188" t="s">
        <v>478</v>
      </c>
      <c r="C352" s="24" t="s">
        <v>142</v>
      </c>
      <c r="D352" s="37" t="s">
        <v>16</v>
      </c>
      <c r="E352" s="32">
        <v>2</v>
      </c>
      <c r="F352" s="18"/>
      <c r="G352" s="18">
        <f t="shared" si="55"/>
        <v>0</v>
      </c>
      <c r="H352" s="34"/>
      <c r="I352" s="37"/>
      <c r="J352" s="32"/>
      <c r="K352" s="36"/>
      <c r="L352" s="20"/>
      <c r="M352" s="57"/>
    </row>
    <row r="353" spans="1:13" s="11" customFormat="1" x14ac:dyDescent="0.25">
      <c r="A353" s="56">
        <v>128</v>
      </c>
      <c r="B353" s="188" t="s">
        <v>479</v>
      </c>
      <c r="C353" s="24" t="s">
        <v>143</v>
      </c>
      <c r="D353" s="37" t="s">
        <v>16</v>
      </c>
      <c r="E353" s="18">
        <v>1</v>
      </c>
      <c r="F353" s="18"/>
      <c r="G353" s="18">
        <f t="shared" si="55"/>
        <v>0</v>
      </c>
      <c r="H353" s="190" t="s">
        <v>480</v>
      </c>
      <c r="I353" s="191" t="s">
        <v>12</v>
      </c>
      <c r="J353" s="177"/>
      <c r="K353" s="177">
        <v>1</v>
      </c>
      <c r="L353" s="174"/>
      <c r="M353" s="175">
        <f t="shared" ref="M353" si="57">K353*L353*1.1</f>
        <v>0</v>
      </c>
    </row>
    <row r="354" spans="1:13" s="11" customFormat="1" x14ac:dyDescent="0.25">
      <c r="A354" s="56">
        <v>129</v>
      </c>
      <c r="B354" s="188" t="s">
        <v>481</v>
      </c>
      <c r="C354" s="24" t="s">
        <v>144</v>
      </c>
      <c r="D354" s="37" t="s">
        <v>16</v>
      </c>
      <c r="E354" s="18">
        <v>1</v>
      </c>
      <c r="F354" s="18"/>
      <c r="G354" s="18">
        <f t="shared" si="55"/>
        <v>0</v>
      </c>
      <c r="H354" s="190" t="s">
        <v>482</v>
      </c>
      <c r="I354" s="191" t="s">
        <v>12</v>
      </c>
      <c r="J354" s="177"/>
      <c r="K354" s="177">
        <v>1</v>
      </c>
      <c r="L354" s="194"/>
      <c r="M354" s="175">
        <f>K354*L354*1.1</f>
        <v>0</v>
      </c>
    </row>
    <row r="355" spans="1:13" s="11" customFormat="1" x14ac:dyDescent="0.25">
      <c r="A355" s="56">
        <v>130</v>
      </c>
      <c r="B355" s="188" t="s">
        <v>483</v>
      </c>
      <c r="C355" s="24" t="s">
        <v>166</v>
      </c>
      <c r="D355" s="37" t="s">
        <v>16</v>
      </c>
      <c r="E355" s="18">
        <v>1</v>
      </c>
      <c r="F355" s="18"/>
      <c r="G355" s="18">
        <f t="shared" si="55"/>
        <v>0</v>
      </c>
      <c r="H355" s="182" t="s">
        <v>484</v>
      </c>
      <c r="I355" s="191" t="s">
        <v>12</v>
      </c>
      <c r="J355" s="177"/>
      <c r="K355" s="177">
        <v>1</v>
      </c>
      <c r="L355" s="194"/>
      <c r="M355" s="175">
        <f>K355*L355*1.1</f>
        <v>0</v>
      </c>
    </row>
    <row r="356" spans="1:13" s="11" customFormat="1" x14ac:dyDescent="0.25">
      <c r="A356" s="56"/>
      <c r="B356" s="139"/>
      <c r="C356" s="24"/>
      <c r="D356" s="37"/>
      <c r="E356" s="18"/>
      <c r="F356" s="18"/>
      <c r="G356" s="18"/>
      <c r="H356" s="190" t="s">
        <v>229</v>
      </c>
      <c r="I356" s="191" t="s">
        <v>12</v>
      </c>
      <c r="J356" s="177"/>
      <c r="K356" s="177">
        <v>1</v>
      </c>
      <c r="L356" s="174"/>
      <c r="M356" s="175">
        <f t="shared" ref="M356" si="58">K356*L356*1.1</f>
        <v>0</v>
      </c>
    </row>
    <row r="357" spans="1:13" s="11" customFormat="1" x14ac:dyDescent="0.25">
      <c r="A357" s="56">
        <v>131</v>
      </c>
      <c r="B357" s="188" t="s">
        <v>367</v>
      </c>
      <c r="C357" s="24" t="s">
        <v>145</v>
      </c>
      <c r="D357" s="37" t="s">
        <v>16</v>
      </c>
      <c r="E357" s="18">
        <v>1</v>
      </c>
      <c r="F357" s="18"/>
      <c r="G357" s="18">
        <f>E357*F357</f>
        <v>0</v>
      </c>
      <c r="H357" s="190" t="s">
        <v>366</v>
      </c>
      <c r="I357" s="191" t="s">
        <v>12</v>
      </c>
      <c r="J357" s="177"/>
      <c r="K357" s="177">
        <v>1</v>
      </c>
      <c r="L357" s="174"/>
      <c r="M357" s="175">
        <f>K357*L357*1.1</f>
        <v>0</v>
      </c>
    </row>
    <row r="358" spans="1:13" s="11" customFormat="1" x14ac:dyDescent="0.25">
      <c r="A358" s="56">
        <v>132</v>
      </c>
      <c r="B358" s="188" t="s">
        <v>489</v>
      </c>
      <c r="C358" s="24" t="s">
        <v>146</v>
      </c>
      <c r="D358" s="37" t="s">
        <v>16</v>
      </c>
      <c r="E358" s="32">
        <v>2</v>
      </c>
      <c r="F358" s="18"/>
      <c r="G358" s="18">
        <f>E358*F358</f>
        <v>0</v>
      </c>
      <c r="H358" s="34"/>
      <c r="I358" s="37"/>
      <c r="J358" s="32"/>
      <c r="K358" s="18"/>
      <c r="L358" s="20"/>
      <c r="M358" s="57"/>
    </row>
    <row r="359" spans="1:13" s="11" customFormat="1" x14ac:dyDescent="0.25">
      <c r="A359" s="56">
        <v>133</v>
      </c>
      <c r="B359" s="188" t="s">
        <v>490</v>
      </c>
      <c r="C359" s="24" t="s">
        <v>147</v>
      </c>
      <c r="D359" s="37" t="s">
        <v>16</v>
      </c>
      <c r="E359" s="32">
        <v>4</v>
      </c>
      <c r="F359" s="18"/>
      <c r="G359" s="18">
        <f>E359*F359</f>
        <v>0</v>
      </c>
      <c r="H359" s="34"/>
      <c r="I359" s="37"/>
      <c r="J359" s="32"/>
      <c r="K359" s="18"/>
      <c r="L359" s="20"/>
      <c r="M359" s="57"/>
    </row>
    <row r="360" spans="1:13" s="11" customFormat="1" ht="25.5" x14ac:dyDescent="0.25">
      <c r="A360" s="56">
        <v>134</v>
      </c>
      <c r="B360" s="188" t="s">
        <v>378</v>
      </c>
      <c r="C360" s="170" t="s">
        <v>365</v>
      </c>
      <c r="D360" s="196" t="s">
        <v>74</v>
      </c>
      <c r="E360" s="172">
        <v>2</v>
      </c>
      <c r="F360" s="177">
        <v>0</v>
      </c>
      <c r="G360" s="177">
        <f>E360*F360</f>
        <v>0</v>
      </c>
      <c r="H360" s="182" t="s">
        <v>363</v>
      </c>
      <c r="I360" s="180" t="s">
        <v>12</v>
      </c>
      <c r="J360" s="181"/>
      <c r="K360" s="181">
        <v>1</v>
      </c>
      <c r="L360" s="183"/>
      <c r="M360" s="175">
        <f t="shared" ref="M360" si="59">K360*L360*1.1</f>
        <v>0</v>
      </c>
    </row>
    <row r="361" spans="1:13" s="11" customFormat="1" ht="13.5" customHeight="1" x14ac:dyDescent="0.25">
      <c r="A361" s="56"/>
      <c r="B361" s="139"/>
      <c r="C361" s="24"/>
      <c r="D361" s="8"/>
      <c r="E361" s="23"/>
      <c r="F361" s="18"/>
      <c r="G361" s="18"/>
      <c r="H361" s="182" t="s">
        <v>364</v>
      </c>
      <c r="I361" s="180" t="s">
        <v>10</v>
      </c>
      <c r="J361" s="181"/>
      <c r="K361" s="181">
        <v>1.1200000000000001</v>
      </c>
      <c r="L361" s="183"/>
      <c r="M361" s="175">
        <f>K361*L361*1.2</f>
        <v>0</v>
      </c>
    </row>
    <row r="362" spans="1:13" s="11" customFormat="1" ht="25.5" x14ac:dyDescent="0.25">
      <c r="A362" s="56">
        <v>135</v>
      </c>
      <c r="B362" s="188" t="s">
        <v>491</v>
      </c>
      <c r="C362" s="24" t="s">
        <v>148</v>
      </c>
      <c r="D362" s="37" t="s">
        <v>150</v>
      </c>
      <c r="E362" s="32">
        <v>6</v>
      </c>
      <c r="F362" s="18"/>
      <c r="G362" s="18">
        <f>E362*F362</f>
        <v>0</v>
      </c>
      <c r="H362" s="34"/>
      <c r="I362" s="37"/>
      <c r="J362" s="32"/>
      <c r="K362" s="18"/>
      <c r="L362" s="20"/>
      <c r="M362" s="57"/>
    </row>
    <row r="363" spans="1:13" s="11" customFormat="1" x14ac:dyDescent="0.25">
      <c r="A363" s="56">
        <v>136</v>
      </c>
      <c r="B363" s="188" t="s">
        <v>492</v>
      </c>
      <c r="C363" s="24" t="s">
        <v>149</v>
      </c>
      <c r="D363" s="37" t="s">
        <v>150</v>
      </c>
      <c r="E363" s="32">
        <v>2</v>
      </c>
      <c r="F363" s="18"/>
      <c r="G363" s="18">
        <f>E363*F363</f>
        <v>0</v>
      </c>
      <c r="H363" s="34"/>
      <c r="I363" s="37"/>
      <c r="J363" s="32"/>
      <c r="K363" s="18"/>
      <c r="L363" s="20"/>
      <c r="M363" s="57"/>
    </row>
    <row r="364" spans="1:13" s="11" customFormat="1" x14ac:dyDescent="0.25">
      <c r="A364" s="86"/>
      <c r="B364" s="138"/>
      <c r="C364" s="87" t="s">
        <v>152</v>
      </c>
      <c r="D364" s="97"/>
      <c r="E364" s="89"/>
      <c r="F364" s="89"/>
      <c r="G364" s="89"/>
      <c r="H364" s="87"/>
      <c r="I364" s="91"/>
      <c r="J364" s="89"/>
      <c r="K364" s="89"/>
      <c r="L364" s="89"/>
      <c r="M364" s="90"/>
    </row>
    <row r="365" spans="1:13" s="11" customFormat="1" x14ac:dyDescent="0.25">
      <c r="A365" s="56">
        <v>137</v>
      </c>
      <c r="B365" s="188" t="s">
        <v>360</v>
      </c>
      <c r="C365" s="24" t="s">
        <v>151</v>
      </c>
      <c r="D365" s="37" t="s">
        <v>13</v>
      </c>
      <c r="E365" s="32">
        <f>4+1+1.5</f>
        <v>6.5</v>
      </c>
      <c r="F365" s="18"/>
      <c r="G365" s="18">
        <f>E365*F365</f>
        <v>0</v>
      </c>
      <c r="H365" s="34" t="s">
        <v>247</v>
      </c>
      <c r="I365" s="37" t="s">
        <v>13</v>
      </c>
      <c r="J365" s="32">
        <v>1</v>
      </c>
      <c r="K365" s="18">
        <f>J365*E365</f>
        <v>6.5</v>
      </c>
      <c r="L365" s="20"/>
      <c r="M365" s="57">
        <f>K365*L365</f>
        <v>0</v>
      </c>
    </row>
    <row r="366" spans="1:13" s="11" customFormat="1" x14ac:dyDescent="0.25">
      <c r="A366" s="56"/>
      <c r="B366" s="139"/>
      <c r="C366" s="24"/>
      <c r="D366" s="37"/>
      <c r="E366" s="32"/>
      <c r="F366" s="18"/>
      <c r="G366" s="18"/>
      <c r="H366" s="34" t="s">
        <v>248</v>
      </c>
      <c r="I366" s="37" t="s">
        <v>16</v>
      </c>
      <c r="J366" s="32">
        <f>K366/E365</f>
        <v>1.8461538461538463</v>
      </c>
      <c r="K366" s="18">
        <v>12</v>
      </c>
      <c r="L366" s="20"/>
      <c r="M366" s="57">
        <f>K366*L366</f>
        <v>0</v>
      </c>
    </row>
    <row r="367" spans="1:13" s="11" customFormat="1" x14ac:dyDescent="0.25">
      <c r="A367" s="56"/>
      <c r="B367" s="139"/>
      <c r="C367" s="24"/>
      <c r="D367" s="37"/>
      <c r="E367" s="32"/>
      <c r="F367" s="18"/>
      <c r="G367" s="18"/>
      <c r="H367" s="34" t="s">
        <v>40</v>
      </c>
      <c r="I367" s="37" t="s">
        <v>16</v>
      </c>
      <c r="J367" s="32">
        <v>0.1</v>
      </c>
      <c r="K367" s="18">
        <v>1</v>
      </c>
      <c r="L367" s="18"/>
      <c r="M367" s="57">
        <f t="shared" ref="M367:M371" si="60">K367*L367</f>
        <v>0</v>
      </c>
    </row>
    <row r="368" spans="1:13" s="11" customFormat="1" x14ac:dyDescent="0.25">
      <c r="A368" s="56"/>
      <c r="B368" s="139"/>
      <c r="C368" s="24"/>
      <c r="D368" s="37"/>
      <c r="E368" s="32"/>
      <c r="F368" s="18"/>
      <c r="G368" s="18"/>
      <c r="H368" s="34" t="s">
        <v>163</v>
      </c>
      <c r="I368" s="37" t="s">
        <v>74</v>
      </c>
      <c r="J368" s="32">
        <v>1</v>
      </c>
      <c r="K368" s="18">
        <f>J368*E365</f>
        <v>6.5</v>
      </c>
      <c r="L368" s="20"/>
      <c r="M368" s="57">
        <f t="shared" si="60"/>
        <v>0</v>
      </c>
    </row>
    <row r="369" spans="1:13" s="11" customFormat="1" x14ac:dyDescent="0.25">
      <c r="A369" s="56"/>
      <c r="B369" s="139"/>
      <c r="C369" s="24"/>
      <c r="D369" s="37"/>
      <c r="E369" s="32"/>
      <c r="F369" s="18"/>
      <c r="G369" s="18"/>
      <c r="H369" s="34" t="s">
        <v>164</v>
      </c>
      <c r="I369" s="37" t="s">
        <v>16</v>
      </c>
      <c r="J369" s="32">
        <v>0.7</v>
      </c>
      <c r="K369" s="18">
        <v>6</v>
      </c>
      <c r="L369" s="20"/>
      <c r="M369" s="57">
        <f t="shared" si="60"/>
        <v>0</v>
      </c>
    </row>
    <row r="370" spans="1:13" s="11" customFormat="1" x14ac:dyDescent="0.25">
      <c r="A370" s="56">
        <v>138</v>
      </c>
      <c r="B370" s="188" t="s">
        <v>361</v>
      </c>
      <c r="C370" s="24" t="s">
        <v>153</v>
      </c>
      <c r="D370" s="37" t="s">
        <v>13</v>
      </c>
      <c r="E370" s="32">
        <f>4+1+1.5</f>
        <v>6.5</v>
      </c>
      <c r="F370" s="18"/>
      <c r="G370" s="18">
        <f>E370*F370</f>
        <v>0</v>
      </c>
      <c r="H370" s="34" t="s">
        <v>194</v>
      </c>
      <c r="I370" s="37" t="s">
        <v>10</v>
      </c>
      <c r="J370" s="32">
        <v>0.5</v>
      </c>
      <c r="K370" s="18">
        <f>J370*E370</f>
        <v>3.25</v>
      </c>
      <c r="L370" s="20"/>
      <c r="M370" s="57">
        <f t="shared" si="60"/>
        <v>0</v>
      </c>
    </row>
    <row r="371" spans="1:13" s="11" customFormat="1" x14ac:dyDescent="0.25">
      <c r="A371" s="56"/>
      <c r="B371" s="139"/>
      <c r="C371" s="24"/>
      <c r="D371" s="37"/>
      <c r="E371" s="32"/>
      <c r="F371" s="18"/>
      <c r="G371" s="18"/>
      <c r="H371" s="34" t="s">
        <v>165</v>
      </c>
      <c r="I371" s="37" t="s">
        <v>13</v>
      </c>
      <c r="J371" s="32">
        <v>5</v>
      </c>
      <c r="K371" s="18">
        <f>J371*E370</f>
        <v>32.5</v>
      </c>
      <c r="L371" s="20"/>
      <c r="M371" s="57">
        <f t="shared" si="60"/>
        <v>0</v>
      </c>
    </row>
    <row r="372" spans="1:13" s="11" customFormat="1" x14ac:dyDescent="0.25">
      <c r="A372" s="56">
        <v>139</v>
      </c>
      <c r="B372" s="188" t="s">
        <v>362</v>
      </c>
      <c r="C372" s="22" t="s">
        <v>212</v>
      </c>
      <c r="D372" s="8" t="s">
        <v>16</v>
      </c>
      <c r="E372" s="23">
        <v>2</v>
      </c>
      <c r="F372" s="18"/>
      <c r="G372" s="18">
        <f>E372*F372</f>
        <v>0</v>
      </c>
      <c r="H372" s="170" t="s">
        <v>239</v>
      </c>
      <c r="I372" s="180" t="s">
        <v>211</v>
      </c>
      <c r="J372" s="181"/>
      <c r="K372" s="181">
        <v>2</v>
      </c>
      <c r="L372" s="174"/>
      <c r="M372" s="175">
        <f>K372*L372*1.2</f>
        <v>0</v>
      </c>
    </row>
    <row r="373" spans="1:13" s="11" customFormat="1" x14ac:dyDescent="0.25">
      <c r="A373" s="86"/>
      <c r="B373" s="138"/>
      <c r="C373" s="87" t="s">
        <v>209</v>
      </c>
      <c r="D373" s="97"/>
      <c r="E373" s="89"/>
      <c r="F373" s="89"/>
      <c r="G373" s="89"/>
      <c r="H373" s="87"/>
      <c r="I373" s="91"/>
      <c r="J373" s="89"/>
      <c r="K373" s="89"/>
      <c r="L373" s="89"/>
      <c r="M373" s="90"/>
    </row>
    <row r="374" spans="1:13" s="11" customFormat="1" ht="51" x14ac:dyDescent="0.25">
      <c r="A374" s="56">
        <v>140</v>
      </c>
      <c r="B374" s="139"/>
      <c r="C374" s="195" t="s">
        <v>359</v>
      </c>
      <c r="D374" s="196" t="s">
        <v>74</v>
      </c>
      <c r="E374" s="187">
        <v>2</v>
      </c>
      <c r="F374" s="177"/>
      <c r="G374" s="177">
        <f>E374*F374</f>
        <v>0</v>
      </c>
      <c r="H374" s="193" t="s">
        <v>357</v>
      </c>
      <c r="I374" s="191" t="s">
        <v>74</v>
      </c>
      <c r="J374" s="181"/>
      <c r="K374" s="177">
        <v>1</v>
      </c>
      <c r="L374" s="194"/>
      <c r="M374" s="175">
        <f t="shared" ref="M374:M376" si="61">K374*L374*1.1</f>
        <v>0</v>
      </c>
    </row>
    <row r="375" spans="1:13" s="11" customFormat="1" ht="51" x14ac:dyDescent="0.25">
      <c r="A375" s="56"/>
      <c r="B375" s="139"/>
      <c r="C375" s="26"/>
      <c r="D375" s="37"/>
      <c r="E375" s="23"/>
      <c r="F375" s="18"/>
      <c r="G375" s="18"/>
      <c r="H375" s="193" t="s">
        <v>358</v>
      </c>
      <c r="I375" s="191" t="s">
        <v>74</v>
      </c>
      <c r="J375" s="181"/>
      <c r="K375" s="177">
        <v>1</v>
      </c>
      <c r="L375" s="194"/>
      <c r="M375" s="175">
        <f t="shared" si="61"/>
        <v>0</v>
      </c>
    </row>
    <row r="376" spans="1:13" s="11" customFormat="1" x14ac:dyDescent="0.25">
      <c r="A376" s="56"/>
      <c r="B376" s="139"/>
      <c r="C376" s="22"/>
      <c r="D376" s="8"/>
      <c r="E376" s="23"/>
      <c r="F376" s="18"/>
      <c r="G376" s="18"/>
      <c r="H376" s="193" t="s">
        <v>233</v>
      </c>
      <c r="I376" s="191" t="s">
        <v>12</v>
      </c>
      <c r="J376" s="177"/>
      <c r="K376" s="177">
        <v>1</v>
      </c>
      <c r="L376" s="194"/>
      <c r="M376" s="175">
        <f t="shared" si="61"/>
        <v>0</v>
      </c>
    </row>
    <row r="377" spans="1:13" s="11" customFormat="1" x14ac:dyDescent="0.25">
      <c r="A377" s="56"/>
      <c r="B377" s="139"/>
      <c r="C377" s="22"/>
      <c r="D377" s="8"/>
      <c r="E377" s="23"/>
      <c r="F377" s="18"/>
      <c r="G377" s="18"/>
      <c r="H377" s="10"/>
      <c r="I377" s="13"/>
      <c r="J377" s="18"/>
      <c r="K377" s="18"/>
      <c r="L377" s="70"/>
      <c r="M377" s="57"/>
    </row>
    <row r="378" spans="1:13" s="11" customFormat="1" x14ac:dyDescent="0.25">
      <c r="A378" s="86"/>
      <c r="B378" s="138"/>
      <c r="C378" s="87" t="s">
        <v>208</v>
      </c>
      <c r="D378" s="97"/>
      <c r="E378" s="89"/>
      <c r="F378" s="89"/>
      <c r="G378" s="89"/>
      <c r="H378" s="87"/>
      <c r="I378" s="91"/>
      <c r="J378" s="89"/>
      <c r="K378" s="89"/>
      <c r="L378" s="89"/>
      <c r="M378" s="90"/>
    </row>
    <row r="379" spans="1:13" s="11" customFormat="1" x14ac:dyDescent="0.25">
      <c r="A379" s="56"/>
      <c r="B379" s="139"/>
      <c r="C379" s="24"/>
      <c r="D379" s="8"/>
      <c r="E379" s="23"/>
      <c r="F379" s="18"/>
      <c r="G379" s="18"/>
      <c r="H379" s="71" t="s">
        <v>227</v>
      </c>
      <c r="I379" s="37"/>
      <c r="J379" s="36"/>
      <c r="K379" s="18"/>
      <c r="L379" s="28"/>
      <c r="M379" s="57"/>
    </row>
    <row r="380" spans="1:13" s="11" customFormat="1" ht="38.25" x14ac:dyDescent="0.25">
      <c r="A380" s="56">
        <v>141</v>
      </c>
      <c r="B380" s="139"/>
      <c r="C380" s="170" t="s">
        <v>356</v>
      </c>
      <c r="D380" s="186" t="s">
        <v>213</v>
      </c>
      <c r="E380" s="187">
        <v>1</v>
      </c>
      <c r="F380" s="177"/>
      <c r="G380" s="177">
        <f>E380*F380</f>
        <v>0</v>
      </c>
      <c r="H380" s="182" t="s">
        <v>355</v>
      </c>
      <c r="I380" s="180" t="s">
        <v>12</v>
      </c>
      <c r="J380" s="181"/>
      <c r="K380" s="181">
        <v>1</v>
      </c>
      <c r="L380" s="181"/>
      <c r="M380" s="175">
        <f t="shared" ref="M380" si="62">K380*L380*1.1</f>
        <v>0</v>
      </c>
    </row>
    <row r="381" spans="1:13" s="11" customFormat="1" x14ac:dyDescent="0.25">
      <c r="A381" s="56"/>
      <c r="B381" s="139"/>
      <c r="C381" s="22"/>
      <c r="D381" s="8"/>
      <c r="E381" s="23"/>
      <c r="F381" s="18"/>
      <c r="G381" s="18"/>
      <c r="H381" s="71" t="s">
        <v>495</v>
      </c>
      <c r="I381" s="37"/>
      <c r="J381" s="36"/>
      <c r="K381" s="18"/>
      <c r="L381" s="28"/>
      <c r="M381" s="57"/>
    </row>
    <row r="382" spans="1:13" s="11" customFormat="1" ht="25.5" x14ac:dyDescent="0.25">
      <c r="A382" s="56">
        <v>142</v>
      </c>
      <c r="B382" s="139"/>
      <c r="C382" s="170" t="s">
        <v>356</v>
      </c>
      <c r="D382" s="186" t="s">
        <v>213</v>
      </c>
      <c r="E382" s="187">
        <v>1</v>
      </c>
      <c r="F382" s="177"/>
      <c r="G382" s="177">
        <f>E382*F382</f>
        <v>0</v>
      </c>
      <c r="H382" s="182" t="s">
        <v>496</v>
      </c>
      <c r="I382" s="180" t="s">
        <v>12</v>
      </c>
      <c r="J382" s="181"/>
      <c r="K382" s="181">
        <v>1</v>
      </c>
      <c r="L382" s="183"/>
      <c r="M382" s="175">
        <f t="shared" ref="M382:M392" si="63">K382*L382*1.1</f>
        <v>0</v>
      </c>
    </row>
    <row r="383" spans="1:13" s="11" customFormat="1" ht="25.5" x14ac:dyDescent="0.25">
      <c r="A383" s="56">
        <v>143</v>
      </c>
      <c r="B383" s="139"/>
      <c r="C383" s="170" t="s">
        <v>356</v>
      </c>
      <c r="D383" s="186" t="s">
        <v>213</v>
      </c>
      <c r="E383" s="187">
        <v>1</v>
      </c>
      <c r="F383" s="177"/>
      <c r="G383" s="177">
        <f>E383*F383</f>
        <v>0</v>
      </c>
      <c r="H383" s="182" t="s">
        <v>497</v>
      </c>
      <c r="I383" s="180" t="s">
        <v>12</v>
      </c>
      <c r="J383" s="181"/>
      <c r="K383" s="181">
        <v>1</v>
      </c>
      <c r="L383" s="183"/>
      <c r="M383" s="175">
        <f t="shared" si="63"/>
        <v>0</v>
      </c>
    </row>
    <row r="384" spans="1:13" s="11" customFormat="1" x14ac:dyDescent="0.25">
      <c r="A384" s="56">
        <v>144</v>
      </c>
      <c r="B384" s="139"/>
      <c r="C384" s="204" t="s">
        <v>522</v>
      </c>
      <c r="D384" s="186" t="s">
        <v>213</v>
      </c>
      <c r="E384" s="187">
        <v>1</v>
      </c>
      <c r="F384" s="177"/>
      <c r="G384" s="177">
        <f>E384*F384</f>
        <v>0</v>
      </c>
      <c r="H384" s="193" t="s">
        <v>498</v>
      </c>
      <c r="I384" s="191" t="s">
        <v>12</v>
      </c>
      <c r="J384" s="177"/>
      <c r="K384" s="177">
        <v>1</v>
      </c>
      <c r="L384" s="194"/>
      <c r="M384" s="175">
        <f>K384*L384*1.2</f>
        <v>0</v>
      </c>
    </row>
    <row r="385" spans="1:13" s="11" customFormat="1" ht="25.5" x14ac:dyDescent="0.25">
      <c r="A385" s="56">
        <v>145</v>
      </c>
      <c r="B385" s="139"/>
      <c r="C385" s="170" t="s">
        <v>356</v>
      </c>
      <c r="D385" s="186" t="s">
        <v>213</v>
      </c>
      <c r="E385" s="187">
        <v>1</v>
      </c>
      <c r="F385" s="177"/>
      <c r="G385" s="177">
        <f>E385*F385</f>
        <v>0</v>
      </c>
      <c r="H385" s="182" t="s">
        <v>499</v>
      </c>
      <c r="I385" s="180" t="s">
        <v>12</v>
      </c>
      <c r="J385" s="181"/>
      <c r="K385" s="181">
        <v>2</v>
      </c>
      <c r="L385" s="183"/>
      <c r="M385" s="175">
        <f>K385*L385*1.2</f>
        <v>0</v>
      </c>
    </row>
    <row r="386" spans="1:13" s="11" customFormat="1" x14ac:dyDescent="0.25">
      <c r="A386" s="56"/>
      <c r="B386" s="139"/>
      <c r="C386" s="22"/>
      <c r="D386" s="8"/>
      <c r="E386" s="23"/>
      <c r="F386" s="18"/>
      <c r="G386" s="18"/>
      <c r="H386" s="193" t="s">
        <v>500</v>
      </c>
      <c r="I386" s="180" t="s">
        <v>12</v>
      </c>
      <c r="J386" s="177"/>
      <c r="K386" s="177">
        <v>1</v>
      </c>
      <c r="L386" s="194"/>
      <c r="M386" s="175">
        <f t="shared" si="63"/>
        <v>0</v>
      </c>
    </row>
    <row r="387" spans="1:13" s="11" customFormat="1" ht="13.5" customHeight="1" x14ac:dyDescent="0.25">
      <c r="A387" s="56"/>
      <c r="B387" s="139"/>
      <c r="C387" s="22"/>
      <c r="D387" s="8"/>
      <c r="E387" s="23"/>
      <c r="F387" s="18"/>
      <c r="G387" s="18"/>
      <c r="H387" s="182" t="s">
        <v>232</v>
      </c>
      <c r="I387" s="180" t="s">
        <v>155</v>
      </c>
      <c r="J387" s="181"/>
      <c r="K387" s="181">
        <v>4</v>
      </c>
      <c r="L387" s="183"/>
      <c r="M387" s="175">
        <f>K387*L387*1.1</f>
        <v>0</v>
      </c>
    </row>
    <row r="388" spans="1:13" s="11" customFormat="1" ht="13.5" customHeight="1" x14ac:dyDescent="0.25">
      <c r="A388" s="56"/>
      <c r="B388" s="139"/>
      <c r="C388" s="22"/>
      <c r="D388" s="8"/>
      <c r="E388" s="23"/>
      <c r="F388" s="18"/>
      <c r="G388" s="18"/>
      <c r="H388" s="182" t="s">
        <v>501</v>
      </c>
      <c r="I388" s="180" t="s">
        <v>155</v>
      </c>
      <c r="J388" s="181"/>
      <c r="K388" s="181">
        <v>2</v>
      </c>
      <c r="L388" s="183"/>
      <c r="M388" s="175">
        <f>K388*L388*1.1</f>
        <v>0</v>
      </c>
    </row>
    <row r="389" spans="1:13" s="11" customFormat="1" x14ac:dyDescent="0.25">
      <c r="A389" s="56"/>
      <c r="B389" s="139"/>
      <c r="C389" s="22"/>
      <c r="D389" s="8"/>
      <c r="E389" s="23"/>
      <c r="F389" s="18"/>
      <c r="G389" s="18"/>
      <c r="H389" s="182" t="s">
        <v>201</v>
      </c>
      <c r="I389" s="180" t="s">
        <v>12</v>
      </c>
      <c r="J389" s="181"/>
      <c r="K389" s="181">
        <v>1</v>
      </c>
      <c r="L389" s="183"/>
      <c r="M389" s="175">
        <f t="shared" si="63"/>
        <v>0</v>
      </c>
    </row>
    <row r="390" spans="1:13" s="11" customFormat="1" x14ac:dyDescent="0.25">
      <c r="A390" s="56">
        <v>146</v>
      </c>
      <c r="B390" s="139"/>
      <c r="C390" s="204" t="s">
        <v>522</v>
      </c>
      <c r="D390" s="186" t="s">
        <v>213</v>
      </c>
      <c r="E390" s="187">
        <v>1</v>
      </c>
      <c r="F390" s="177"/>
      <c r="G390" s="177">
        <f>E390*F390</f>
        <v>0</v>
      </c>
      <c r="H390" s="193" t="s">
        <v>504</v>
      </c>
      <c r="I390" s="191" t="s">
        <v>12</v>
      </c>
      <c r="J390" s="177"/>
      <c r="K390" s="177">
        <v>1</v>
      </c>
      <c r="L390" s="194"/>
      <c r="M390" s="175">
        <f t="shared" si="63"/>
        <v>0</v>
      </c>
    </row>
    <row r="391" spans="1:13" s="11" customFormat="1" x14ac:dyDescent="0.25">
      <c r="A391" s="56">
        <v>147</v>
      </c>
      <c r="B391" s="139"/>
      <c r="C391" s="204" t="s">
        <v>522</v>
      </c>
      <c r="D391" s="186" t="s">
        <v>213</v>
      </c>
      <c r="E391" s="187">
        <v>1</v>
      </c>
      <c r="F391" s="177"/>
      <c r="G391" s="177">
        <f>E391*F391</f>
        <v>0</v>
      </c>
      <c r="H391" s="182" t="s">
        <v>503</v>
      </c>
      <c r="I391" s="180" t="s">
        <v>12</v>
      </c>
      <c r="J391" s="181"/>
      <c r="K391" s="181">
        <v>1</v>
      </c>
      <c r="L391" s="183"/>
      <c r="M391" s="175">
        <f t="shared" si="63"/>
        <v>0</v>
      </c>
    </row>
    <row r="392" spans="1:13" s="11" customFormat="1" x14ac:dyDescent="0.25">
      <c r="A392" s="56">
        <v>148</v>
      </c>
      <c r="B392" s="139"/>
      <c r="C392" s="204" t="s">
        <v>522</v>
      </c>
      <c r="D392" s="186" t="s">
        <v>213</v>
      </c>
      <c r="E392" s="187">
        <v>1</v>
      </c>
      <c r="F392" s="177"/>
      <c r="G392" s="177">
        <f>E392*F392</f>
        <v>0</v>
      </c>
      <c r="H392" s="182" t="s">
        <v>505</v>
      </c>
      <c r="I392" s="180" t="s">
        <v>12</v>
      </c>
      <c r="J392" s="181"/>
      <c r="K392" s="181">
        <v>1</v>
      </c>
      <c r="L392" s="183"/>
      <c r="M392" s="175">
        <f t="shared" si="63"/>
        <v>0</v>
      </c>
    </row>
    <row r="393" spans="1:13" s="11" customFormat="1" x14ac:dyDescent="0.25">
      <c r="A393" s="56"/>
      <c r="B393" s="139"/>
      <c r="C393" s="22"/>
      <c r="D393" s="8"/>
      <c r="E393" s="23"/>
      <c r="F393" s="18"/>
      <c r="G393" s="18"/>
      <c r="H393" s="182" t="s">
        <v>235</v>
      </c>
      <c r="I393" s="180" t="s">
        <v>12</v>
      </c>
      <c r="J393" s="181"/>
      <c r="K393" s="181">
        <v>3</v>
      </c>
      <c r="L393" s="183"/>
      <c r="M393" s="175">
        <f t="shared" ref="M393" si="64">K393*L393*1.1</f>
        <v>0</v>
      </c>
    </row>
    <row r="394" spans="1:13" s="11" customFormat="1" x14ac:dyDescent="0.25">
      <c r="A394" s="56"/>
      <c r="B394" s="139"/>
      <c r="C394" s="22"/>
      <c r="D394" s="8"/>
      <c r="E394" s="23"/>
      <c r="F394" s="18"/>
      <c r="G394" s="18"/>
      <c r="H394" s="182" t="s">
        <v>508</v>
      </c>
      <c r="I394" s="180" t="s">
        <v>12</v>
      </c>
      <c r="J394" s="181"/>
      <c r="K394" s="181">
        <v>1</v>
      </c>
      <c r="L394" s="183"/>
      <c r="M394" s="175">
        <f t="shared" ref="M394" si="65">K394*L394*1.1</f>
        <v>0</v>
      </c>
    </row>
    <row r="395" spans="1:13" s="11" customFormat="1" ht="38.25" x14ac:dyDescent="0.25">
      <c r="A395" s="56">
        <v>149</v>
      </c>
      <c r="B395" s="139"/>
      <c r="C395" s="204" t="s">
        <v>506</v>
      </c>
      <c r="D395" s="186" t="s">
        <v>155</v>
      </c>
      <c r="E395" s="187">
        <v>1</v>
      </c>
      <c r="F395" s="177"/>
      <c r="G395" s="177">
        <f>E395*F395</f>
        <v>0</v>
      </c>
      <c r="H395" s="193" t="s">
        <v>507</v>
      </c>
      <c r="I395" s="191" t="s">
        <v>155</v>
      </c>
      <c r="J395" s="177"/>
      <c r="K395" s="177">
        <v>1</v>
      </c>
      <c r="L395" s="194"/>
      <c r="M395" s="175">
        <f>K395*L395*1.2</f>
        <v>0</v>
      </c>
    </row>
    <row r="396" spans="1:13" s="11" customFormat="1" x14ac:dyDescent="0.25">
      <c r="A396" s="56"/>
      <c r="B396" s="139"/>
      <c r="C396" s="22"/>
      <c r="D396" s="8"/>
      <c r="E396" s="23"/>
      <c r="F396" s="18"/>
      <c r="G396" s="18"/>
      <c r="H396" s="193" t="s">
        <v>203</v>
      </c>
      <c r="I396" s="191" t="s">
        <v>155</v>
      </c>
      <c r="J396" s="177"/>
      <c r="K396" s="177">
        <v>1</v>
      </c>
      <c r="L396" s="194"/>
      <c r="M396" s="175">
        <f t="shared" ref="M396" si="66">K396*L396*1.1</f>
        <v>0</v>
      </c>
    </row>
    <row r="397" spans="1:13" s="11" customFormat="1" x14ac:dyDescent="0.25">
      <c r="A397" s="56"/>
      <c r="B397" s="139"/>
      <c r="C397" s="22"/>
      <c r="D397" s="8"/>
      <c r="E397" s="23"/>
      <c r="F397" s="18"/>
      <c r="G397" s="18"/>
      <c r="H397" s="71" t="s">
        <v>162</v>
      </c>
      <c r="I397" s="37"/>
      <c r="J397" s="36"/>
      <c r="K397" s="18"/>
      <c r="L397" s="28"/>
      <c r="M397" s="57"/>
    </row>
    <row r="398" spans="1:13" s="11" customFormat="1" ht="54" customHeight="1" x14ac:dyDescent="0.25">
      <c r="A398" s="56">
        <v>150</v>
      </c>
      <c r="B398" s="139"/>
      <c r="C398" s="170" t="s">
        <v>356</v>
      </c>
      <c r="D398" s="186" t="s">
        <v>213</v>
      </c>
      <c r="E398" s="187">
        <v>1</v>
      </c>
      <c r="F398" s="177"/>
      <c r="G398" s="177">
        <f>E398*F398</f>
        <v>0</v>
      </c>
      <c r="H398" s="182" t="s">
        <v>509</v>
      </c>
      <c r="I398" s="180" t="s">
        <v>12</v>
      </c>
      <c r="J398" s="181"/>
      <c r="K398" s="181">
        <v>1</v>
      </c>
      <c r="L398" s="183"/>
      <c r="M398" s="175">
        <f t="shared" ref="M398:M409" si="67">K398*L398*1.1</f>
        <v>0</v>
      </c>
    </row>
    <row r="399" spans="1:13" s="11" customFormat="1" ht="25.5" x14ac:dyDescent="0.25">
      <c r="A399" s="56">
        <v>151</v>
      </c>
      <c r="B399" s="139"/>
      <c r="C399" s="204" t="s">
        <v>522</v>
      </c>
      <c r="D399" s="186" t="s">
        <v>213</v>
      </c>
      <c r="E399" s="187">
        <v>1</v>
      </c>
      <c r="F399" s="177"/>
      <c r="G399" s="177">
        <f>E399*F399</f>
        <v>0</v>
      </c>
      <c r="H399" s="182" t="s">
        <v>510</v>
      </c>
      <c r="I399" s="180" t="s">
        <v>12</v>
      </c>
      <c r="J399" s="181"/>
      <c r="K399" s="181">
        <v>1</v>
      </c>
      <c r="L399" s="183"/>
      <c r="M399" s="175">
        <f t="shared" ref="M399" si="68">K399*L399*1.1</f>
        <v>0</v>
      </c>
    </row>
    <row r="400" spans="1:13" s="11" customFormat="1" x14ac:dyDescent="0.25">
      <c r="A400" s="56">
        <v>152</v>
      </c>
      <c r="B400" s="139"/>
      <c r="C400" s="204" t="s">
        <v>522</v>
      </c>
      <c r="D400" s="186" t="s">
        <v>213</v>
      </c>
      <c r="E400" s="187">
        <v>1</v>
      </c>
      <c r="F400" s="177"/>
      <c r="G400" s="177">
        <f>E400*F400</f>
        <v>0</v>
      </c>
      <c r="H400" s="182" t="s">
        <v>511</v>
      </c>
      <c r="I400" s="180" t="s">
        <v>12</v>
      </c>
      <c r="J400" s="181"/>
      <c r="K400" s="181">
        <v>5</v>
      </c>
      <c r="L400" s="183"/>
      <c r="M400" s="175">
        <f t="shared" ref="M400" si="69">K400*L400*1.1</f>
        <v>0</v>
      </c>
    </row>
    <row r="401" spans="1:13" s="11" customFormat="1" ht="25.5" x14ac:dyDescent="0.25">
      <c r="A401" s="56">
        <v>153</v>
      </c>
      <c r="B401" s="139"/>
      <c r="C401" s="170" t="s">
        <v>356</v>
      </c>
      <c r="D401" s="186" t="s">
        <v>213</v>
      </c>
      <c r="E401" s="187">
        <v>1</v>
      </c>
      <c r="F401" s="177"/>
      <c r="G401" s="177">
        <f>E401*F401</f>
        <v>0</v>
      </c>
      <c r="H401" s="182" t="s">
        <v>512</v>
      </c>
      <c r="I401" s="180" t="s">
        <v>12</v>
      </c>
      <c r="J401" s="181"/>
      <c r="K401" s="181">
        <v>1</v>
      </c>
      <c r="L401" s="183"/>
      <c r="M401" s="175">
        <f t="shared" si="67"/>
        <v>0</v>
      </c>
    </row>
    <row r="402" spans="1:13" s="11" customFormat="1" x14ac:dyDescent="0.25">
      <c r="A402" s="56"/>
      <c r="B402" s="139"/>
      <c r="C402" s="22"/>
      <c r="D402" s="8"/>
      <c r="E402" s="23"/>
      <c r="F402" s="18"/>
      <c r="G402" s="18"/>
      <c r="H402" s="193" t="s">
        <v>513</v>
      </c>
      <c r="I402" s="191" t="s">
        <v>12</v>
      </c>
      <c r="J402" s="177"/>
      <c r="K402" s="177">
        <v>3</v>
      </c>
      <c r="L402" s="194"/>
      <c r="M402" s="175">
        <f t="shared" si="67"/>
        <v>0</v>
      </c>
    </row>
    <row r="403" spans="1:13" s="11" customFormat="1" x14ac:dyDescent="0.25">
      <c r="A403" s="56"/>
      <c r="B403" s="139"/>
      <c r="C403" s="22"/>
      <c r="D403" s="8"/>
      <c r="E403" s="23"/>
      <c r="F403" s="18"/>
      <c r="G403" s="18"/>
      <c r="H403" s="193" t="s">
        <v>514</v>
      </c>
      <c r="I403" s="191" t="s">
        <v>12</v>
      </c>
      <c r="J403" s="177"/>
      <c r="K403" s="177">
        <v>1</v>
      </c>
      <c r="L403" s="194"/>
      <c r="M403" s="175">
        <f>K403*L403*1.2</f>
        <v>0</v>
      </c>
    </row>
    <row r="404" spans="1:13" s="11" customFormat="1" x14ac:dyDescent="0.25">
      <c r="A404" s="56">
        <v>154</v>
      </c>
      <c r="B404" s="139"/>
      <c r="C404" s="204" t="s">
        <v>522</v>
      </c>
      <c r="D404" s="186" t="s">
        <v>213</v>
      </c>
      <c r="E404" s="187">
        <v>1</v>
      </c>
      <c r="F404" s="177"/>
      <c r="G404" s="177">
        <f>E404*F404</f>
        <v>0</v>
      </c>
      <c r="H404" s="182" t="s">
        <v>515</v>
      </c>
      <c r="I404" s="180" t="s">
        <v>12</v>
      </c>
      <c r="J404" s="181"/>
      <c r="K404" s="181">
        <v>1</v>
      </c>
      <c r="L404" s="183"/>
      <c r="M404" s="175">
        <f t="shared" si="67"/>
        <v>0</v>
      </c>
    </row>
    <row r="405" spans="1:13" s="11" customFormat="1" ht="25.5" x14ac:dyDescent="0.25">
      <c r="A405" s="56">
        <v>155</v>
      </c>
      <c r="B405" s="139"/>
      <c r="C405" s="170" t="s">
        <v>356</v>
      </c>
      <c r="D405" s="186" t="s">
        <v>213</v>
      </c>
      <c r="E405" s="187">
        <v>1</v>
      </c>
      <c r="F405" s="177"/>
      <c r="G405" s="177">
        <f>E405*F405</f>
        <v>0</v>
      </c>
      <c r="H405" s="182" t="s">
        <v>516</v>
      </c>
      <c r="I405" s="180" t="s">
        <v>12</v>
      </c>
      <c r="J405" s="181"/>
      <c r="K405" s="181">
        <v>1</v>
      </c>
      <c r="L405" s="183"/>
      <c r="M405" s="175">
        <f>K405*L405*1.1</f>
        <v>0</v>
      </c>
    </row>
    <row r="406" spans="1:13" s="11" customFormat="1" ht="25.5" x14ac:dyDescent="0.25">
      <c r="A406" s="56">
        <v>156</v>
      </c>
      <c r="B406" s="139"/>
      <c r="C406" s="170" t="s">
        <v>356</v>
      </c>
      <c r="D406" s="186" t="s">
        <v>213</v>
      </c>
      <c r="E406" s="187">
        <v>1</v>
      </c>
      <c r="F406" s="177"/>
      <c r="G406" s="177">
        <f>E406*F406</f>
        <v>0</v>
      </c>
      <c r="H406" s="182" t="s">
        <v>517</v>
      </c>
      <c r="I406" s="191" t="s">
        <v>12</v>
      </c>
      <c r="J406" s="177"/>
      <c r="K406" s="177">
        <v>2</v>
      </c>
      <c r="L406" s="194"/>
      <c r="M406" s="175">
        <f t="shared" si="67"/>
        <v>0</v>
      </c>
    </row>
    <row r="407" spans="1:13" s="11" customFormat="1" x14ac:dyDescent="0.25">
      <c r="A407" s="56"/>
      <c r="B407" s="139"/>
      <c r="C407" s="22"/>
      <c r="D407" s="8"/>
      <c r="E407" s="23"/>
      <c r="F407" s="18"/>
      <c r="G407" s="18"/>
      <c r="H407" s="193" t="s">
        <v>520</v>
      </c>
      <c r="I407" s="180" t="s">
        <v>12</v>
      </c>
      <c r="J407" s="177"/>
      <c r="K407" s="177">
        <v>1</v>
      </c>
      <c r="L407" s="194"/>
      <c r="M407" s="175">
        <f t="shared" si="67"/>
        <v>0</v>
      </c>
    </row>
    <row r="408" spans="1:13" s="11" customFormat="1" x14ac:dyDescent="0.25">
      <c r="A408" s="56"/>
      <c r="B408" s="139"/>
      <c r="C408" s="22"/>
      <c r="D408" s="8"/>
      <c r="E408" s="23"/>
      <c r="F408" s="18"/>
      <c r="G408" s="18"/>
      <c r="H408" s="193" t="s">
        <v>518</v>
      </c>
      <c r="I408" s="191" t="s">
        <v>12</v>
      </c>
      <c r="J408" s="177"/>
      <c r="K408" s="177">
        <v>1</v>
      </c>
      <c r="L408" s="194"/>
      <c r="M408" s="175">
        <f t="shared" si="67"/>
        <v>0</v>
      </c>
    </row>
    <row r="409" spans="1:13" s="11" customFormat="1" x14ac:dyDescent="0.25">
      <c r="A409" s="56"/>
      <c r="B409" s="139"/>
      <c r="C409" s="22"/>
      <c r="D409" s="8"/>
      <c r="E409" s="23"/>
      <c r="F409" s="18"/>
      <c r="G409" s="18"/>
      <c r="H409" s="193" t="s">
        <v>519</v>
      </c>
      <c r="I409" s="191" t="s">
        <v>12</v>
      </c>
      <c r="J409" s="177"/>
      <c r="K409" s="177">
        <v>1</v>
      </c>
      <c r="L409" s="194"/>
      <c r="M409" s="175">
        <f t="shared" si="67"/>
        <v>0</v>
      </c>
    </row>
    <row r="410" spans="1:13" s="11" customFormat="1" ht="25.5" x14ac:dyDescent="0.25">
      <c r="A410" s="56">
        <v>157</v>
      </c>
      <c r="B410" s="139"/>
      <c r="C410" s="204" t="s">
        <v>506</v>
      </c>
      <c r="D410" s="186" t="s">
        <v>155</v>
      </c>
      <c r="E410" s="187">
        <v>1</v>
      </c>
      <c r="F410" s="177"/>
      <c r="G410" s="177">
        <f>E410*F410</f>
        <v>0</v>
      </c>
      <c r="H410" s="193" t="s">
        <v>521</v>
      </c>
      <c r="I410" s="191" t="s">
        <v>155</v>
      </c>
      <c r="J410" s="177"/>
      <c r="K410" s="177">
        <v>1</v>
      </c>
      <c r="L410" s="194"/>
      <c r="M410" s="175">
        <f>K410*L410*1.2</f>
        <v>0</v>
      </c>
    </row>
    <row r="411" spans="1:13" s="11" customFormat="1" x14ac:dyDescent="0.25">
      <c r="A411" s="56"/>
      <c r="B411" s="139"/>
      <c r="C411" s="22"/>
      <c r="D411" s="8"/>
      <c r="E411" s="23"/>
      <c r="F411" s="18"/>
      <c r="G411" s="18"/>
      <c r="H411" s="193" t="s">
        <v>203</v>
      </c>
      <c r="I411" s="191" t="s">
        <v>155</v>
      </c>
      <c r="J411" s="177"/>
      <c r="K411" s="177">
        <v>1</v>
      </c>
      <c r="L411" s="194"/>
      <c r="M411" s="175">
        <f t="shared" ref="M411:M412" si="70">K411*L411*1.1</f>
        <v>0</v>
      </c>
    </row>
    <row r="412" spans="1:13" s="11" customFormat="1" x14ac:dyDescent="0.25">
      <c r="A412" s="56"/>
      <c r="B412" s="139"/>
      <c r="C412" s="22"/>
      <c r="D412" s="8"/>
      <c r="E412" s="23"/>
      <c r="F412" s="18"/>
      <c r="G412" s="18"/>
      <c r="H412" s="182" t="s">
        <v>508</v>
      </c>
      <c r="I412" s="180" t="s">
        <v>12</v>
      </c>
      <c r="J412" s="181"/>
      <c r="K412" s="181">
        <v>10</v>
      </c>
      <c r="L412" s="183"/>
      <c r="M412" s="175">
        <f t="shared" si="70"/>
        <v>0</v>
      </c>
    </row>
    <row r="413" spans="1:13" s="11" customFormat="1" x14ac:dyDescent="0.25">
      <c r="A413" s="56"/>
      <c r="B413" s="139"/>
      <c r="C413" s="22"/>
      <c r="D413" s="8"/>
      <c r="E413" s="23"/>
      <c r="F413" s="18"/>
      <c r="G413" s="18"/>
      <c r="H413" s="71" t="s">
        <v>523</v>
      </c>
      <c r="I413" s="37"/>
      <c r="J413" s="36"/>
      <c r="K413" s="18"/>
      <c r="L413" s="28"/>
      <c r="M413" s="57"/>
    </row>
    <row r="414" spans="1:13" s="11" customFormat="1" ht="25.5" x14ac:dyDescent="0.25">
      <c r="A414" s="56">
        <v>158</v>
      </c>
      <c r="B414" s="139"/>
      <c r="C414" s="170" t="s">
        <v>356</v>
      </c>
      <c r="D414" s="186" t="s">
        <v>213</v>
      </c>
      <c r="E414" s="187">
        <v>1</v>
      </c>
      <c r="F414" s="177"/>
      <c r="G414" s="177">
        <f>E414*F414</f>
        <v>0</v>
      </c>
      <c r="H414" s="182" t="s">
        <v>524</v>
      </c>
      <c r="I414" s="180" t="s">
        <v>12</v>
      </c>
      <c r="J414" s="181"/>
      <c r="K414" s="181">
        <v>1</v>
      </c>
      <c r="L414" s="183"/>
      <c r="M414" s="175">
        <f t="shared" ref="M414:M415" si="71">K414*L414*1.1</f>
        <v>0</v>
      </c>
    </row>
    <row r="415" spans="1:13" s="11" customFormat="1" x14ac:dyDescent="0.25">
      <c r="A415" s="56">
        <v>159</v>
      </c>
      <c r="B415" s="139"/>
      <c r="C415" s="204" t="s">
        <v>522</v>
      </c>
      <c r="D415" s="186" t="s">
        <v>213</v>
      </c>
      <c r="E415" s="187">
        <v>1</v>
      </c>
      <c r="F415" s="177"/>
      <c r="G415" s="177">
        <f>E415*F415</f>
        <v>0</v>
      </c>
      <c r="H415" s="182" t="s">
        <v>525</v>
      </c>
      <c r="I415" s="180" t="s">
        <v>12</v>
      </c>
      <c r="J415" s="181"/>
      <c r="K415" s="181">
        <v>1</v>
      </c>
      <c r="L415" s="183"/>
      <c r="M415" s="175">
        <f t="shared" si="71"/>
        <v>0</v>
      </c>
    </row>
    <row r="416" spans="1:13" s="11" customFormat="1" x14ac:dyDescent="0.25">
      <c r="A416" s="56">
        <v>160</v>
      </c>
      <c r="B416" s="139"/>
      <c r="C416" s="204" t="s">
        <v>506</v>
      </c>
      <c r="D416" s="186" t="s">
        <v>155</v>
      </c>
      <c r="E416" s="187">
        <v>1</v>
      </c>
      <c r="F416" s="177"/>
      <c r="G416" s="177">
        <f>E416*F416</f>
        <v>0</v>
      </c>
      <c r="H416" s="193" t="s">
        <v>526</v>
      </c>
      <c r="I416" s="191" t="s">
        <v>155</v>
      </c>
      <c r="J416" s="177"/>
      <c r="K416" s="177">
        <v>5</v>
      </c>
      <c r="L416" s="194"/>
      <c r="M416" s="175">
        <f>K416*L416*1.2</f>
        <v>0</v>
      </c>
    </row>
    <row r="417" spans="1:13" s="11" customFormat="1" x14ac:dyDescent="0.25">
      <c r="A417" s="56"/>
      <c r="B417" s="139"/>
      <c r="C417" s="22"/>
      <c r="D417" s="8"/>
      <c r="E417" s="23"/>
      <c r="F417" s="18"/>
      <c r="G417" s="18"/>
      <c r="H417" s="193" t="s">
        <v>203</v>
      </c>
      <c r="I417" s="191" t="s">
        <v>155</v>
      </c>
      <c r="J417" s="177"/>
      <c r="K417" s="177">
        <v>5</v>
      </c>
      <c r="L417" s="194"/>
      <c r="M417" s="175">
        <f t="shared" ref="M417" si="72">K417*L417*1.1</f>
        <v>0</v>
      </c>
    </row>
    <row r="418" spans="1:13" s="11" customFormat="1" ht="25.5" x14ac:dyDescent="0.25">
      <c r="A418" s="56">
        <v>161</v>
      </c>
      <c r="B418" s="139"/>
      <c r="C418" s="204" t="s">
        <v>506</v>
      </c>
      <c r="D418" s="186" t="s">
        <v>155</v>
      </c>
      <c r="E418" s="187">
        <v>1</v>
      </c>
      <c r="F418" s="177"/>
      <c r="G418" s="177">
        <f>E418*F418</f>
        <v>0</v>
      </c>
      <c r="H418" s="193" t="s">
        <v>527</v>
      </c>
      <c r="I418" s="191" t="s">
        <v>155</v>
      </c>
      <c r="J418" s="177"/>
      <c r="K418" s="177">
        <v>1</v>
      </c>
      <c r="L418" s="194"/>
      <c r="M418" s="175">
        <f>K418*L418*1.2</f>
        <v>0</v>
      </c>
    </row>
    <row r="419" spans="1:13" s="11" customFormat="1" x14ac:dyDescent="0.25">
      <c r="A419" s="56"/>
      <c r="B419" s="139"/>
      <c r="C419" s="22"/>
      <c r="D419" s="8"/>
      <c r="E419" s="23"/>
      <c r="F419" s="18"/>
      <c r="G419" s="18"/>
      <c r="H419" s="193" t="s">
        <v>203</v>
      </c>
      <c r="I419" s="191" t="s">
        <v>155</v>
      </c>
      <c r="J419" s="177"/>
      <c r="K419" s="177">
        <v>1</v>
      </c>
      <c r="L419" s="194"/>
      <c r="M419" s="175">
        <f t="shared" ref="M419" si="73">K419*L419*1.1</f>
        <v>0</v>
      </c>
    </row>
    <row r="420" spans="1:13" s="11" customFormat="1" x14ac:dyDescent="0.25">
      <c r="A420" s="86"/>
      <c r="B420" s="138"/>
      <c r="C420" s="87" t="s">
        <v>19</v>
      </c>
      <c r="D420" s="88"/>
      <c r="E420" s="89"/>
      <c r="F420" s="89"/>
      <c r="G420" s="89"/>
      <c r="H420" s="87"/>
      <c r="I420" s="88"/>
      <c r="J420" s="89"/>
      <c r="K420" s="89"/>
      <c r="L420" s="89"/>
      <c r="M420" s="90"/>
    </row>
    <row r="421" spans="1:13" s="2" customFormat="1" ht="25.5" x14ac:dyDescent="0.25">
      <c r="A421" s="56">
        <v>162</v>
      </c>
      <c r="B421" s="188" t="s">
        <v>551</v>
      </c>
      <c r="C421" s="25" t="s">
        <v>41</v>
      </c>
      <c r="D421" s="12" t="s">
        <v>23</v>
      </c>
      <c r="E421" s="18">
        <v>16</v>
      </c>
      <c r="F421" s="18"/>
      <c r="G421" s="18">
        <f t="shared" ref="G421:G428" si="74">E421*F421</f>
        <v>0</v>
      </c>
      <c r="H421" s="25" t="s">
        <v>20</v>
      </c>
      <c r="I421" s="12" t="s">
        <v>12</v>
      </c>
      <c r="J421" s="18">
        <v>50</v>
      </c>
      <c r="K421" s="18">
        <f>J421*E421</f>
        <v>800</v>
      </c>
      <c r="L421" s="18"/>
      <c r="M421" s="57">
        <f>K421*L421</f>
        <v>0</v>
      </c>
    </row>
    <row r="422" spans="1:13" s="2" customFormat="1" x14ac:dyDescent="0.25">
      <c r="A422" s="56">
        <v>163</v>
      </c>
      <c r="B422" s="188" t="s">
        <v>552</v>
      </c>
      <c r="C422" s="25" t="s">
        <v>42</v>
      </c>
      <c r="D422" s="12" t="s">
        <v>23</v>
      </c>
      <c r="E422" s="18">
        <v>16</v>
      </c>
      <c r="F422" s="18"/>
      <c r="G422" s="18">
        <f t="shared" si="74"/>
        <v>0</v>
      </c>
      <c r="H422" s="25"/>
      <c r="I422" s="12"/>
      <c r="J422" s="18"/>
      <c r="K422" s="18"/>
      <c r="L422" s="18"/>
      <c r="M422" s="57"/>
    </row>
    <row r="423" spans="1:13" s="2" customFormat="1" x14ac:dyDescent="0.25">
      <c r="A423" s="56">
        <v>164</v>
      </c>
      <c r="B423" s="188" t="s">
        <v>554</v>
      </c>
      <c r="C423" s="25" t="s">
        <v>553</v>
      </c>
      <c r="D423" s="12" t="s">
        <v>23</v>
      </c>
      <c r="E423" s="18">
        <v>16</v>
      </c>
      <c r="F423" s="18"/>
      <c r="G423" s="18">
        <f t="shared" si="74"/>
        <v>0</v>
      </c>
      <c r="H423" s="25"/>
      <c r="I423" s="12"/>
      <c r="J423" s="18"/>
      <c r="K423" s="18"/>
      <c r="L423" s="18"/>
      <c r="M423" s="57"/>
    </row>
    <row r="424" spans="1:13" s="2" customFormat="1" x14ac:dyDescent="0.25">
      <c r="A424" s="56">
        <v>165</v>
      </c>
      <c r="B424" s="188" t="s">
        <v>555</v>
      </c>
      <c r="C424" s="25" t="s">
        <v>43</v>
      </c>
      <c r="D424" s="12" t="s">
        <v>23</v>
      </c>
      <c r="E424" s="18">
        <v>16</v>
      </c>
      <c r="F424" s="18"/>
      <c r="G424" s="18">
        <f t="shared" si="74"/>
        <v>0</v>
      </c>
      <c r="H424" s="13"/>
      <c r="I424" s="13"/>
      <c r="J424" s="18"/>
      <c r="K424" s="18"/>
      <c r="L424" s="18"/>
      <c r="M424" s="57"/>
    </row>
    <row r="425" spans="1:13" s="2" customFormat="1" x14ac:dyDescent="0.25">
      <c r="A425" s="56">
        <v>166</v>
      </c>
      <c r="B425" s="188" t="s">
        <v>556</v>
      </c>
      <c r="C425" s="25" t="s">
        <v>44</v>
      </c>
      <c r="D425" s="12" t="s">
        <v>287</v>
      </c>
      <c r="E425" s="18">
        <v>30</v>
      </c>
      <c r="F425" s="18"/>
      <c r="G425" s="18">
        <f t="shared" si="74"/>
        <v>0</v>
      </c>
      <c r="H425" s="13"/>
      <c r="I425" s="13"/>
      <c r="J425" s="18"/>
      <c r="K425" s="18"/>
      <c r="L425" s="18"/>
      <c r="M425" s="57"/>
    </row>
    <row r="426" spans="1:13" s="2" customFormat="1" ht="25.5" x14ac:dyDescent="0.25">
      <c r="A426" s="56">
        <v>167</v>
      </c>
      <c r="B426" s="188" t="s">
        <v>557</v>
      </c>
      <c r="C426" s="25" t="s">
        <v>560</v>
      </c>
      <c r="D426" s="12" t="s">
        <v>287</v>
      </c>
      <c r="E426" s="18">
        <v>30</v>
      </c>
      <c r="F426" s="18"/>
      <c r="G426" s="18">
        <f t="shared" si="74"/>
        <v>0</v>
      </c>
      <c r="H426" s="13"/>
      <c r="I426" s="13"/>
      <c r="J426" s="18"/>
      <c r="K426" s="18"/>
      <c r="L426" s="18"/>
      <c r="M426" s="57"/>
    </row>
    <row r="427" spans="1:13" s="2" customFormat="1" x14ac:dyDescent="0.25">
      <c r="A427" s="56">
        <v>168</v>
      </c>
      <c r="B427" s="188" t="s">
        <v>558</v>
      </c>
      <c r="C427" s="25" t="s">
        <v>45</v>
      </c>
      <c r="D427" s="12" t="s">
        <v>46</v>
      </c>
      <c r="E427" s="18">
        <v>20</v>
      </c>
      <c r="F427" s="18"/>
      <c r="G427" s="18">
        <f t="shared" si="74"/>
        <v>0</v>
      </c>
      <c r="H427" s="13"/>
      <c r="I427" s="13"/>
      <c r="J427" s="18"/>
      <c r="K427" s="18"/>
      <c r="L427" s="18"/>
      <c r="M427" s="57"/>
    </row>
    <row r="428" spans="1:13" s="2" customFormat="1" ht="13.5" thickBot="1" x14ac:dyDescent="0.3">
      <c r="A428" s="212">
        <v>169</v>
      </c>
      <c r="B428" s="213" t="s">
        <v>559</v>
      </c>
      <c r="C428" s="214" t="s">
        <v>191</v>
      </c>
      <c r="D428" s="215" t="s">
        <v>10</v>
      </c>
      <c r="E428" s="216">
        <f>53.89*4</f>
        <v>215.56</v>
      </c>
      <c r="F428" s="216"/>
      <c r="G428" s="216">
        <f t="shared" si="74"/>
        <v>0</v>
      </c>
      <c r="H428" s="217"/>
      <c r="I428" s="217"/>
      <c r="J428" s="216"/>
      <c r="K428" s="216"/>
      <c r="L428" s="216"/>
      <c r="M428" s="218"/>
    </row>
    <row r="429" spans="1:13" s="2" customFormat="1" x14ac:dyDescent="0.25">
      <c r="A429" s="219"/>
      <c r="B429" s="220"/>
      <c r="C429" s="221" t="s">
        <v>175</v>
      </c>
      <c r="D429" s="222"/>
      <c r="E429" s="223"/>
      <c r="F429" s="223"/>
      <c r="G429" s="223">
        <f>SUM(G11:G428)</f>
        <v>0</v>
      </c>
      <c r="H429" s="224" t="s">
        <v>30</v>
      </c>
      <c r="I429" s="225"/>
      <c r="J429" s="226"/>
      <c r="K429" s="227"/>
      <c r="L429" s="227"/>
      <c r="M429" s="228">
        <f>SUM(M11:M428)</f>
        <v>0</v>
      </c>
    </row>
    <row r="430" spans="1:13" s="2" customFormat="1" x14ac:dyDescent="0.25">
      <c r="A430" s="105"/>
      <c r="B430" s="140"/>
      <c r="C430" s="106"/>
      <c r="D430" s="107"/>
      <c r="E430" s="108"/>
      <c r="F430" s="108"/>
      <c r="G430" s="108"/>
      <c r="H430" s="15" t="s">
        <v>242</v>
      </c>
      <c r="I430" s="3">
        <v>0.03</v>
      </c>
      <c r="J430" s="109"/>
      <c r="K430" s="110"/>
      <c r="L430" s="110"/>
      <c r="M430" s="54">
        <f>M429*I430</f>
        <v>0</v>
      </c>
    </row>
    <row r="431" spans="1:13" s="2" customFormat="1" x14ac:dyDescent="0.25">
      <c r="A431" s="53"/>
      <c r="B431" s="141"/>
      <c r="C431" s="15"/>
      <c r="D431" s="3"/>
      <c r="E431" s="19"/>
      <c r="F431" s="19"/>
      <c r="G431" s="19"/>
      <c r="H431" s="9" t="s">
        <v>25</v>
      </c>
      <c r="I431" s="4">
        <v>0.05</v>
      </c>
      <c r="J431" s="76"/>
      <c r="K431" s="21"/>
      <c r="L431" s="21"/>
      <c r="M431" s="54">
        <f>M429*I431</f>
        <v>0</v>
      </c>
    </row>
    <row r="432" spans="1:13" s="2" customFormat="1" ht="13.5" thickBot="1" x14ac:dyDescent="0.3">
      <c r="A432" s="58"/>
      <c r="B432" s="142"/>
      <c r="C432" s="59" t="s">
        <v>176</v>
      </c>
      <c r="D432" s="60"/>
      <c r="E432" s="61"/>
      <c r="F432" s="61"/>
      <c r="G432" s="61">
        <f>G429+M429+M430+M431</f>
        <v>0</v>
      </c>
      <c r="H432" s="62"/>
      <c r="I432" s="63"/>
      <c r="J432" s="77"/>
      <c r="K432" s="64"/>
      <c r="L432" s="64"/>
      <c r="M432" s="55"/>
    </row>
    <row r="434" spans="1:13" x14ac:dyDescent="0.25">
      <c r="M434" s="74"/>
    </row>
    <row r="435" spans="1:13" x14ac:dyDescent="0.25">
      <c r="A435" s="79"/>
      <c r="B435" s="79"/>
      <c r="C435" s="49"/>
      <c r="D435" s="80"/>
      <c r="E435" s="80"/>
      <c r="F435" s="79"/>
      <c r="G435" s="81"/>
      <c r="H435" s="80"/>
      <c r="I435" s="234"/>
      <c r="J435" s="234"/>
      <c r="K435" s="125"/>
      <c r="L435" s="5"/>
      <c r="M435" s="50"/>
    </row>
    <row r="436" spans="1:13" x14ac:dyDescent="0.25">
      <c r="A436" s="79"/>
      <c r="B436" s="79"/>
      <c r="C436" s="123"/>
      <c r="D436" s="80"/>
      <c r="E436" s="80"/>
      <c r="F436" s="79"/>
      <c r="G436" s="81"/>
      <c r="H436" s="82"/>
      <c r="I436" s="82"/>
      <c r="J436" s="94"/>
      <c r="K436" s="83"/>
      <c r="L436" s="5"/>
      <c r="M436" s="50"/>
    </row>
    <row r="437" spans="1:13" x14ac:dyDescent="0.25">
      <c r="A437" s="79"/>
      <c r="B437" s="79"/>
      <c r="C437" s="51"/>
      <c r="D437" s="80"/>
      <c r="E437" s="80"/>
      <c r="F437" s="84"/>
      <c r="G437" s="211"/>
      <c r="H437" s="80"/>
      <c r="I437" s="52"/>
      <c r="J437" s="95"/>
      <c r="K437" s="52"/>
      <c r="L437" s="5"/>
      <c r="M437" s="50"/>
    </row>
    <row r="438" spans="1:13" x14ac:dyDescent="0.25">
      <c r="A438" s="79"/>
      <c r="B438" s="79"/>
      <c r="D438" s="80"/>
      <c r="E438" s="80"/>
      <c r="F438" s="80"/>
      <c r="G438" s="82"/>
      <c r="H438" s="80"/>
      <c r="I438" s="235"/>
      <c r="J438" s="235"/>
      <c r="K438" s="126"/>
      <c r="L438" s="5"/>
      <c r="M438" s="50"/>
    </row>
    <row r="439" spans="1:13" x14ac:dyDescent="0.25">
      <c r="A439" s="85"/>
      <c r="B439" s="85"/>
      <c r="C439" s="51"/>
      <c r="D439" s="85"/>
      <c r="E439" s="85"/>
      <c r="F439" s="85"/>
      <c r="G439" s="85"/>
      <c r="H439" s="85"/>
      <c r="I439" s="126"/>
      <c r="J439" s="96"/>
      <c r="K439" s="126"/>
      <c r="L439" s="5"/>
      <c r="M439" s="50"/>
    </row>
    <row r="440" spans="1:13" s="6" customFormat="1" ht="12.75" customHeight="1" x14ac:dyDescent="0.25">
      <c r="A440" s="52"/>
      <c r="B440" s="52"/>
      <c r="C440" s="51"/>
      <c r="D440" s="52"/>
      <c r="E440" s="52"/>
      <c r="F440" s="52"/>
      <c r="G440" s="211"/>
      <c r="H440" s="52"/>
      <c r="I440" s="236"/>
      <c r="J440" s="236"/>
      <c r="K440" s="236"/>
      <c r="L440" s="5"/>
      <c r="M440" s="50"/>
    </row>
    <row r="443" spans="1:13" s="6" customFormat="1" x14ac:dyDescent="0.25">
      <c r="A443" s="5"/>
      <c r="B443" s="5"/>
      <c r="C443" s="5"/>
      <c r="E443" s="7"/>
      <c r="H443" s="75"/>
      <c r="J443" s="93"/>
    </row>
    <row r="447" spans="1:13" s="6" customFormat="1" x14ac:dyDescent="0.25">
      <c r="A447" s="5"/>
      <c r="B447" s="5"/>
      <c r="C447" s="5"/>
      <c r="E447" s="7"/>
      <c r="H447" s="5"/>
      <c r="J447" s="93"/>
    </row>
  </sheetData>
  <autoFilter ref="H1:H447" xr:uid="{00000000-0009-0000-0000-000000000000}"/>
  <mergeCells count="10">
    <mergeCell ref="I435:J435"/>
    <mergeCell ref="I438:J438"/>
    <mergeCell ref="I440:K440"/>
    <mergeCell ref="A1:C1"/>
    <mergeCell ref="A3:K3"/>
    <mergeCell ref="A5:K5"/>
    <mergeCell ref="A6:K6"/>
    <mergeCell ref="A7:A8"/>
    <mergeCell ref="C7:G7"/>
    <mergeCell ref="H7:M7"/>
  </mergeCells>
  <pageMargins left="0.25" right="0.25" top="0.75" bottom="0.75" header="0.3" footer="0.3"/>
  <pageSetup paperSize="9" scale="68" fitToHeight="0" orientation="landscape" horizontalDpi="4294967295" verticalDpi="4294967295" r:id="rId1"/>
  <headerFooter>
    <oddFooter>&amp;C&amp;P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214 ДЦ 24.01.19 - Я</vt:lpstr>
      <vt:lpstr>'214 ДЦ 24.01.19 - Я'!Заголовки_для_печати</vt:lpstr>
      <vt:lpstr>'214 ДЦ 24.01.19 - 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Мирошник</dc:creator>
  <cp:lastModifiedBy>Пользователь</cp:lastModifiedBy>
  <cp:lastPrinted>2019-01-24T15:26:43Z</cp:lastPrinted>
  <dcterms:created xsi:type="dcterms:W3CDTF">2016-02-29T12:04:22Z</dcterms:created>
  <dcterms:modified xsi:type="dcterms:W3CDTF">2019-01-30T08:50:55Z</dcterms:modified>
</cp:coreProperties>
</file>