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8235"/>
  </bookViews>
  <sheets>
    <sheet name="ДЦ" sheetId="1" r:id="rId1"/>
  </sheets>
  <definedNames>
    <definedName name="_xlnm._FilterDatabase" localSheetId="0" hidden="1">ДЦ!$A$3:$I$123</definedName>
  </definedNames>
  <calcPr calcId="145621"/>
  <fileRecoveryPr autoRecover="0"/>
</workbook>
</file>

<file path=xl/calcChain.xml><?xml version="1.0" encoding="utf-8"?>
<calcChain xmlns="http://schemas.openxmlformats.org/spreadsheetml/2006/main">
  <c r="I78" i="1" l="1"/>
  <c r="I79" i="1"/>
  <c r="I80" i="1"/>
  <c r="I81" i="1"/>
  <c r="I82" i="1"/>
  <c r="F77" i="1"/>
  <c r="D111" i="1" l="1"/>
  <c r="D112" i="1" s="1"/>
  <c r="H112" i="1" s="1"/>
  <c r="D107" i="1"/>
  <c r="H110" i="1"/>
  <c r="H108" i="1"/>
  <c r="D109" i="1" l="1"/>
  <c r="H111" i="1"/>
  <c r="H109" i="1" l="1"/>
  <c r="D113" i="1" l="1"/>
  <c r="D99" i="1"/>
  <c r="D12" i="1" l="1"/>
  <c r="D84" i="1"/>
  <c r="H86" i="1"/>
  <c r="H87" i="1"/>
  <c r="H88" i="1"/>
  <c r="D85" i="1" l="1"/>
  <c r="D90" i="1"/>
  <c r="D96" i="1" l="1"/>
  <c r="F84" i="1"/>
  <c r="F96" i="1" l="1"/>
  <c r="D97" i="1"/>
  <c r="H85" i="1"/>
  <c r="I84" i="1" s="1"/>
  <c r="H97" i="1" l="1"/>
  <c r="I96" i="1" s="1"/>
  <c r="D50" i="1" l="1"/>
  <c r="D64" i="1"/>
  <c r="D66" i="1"/>
  <c r="D72" i="1"/>
  <c r="D60" i="1"/>
  <c r="D69" i="1"/>
  <c r="D75" i="1"/>
  <c r="D25" i="1"/>
  <c r="D14" i="1"/>
  <c r="D34" i="1" l="1"/>
  <c r="D28" i="1"/>
  <c r="D32" i="1"/>
  <c r="D26" i="1"/>
  <c r="D27" i="1"/>
  <c r="H27" i="1" s="1"/>
  <c r="F25" i="1"/>
  <c r="H31" i="1"/>
  <c r="D29" i="1"/>
  <c r="D15" i="1"/>
  <c r="D13" i="1"/>
  <c r="H13" i="1" s="1"/>
  <c r="H28" i="1" l="1"/>
  <c r="D35" i="1"/>
  <c r="D30" i="1"/>
  <c r="H26" i="1"/>
  <c r="D33" i="1"/>
  <c r="D42" i="1"/>
  <c r="D36" i="1"/>
  <c r="D45" i="1"/>
  <c r="F32" i="1"/>
  <c r="H29" i="1"/>
  <c r="H30" i="1" l="1"/>
  <c r="I25" i="1" s="1"/>
  <c r="H33" i="1"/>
  <c r="I32" i="1" s="1"/>
  <c r="F36" i="1"/>
  <c r="D39" i="1"/>
  <c r="D38" i="1"/>
  <c r="D37" i="1"/>
  <c r="D43" i="1"/>
  <c r="F42" i="1"/>
  <c r="D44" i="1"/>
  <c r="F45" i="1"/>
  <c r="D46" i="1"/>
  <c r="H37" i="1" l="1"/>
  <c r="H38" i="1"/>
  <c r="H44" i="1"/>
  <c r="H46" i="1"/>
  <c r="I45" i="1" s="1"/>
  <c r="H43" i="1"/>
  <c r="D41" i="1"/>
  <c r="D40" i="1"/>
  <c r="F39" i="1"/>
  <c r="D114" i="1"/>
  <c r="H35" i="1"/>
  <c r="I42" i="1" l="1"/>
  <c r="I36" i="1"/>
  <c r="H40" i="1"/>
  <c r="H41" i="1"/>
  <c r="F34" i="1"/>
  <c r="I34" i="1" s="1"/>
  <c r="I39" i="1" l="1"/>
  <c r="D94" i="1"/>
  <c r="D92" i="1"/>
  <c r="D91" i="1"/>
  <c r="H92" i="1" l="1"/>
  <c r="D93" i="1"/>
  <c r="H91" i="1"/>
  <c r="H93" i="1" l="1"/>
  <c r="H55" i="1"/>
  <c r="H54" i="1"/>
  <c r="H53" i="1"/>
  <c r="H50" i="1" l="1"/>
  <c r="H51" i="1"/>
  <c r="D20" i="1" l="1"/>
  <c r="D19" i="1" l="1"/>
  <c r="H16" i="1"/>
  <c r="H18" i="1"/>
  <c r="H17" i="1"/>
  <c r="H19" i="1" l="1"/>
  <c r="F75" i="1"/>
  <c r="D76" i="1"/>
  <c r="D61" i="1"/>
  <c r="D74" i="1"/>
  <c r="D65" i="1"/>
  <c r="D62" i="1"/>
  <c r="D59" i="1"/>
  <c r="H56" i="1"/>
  <c r="F48" i="1"/>
  <c r="H52" i="1"/>
  <c r="D57" i="1"/>
  <c r="D49" i="1"/>
  <c r="D58" i="1"/>
  <c r="F58" i="1" l="1"/>
  <c r="H49" i="1"/>
  <c r="H74" i="1"/>
  <c r="H57" i="1"/>
  <c r="H59" i="1"/>
  <c r="H61" i="1"/>
  <c r="H76" i="1"/>
  <c r="I75" i="1" s="1"/>
  <c r="F60" i="1"/>
  <c r="H65" i="1"/>
  <c r="F64" i="1"/>
  <c r="H62" i="1"/>
  <c r="D63" i="1"/>
  <c r="I58" i="1" l="1"/>
  <c r="I48" i="1"/>
  <c r="H63" i="1"/>
  <c r="I60" i="1" s="1"/>
  <c r="I64" i="1"/>
  <c r="F104" i="1" l="1"/>
  <c r="F90" i="1"/>
  <c r="I90" i="1" s="1"/>
  <c r="F12" i="1"/>
  <c r="D101" i="1" l="1"/>
  <c r="F99" i="1"/>
  <c r="F107" i="1"/>
  <c r="I107" i="1" s="1"/>
  <c r="H114" i="1"/>
  <c r="F113" i="1"/>
  <c r="D105" i="1"/>
  <c r="H15" i="1"/>
  <c r="H14" i="1"/>
  <c r="D115" i="1"/>
  <c r="D100" i="1"/>
  <c r="F20" i="1"/>
  <c r="H100" i="1" l="1"/>
  <c r="I99" i="1" s="1"/>
  <c r="H115" i="1"/>
  <c r="I113" i="1" s="1"/>
  <c r="H105" i="1"/>
  <c r="I104" i="1" s="1"/>
  <c r="F101" i="1"/>
  <c r="D102" i="1"/>
  <c r="D103" i="1"/>
  <c r="I12" i="1"/>
  <c r="D22" i="1"/>
  <c r="D21" i="1"/>
  <c r="H103" i="1" l="1"/>
  <c r="I101" i="1" s="1"/>
  <c r="H102" i="1"/>
  <c r="H21" i="1"/>
  <c r="H22" i="1"/>
  <c r="D23" i="1"/>
  <c r="D95" i="1"/>
  <c r="F94" i="1"/>
  <c r="H23" i="1" l="1"/>
  <c r="I20" i="1" s="1"/>
  <c r="H95" i="1"/>
  <c r="I94" i="1" s="1"/>
  <c r="D68" i="1"/>
  <c r="D67" i="1"/>
  <c r="F66" i="1"/>
  <c r="F72" i="1"/>
  <c r="D73" i="1"/>
  <c r="D70" i="1"/>
  <c r="D71" i="1"/>
  <c r="F69" i="1"/>
  <c r="H71" i="1" l="1"/>
  <c r="H70" i="1"/>
  <c r="H67" i="1"/>
  <c r="H73" i="1"/>
  <c r="I72" i="1" s="1"/>
  <c r="H68" i="1"/>
  <c r="I69" i="1" l="1"/>
  <c r="H122" i="1"/>
  <c r="I66" i="1"/>
  <c r="F122" i="1"/>
  <c r="I123" i="1" l="1"/>
</calcChain>
</file>

<file path=xl/sharedStrings.xml><?xml version="1.0" encoding="utf-8"?>
<sst xmlns="http://schemas.openxmlformats.org/spreadsheetml/2006/main" count="239" uniqueCount="110">
  <si>
    <t>м2</t>
  </si>
  <si>
    <t>мп</t>
  </si>
  <si>
    <t>ДОГОВІРНА ЦІНА</t>
  </si>
  <si>
    <t xml:space="preserve"> </t>
  </si>
  <si>
    <t>№ п/п</t>
  </si>
  <si>
    <t>Кіл-ть</t>
  </si>
  <si>
    <t>Робота</t>
  </si>
  <si>
    <t>Матеріали</t>
  </si>
  <si>
    <t>Разом:</t>
  </si>
  <si>
    <t>Замовник</t>
  </si>
  <si>
    <t>Підрядник</t>
  </si>
  <si>
    <t>Директор</t>
  </si>
  <si>
    <t>ТОВ _____________________________</t>
  </si>
  <si>
    <t>____________________________________________</t>
  </si>
  <si>
    <t>шт</t>
  </si>
  <si>
    <t>Улаштування стелі із ГКЛ</t>
  </si>
  <si>
    <t>Фарбування стелі</t>
  </si>
  <si>
    <t>кг</t>
  </si>
  <si>
    <t>Грунтування стелі</t>
  </si>
  <si>
    <t>Шпатлювання стелі під склохолст</t>
  </si>
  <si>
    <t>Наклеювання склохолста на стелю</t>
  </si>
  <si>
    <t>Шпатлювання стелі 2 рази під фарбування</t>
  </si>
  <si>
    <t>Улаштування утеплення ГК конструкції мінватою</t>
  </si>
  <si>
    <t>Грунтування стін</t>
  </si>
  <si>
    <t>Грунтування стін перед облицювання плиткою</t>
  </si>
  <si>
    <t>Грунтовка глубокопроникаюча СТ-17 супер</t>
  </si>
  <si>
    <t>л</t>
  </si>
  <si>
    <t>Клей для плитки CМ-17</t>
  </si>
  <si>
    <t>Облицювання стін плиткою</t>
  </si>
  <si>
    <t>Облицювання укосів стін плиткою</t>
  </si>
  <si>
    <t>Облицювання підлоги плиткою</t>
  </si>
  <si>
    <t>Монтаж перфорованого кутника</t>
  </si>
  <si>
    <t>Підлога</t>
  </si>
  <si>
    <t>Стелі</t>
  </si>
  <si>
    <t>Стіни</t>
  </si>
  <si>
    <t>Гіпсокартон KNAUF Україна 1200х2000х12 (вологостійкий)</t>
  </si>
  <si>
    <t>Самонаріз д/ГК метал.3,5*25мм (1000шт) фосфат.</t>
  </si>
  <si>
    <t>Дюбель/шуруп 6*40 гриб ПЕ (100шт.)</t>
  </si>
  <si>
    <t>Прямий підвіс (Універсальний)(толщ. 0,80 мм)</t>
  </si>
  <si>
    <t>Шуруп (для г/к, дерева), сірий фосфат, 3,5*35 (1000)</t>
  </si>
  <si>
    <t>Шуруп для г/к профілю зі свердлом, цинк, STARK, 3,5*9,5 (100)</t>
  </si>
  <si>
    <t>З'єднувач подовжуючий 60 * 90(толщ. 0,40мм)</t>
  </si>
  <si>
    <t>З'єднувач Кутовий(толщ. 0,60мм)</t>
  </si>
  <si>
    <t>Минеральная вата 100мм/4м2</t>
  </si>
  <si>
    <t>рул</t>
  </si>
  <si>
    <t>Стрічка армуюча</t>
  </si>
  <si>
    <t>Шпаклівка мультіфініш</t>
  </si>
  <si>
    <t>шліфшкурки</t>
  </si>
  <si>
    <t>рулон</t>
  </si>
  <si>
    <t>Склохолст</t>
  </si>
  <si>
    <t>Клей для склохолста</t>
  </si>
  <si>
    <t>Готова акрілова шпаклівка Sem Joint Compоund 15 кг</t>
  </si>
  <si>
    <t>Перфорований кутник</t>
  </si>
  <si>
    <t>З ПДВ, грн :</t>
  </si>
  <si>
    <t>Найменування робіт та матеріалів</t>
  </si>
  <si>
    <t>Од. вим</t>
  </si>
  <si>
    <t>Самонаріз д/ГК метал.3,5*35мм (1000шт) фосфат.</t>
  </si>
  <si>
    <t>Саморез 3.5*9</t>
  </si>
  <si>
    <t>Гіпсокартон KNAUF Україна 1200х2500х10</t>
  </si>
  <si>
    <t>Фарба</t>
  </si>
  <si>
    <t>Шпатлювання стін старт, фініш</t>
  </si>
  <si>
    <t>Шпаклівка Ротбанд</t>
  </si>
  <si>
    <t>Плитка (матеріал замовника)</t>
  </si>
  <si>
    <t>На оздоблювальні роботи на об'єкті "СЕМЕЙНЫЙ ДОМИК" комплекс Шелест</t>
  </si>
  <si>
    <t>за адресою Вишгородський район, Київська область, Лебедівська сільська рада</t>
  </si>
  <si>
    <t>1</t>
  </si>
  <si>
    <t>Улаштування ГКЛ фальшстін</t>
  </si>
  <si>
    <t>3</t>
  </si>
  <si>
    <t>Профіль для гіпсокартону UD-27, 045 мм, 3 мп</t>
  </si>
  <si>
    <t>Профіль для гіпсокартону CD-60, 055 мм, 3 мп</t>
  </si>
  <si>
    <t>Улаштування фальшстін на металевому
однорядному каркасі з обшивкою гіпсокартонними листами</t>
  </si>
  <si>
    <t>Профіль пристіний стартовий</t>
  </si>
  <si>
    <t>упак.</t>
  </si>
  <si>
    <t>Клей піна</t>
  </si>
  <si>
    <t>Улаштування віконних та дверних укосів з ГК</t>
  </si>
  <si>
    <t>Улаштування віконних та дверних укосів</t>
  </si>
  <si>
    <t>Шпаклівка "Уніфлот"</t>
  </si>
  <si>
    <t>Грунтування укосів</t>
  </si>
  <si>
    <t>Шпатлювання укосів під склохолст</t>
  </si>
  <si>
    <t>Наклеювання склохолста на укоси</t>
  </si>
  <si>
    <t>Шпатлювання укосів 2 рази під фарбування</t>
  </si>
  <si>
    <t>Фарбування укосів</t>
  </si>
  <si>
    <t>Улаштування алюмінієвого кутика 15*30</t>
  </si>
  <si>
    <t>Алюмінієвий кутик пофарбований в Ral</t>
  </si>
  <si>
    <t>Самонаріз</t>
  </si>
  <si>
    <t>Круг відрізний для алюмінія</t>
  </si>
  <si>
    <t>Герметик унів.силикон.білий (280мл) МОМЕНТ</t>
  </si>
  <si>
    <t>Оздоблення швів ГКЛ</t>
  </si>
  <si>
    <t>Фарбування стін</t>
  </si>
  <si>
    <t>Улаштування дерев'яної підлоги</t>
  </si>
  <si>
    <t>Рейка 20мм*40 мм</t>
  </si>
  <si>
    <t>Крепеж</t>
  </si>
  <si>
    <t>Масло натуральне терасне</t>
  </si>
  <si>
    <t>Пропітка для рейки</t>
  </si>
  <si>
    <t>Доска дерев'яна сосна 35*130*4500 мм</t>
  </si>
  <si>
    <t>2</t>
  </si>
  <si>
    <t>7</t>
  </si>
  <si>
    <t>Ціна з ПДВ, грн.</t>
  </si>
  <si>
    <t xml:space="preserve">Вартість з ПДВ, грн. </t>
  </si>
  <si>
    <t>Всього з ПДВ, грн.</t>
  </si>
  <si>
    <t>Обшивка потолка фанерой толщ 10 мм по деревянному каркасу</t>
  </si>
  <si>
    <t>Фанера многослойная толщ 10 мм влагостойкая</t>
  </si>
  <si>
    <t>Саморезы 3,5*35 по дереву</t>
  </si>
  <si>
    <t>Саморезы 3,5*55 по дереву</t>
  </si>
  <si>
    <t>Подвес П-125</t>
  </si>
  <si>
    <t>Брус 40*40 хвойный сухой</t>
  </si>
  <si>
    <t>м/п</t>
  </si>
  <si>
    <t>Грунтування підлоги перед укладанням ковроліну</t>
  </si>
  <si>
    <t>Укладання ковроліну</t>
  </si>
  <si>
    <t>Укладання ковроліну на сходи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</si>
</sst>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0"/>
      <name val="Arial Cyr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EC07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3" fillId="0" borderId="0" applyBorder="0"/>
    <xf numFmtId="0" fontId="13" fillId="0" borderId="0" applyBorder="0"/>
  </cellStyleXfs>
  <cellXfs count="134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/>
    </xf>
    <xf numFmtId="0" fontId="3" fillId="0" borderId="0" xfId="1" applyFont="1" applyAlignment="1" applyProtection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1" fillId="0" borderId="0" xfId="0" applyFont="1"/>
    <xf numFmtId="49" fontId="7" fillId="0" borderId="0" xfId="0" applyNumberFormat="1" applyFont="1"/>
    <xf numFmtId="49" fontId="2" fillId="0" borderId="0" xfId="0" applyNumberFormat="1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2" fontId="2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wrapText="1"/>
    </xf>
    <xf numFmtId="0" fontId="1" fillId="0" borderId="1" xfId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2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 indent="1"/>
    </xf>
    <xf numFmtId="2" fontId="2" fillId="2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/>
    <xf numFmtId="4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4" fontId="2" fillId="3" borderId="1" xfId="3" applyNumberFormat="1" applyFont="1" applyFill="1" applyBorder="1" applyAlignment="1" applyProtection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6" xfId="1" applyNumberFormat="1" applyFont="1" applyBorder="1" applyAlignment="1">
      <alignment horizontal="right" vertical="center"/>
    </xf>
    <xf numFmtId="49" fontId="1" fillId="0" borderId="5" xfId="1" applyNumberFormat="1" applyFont="1" applyBorder="1" applyAlignment="1">
      <alignment horizontal="center"/>
    </xf>
    <xf numFmtId="0" fontId="2" fillId="2" borderId="5" xfId="2" applyNumberFormat="1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center" vertical="center"/>
    </xf>
    <xf numFmtId="4" fontId="1" fillId="0" borderId="6" xfId="1" applyNumberFormat="1" applyFont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/>
    <xf numFmtId="2" fontId="2" fillId="2" borderId="8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wrapText="1"/>
    </xf>
    <xf numFmtId="4" fontId="2" fillId="2" borderId="9" xfId="2" applyNumberFormat="1" applyFont="1" applyFill="1" applyBorder="1" applyAlignment="1">
      <alignment horizontal="right" vertical="center"/>
    </xf>
    <xf numFmtId="4" fontId="7" fillId="0" borderId="0" xfId="0" applyNumberFormat="1" applyFont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Fill="1" applyBorder="1"/>
    <xf numFmtId="0" fontId="8" fillId="0" borderId="1" xfId="0" applyFont="1" applyFill="1" applyBorder="1"/>
    <xf numFmtId="2" fontId="12" fillId="0" borderId="10" xfId="5" applyNumberFormat="1" applyFont="1" applyFill="1" applyBorder="1" applyAlignment="1" applyProtection="1">
      <alignment horizontal="left" vertical="center" wrapText="1"/>
      <protection locked="0"/>
    </xf>
    <xf numFmtId="2" fontId="12" fillId="0" borderId="3" xfId="5" applyNumberFormat="1" applyFont="1" applyFill="1" applyBorder="1" applyAlignment="1" applyProtection="1">
      <alignment horizontal="center" vertical="center"/>
      <protection locked="0"/>
    </xf>
    <xf numFmtId="2" fontId="12" fillId="0" borderId="3" xfId="5" applyNumberFormat="1" applyFont="1" applyFill="1" applyBorder="1" applyAlignment="1" applyProtection="1">
      <alignment vertical="center"/>
      <protection locked="0"/>
    </xf>
    <xf numFmtId="2" fontId="12" fillId="0" borderId="10" xfId="5" applyNumberFormat="1" applyFont="1" applyFill="1" applyBorder="1" applyAlignment="1" applyProtection="1">
      <alignment vertical="center"/>
      <protection locked="0"/>
    </xf>
    <xf numFmtId="0" fontId="12" fillId="0" borderId="0" xfId="0" applyFont="1" applyFill="1"/>
    <xf numFmtId="0" fontId="12" fillId="0" borderId="0" xfId="0" applyFont="1"/>
    <xf numFmtId="2" fontId="12" fillId="0" borderId="1" xfId="5" applyNumberFormat="1" applyFont="1" applyFill="1" applyBorder="1" applyAlignment="1" applyProtection="1">
      <alignment horizontal="center" vertical="center"/>
      <protection locked="0"/>
    </xf>
    <xf numFmtId="2" fontId="12" fillId="0" borderId="1" xfId="5" applyNumberFormat="1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>
      <alignment horizontal="right" vertical="center"/>
    </xf>
    <xf numFmtId="1" fontId="1" fillId="0" borderId="11" xfId="0" applyNumberFormat="1" applyFont="1" applyFill="1" applyBorder="1" applyAlignment="1">
      <alignment horizontal="center"/>
    </xf>
    <xf numFmtId="2" fontId="1" fillId="0" borderId="11" xfId="5" applyNumberFormat="1" applyFont="1" applyFill="1" applyBorder="1" applyAlignment="1" applyProtection="1">
      <alignment vertical="center"/>
      <protection locked="0"/>
    </xf>
    <xf numFmtId="2" fontId="12" fillId="0" borderId="10" xfId="5" applyNumberFormat="1" applyFont="1" applyFill="1" applyBorder="1" applyAlignment="1" applyProtection="1">
      <alignment horizontal="right" vertical="center" wrapText="1"/>
      <protection locked="0"/>
    </xf>
    <xf numFmtId="1" fontId="1" fillId="0" borderId="12" xfId="0" applyNumberFormat="1" applyFont="1" applyFill="1" applyBorder="1" applyAlignment="1">
      <alignment horizontal="right" vertical="center" wrapText="1"/>
    </xf>
    <xf numFmtId="2" fontId="1" fillId="0" borderId="0" xfId="5" applyNumberFormat="1" applyFont="1" applyFill="1" applyBorder="1" applyAlignment="1" applyProtection="1">
      <alignment vertical="center"/>
      <protection locked="0"/>
    </xf>
    <xf numFmtId="2" fontId="1" fillId="0" borderId="0" xfId="6" applyNumberFormat="1" applyFont="1" applyFill="1" applyBorder="1" applyAlignment="1" applyProtection="1">
      <alignment horizontal="center" vertical="center"/>
      <protection locked="0"/>
    </xf>
    <xf numFmtId="2" fontId="14" fillId="0" borderId="14" xfId="0" applyNumberFormat="1" applyFont="1" applyBorder="1" applyAlignment="1" applyProtection="1">
      <alignment vertical="center" wrapText="1"/>
      <protection locked="0"/>
    </xf>
    <xf numFmtId="2" fontId="12" fillId="0" borderId="12" xfId="5" applyNumberFormat="1" applyFont="1" applyFill="1" applyBorder="1" applyAlignment="1" applyProtection="1">
      <alignment horizontal="right" vertical="center" wrapText="1"/>
      <protection locked="0"/>
    </xf>
    <xf numFmtId="1" fontId="1" fillId="0" borderId="13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 applyProtection="1">
      <alignment vertical="center"/>
      <protection locked="0"/>
    </xf>
    <xf numFmtId="1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/>
    <xf numFmtId="2" fontId="12" fillId="0" borderId="0" xfId="5" applyNumberFormat="1" applyFont="1" applyFill="1" applyBorder="1" applyAlignment="1" applyProtection="1">
      <alignment vertical="center"/>
      <protection locked="0"/>
    </xf>
    <xf numFmtId="2" fontId="1" fillId="0" borderId="0" xfId="5" applyNumberFormat="1" applyFont="1" applyFill="1" applyBorder="1" applyAlignment="1" applyProtection="1">
      <alignment horizontal="right" vertical="center"/>
      <protection locked="0"/>
    </xf>
    <xf numFmtId="2" fontId="12" fillId="0" borderId="12" xfId="5" applyNumberFormat="1" applyFont="1" applyFill="1" applyBorder="1" applyAlignment="1" applyProtection="1">
      <alignment vertical="center"/>
      <protection locked="0"/>
    </xf>
    <xf numFmtId="4" fontId="1" fillId="0" borderId="12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2" fontId="12" fillId="0" borderId="1" xfId="5" applyNumberFormat="1" applyFont="1" applyFill="1" applyBorder="1" applyAlignment="1" applyProtection="1">
      <alignment horizontal="right" vertical="center"/>
      <protection locked="0"/>
    </xf>
    <xf numFmtId="2" fontId="12" fillId="0" borderId="16" xfId="5" applyNumberFormat="1" applyFont="1" applyFill="1" applyBorder="1" applyAlignment="1" applyProtection="1">
      <alignment vertical="center"/>
      <protection locked="0"/>
    </xf>
    <xf numFmtId="2" fontId="12" fillId="0" borderId="11" xfId="5" applyNumberFormat="1" applyFont="1" applyFill="1" applyBorder="1" applyAlignment="1" applyProtection="1">
      <alignment vertical="center"/>
      <protection locked="0"/>
    </xf>
    <xf numFmtId="2" fontId="14" fillId="0" borderId="17" xfId="5" applyNumberFormat="1" applyFont="1" applyFill="1" applyBorder="1" applyAlignment="1" applyProtection="1">
      <alignment vertical="center"/>
      <protection locked="0"/>
    </xf>
    <xf numFmtId="2" fontId="14" fillId="0" borderId="18" xfId="5" applyNumberFormat="1" applyFont="1" applyFill="1" applyBorder="1" applyAlignment="1" applyProtection="1">
      <alignment vertical="center"/>
      <protection locked="0"/>
    </xf>
    <xf numFmtId="2" fontId="14" fillId="0" borderId="19" xfId="5" applyNumberFormat="1" applyFont="1" applyFill="1" applyBorder="1" applyAlignment="1" applyProtection="1">
      <alignment vertical="center"/>
      <protection locked="0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4" fontId="1" fillId="0" borderId="0" xfId="0" applyNumberFormat="1" applyFont="1" applyFill="1" applyAlignment="1">
      <alignment horizontal="left"/>
    </xf>
    <xf numFmtId="4" fontId="1" fillId="0" borderId="0" xfId="0" applyNumberFormat="1" applyFont="1" applyFill="1" applyAlignment="1">
      <alignment horizont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>
      <alignment horizontal="left" vertical="center"/>
    </xf>
    <xf numFmtId="0" fontId="15" fillId="0" borderId="1" xfId="2" applyFont="1" applyFill="1" applyBorder="1" applyAlignment="1">
      <alignment horizontal="left" vertical="center" wrapText="1"/>
    </xf>
    <xf numFmtId="0" fontId="2" fillId="0" borderId="0" xfId="0" applyFont="1" applyFill="1" applyBorder="1"/>
    <xf numFmtId="2" fontId="12" fillId="0" borderId="0" xfId="6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/>
    <xf numFmtId="2" fontId="12" fillId="0" borderId="20" xfId="5" applyNumberFormat="1" applyFont="1" applyFill="1" applyBorder="1" applyAlignment="1" applyProtection="1">
      <alignment vertical="center"/>
      <protection locked="0"/>
    </xf>
    <xf numFmtId="4" fontId="1" fillId="0" borderId="20" xfId="0" applyNumberFormat="1" applyFont="1" applyFill="1" applyBorder="1" applyAlignment="1">
      <alignment horizontal="right" vertical="center"/>
    </xf>
    <xf numFmtId="2" fontId="1" fillId="0" borderId="20" xfId="5" applyNumberFormat="1" applyFont="1" applyFill="1" applyBorder="1" applyAlignment="1" applyProtection="1">
      <alignment vertical="center"/>
      <protection locked="0"/>
    </xf>
    <xf numFmtId="4" fontId="2" fillId="2" borderId="21" xfId="2" applyNumberFormat="1" applyFont="1" applyFill="1" applyBorder="1" applyAlignment="1">
      <alignment horizontal="center" vertical="center"/>
    </xf>
    <xf numFmtId="2" fontId="14" fillId="0" borderId="4" xfId="5" applyNumberFormat="1" applyFont="1" applyFill="1" applyBorder="1" applyAlignment="1" applyProtection="1">
      <alignment vertical="center"/>
      <protection locked="0"/>
    </xf>
    <xf numFmtId="2" fontId="11" fillId="0" borderId="4" xfId="5" applyNumberFormat="1" applyFont="1" applyFill="1" applyBorder="1" applyAlignment="1" applyProtection="1">
      <alignment vertical="center"/>
      <protection locked="0"/>
    </xf>
    <xf numFmtId="2" fontId="12" fillId="0" borderId="6" xfId="5" applyNumberFormat="1" applyFont="1" applyFill="1" applyBorder="1" applyAlignment="1" applyProtection="1">
      <alignment vertical="center"/>
      <protection locked="0"/>
    </xf>
    <xf numFmtId="2" fontId="1" fillId="0" borderId="6" xfId="5" applyNumberFormat="1" applyFont="1" applyFill="1" applyBorder="1" applyAlignment="1" applyProtection="1">
      <alignment horizontal="right" vertical="center"/>
      <protection locked="0"/>
    </xf>
    <xf numFmtId="2" fontId="1" fillId="0" borderId="22" xfId="5" applyNumberFormat="1" applyFont="1" applyFill="1" applyBorder="1" applyAlignment="1" applyProtection="1">
      <alignment vertical="center"/>
      <protection locked="0"/>
    </xf>
  </cellXfs>
  <cellStyles count="7">
    <cellStyle name="0,0_x000d__x000a_NA_x000d__x000a_" xfId="3"/>
    <cellStyle name="Звичайний 2" xfId="1"/>
    <cellStyle name="Обычный" xfId="0" builtinId="0"/>
    <cellStyle name="Обычный 2 2" xfId="4"/>
    <cellStyle name="Обычный 3" xfId="2"/>
    <cellStyle name="Обычный_СМЕТА  заготовка " xfId="6"/>
    <cellStyle name="Обычный_СМЕТА № 1" xfId="5"/>
  </cellStyles>
  <dxfs count="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DEC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topLeftCell="A86" zoomScaleNormal="100" zoomScaleSheetLayoutView="100" workbookViewId="0">
      <selection activeCell="M76" sqref="M76"/>
    </sheetView>
  </sheetViews>
  <sheetFormatPr defaultColWidth="9.140625" defaultRowHeight="14.25" x14ac:dyDescent="0.2"/>
  <cols>
    <col min="1" max="1" width="6.42578125" style="15" bestFit="1" customWidth="1"/>
    <col min="2" max="2" width="62.28515625" style="15" customWidth="1"/>
    <col min="3" max="3" width="8.28515625" style="15" bestFit="1" customWidth="1"/>
    <col min="4" max="4" width="6.5703125" style="15" bestFit="1" customWidth="1"/>
    <col min="5" max="5" width="9.5703125" style="15" customWidth="1"/>
    <col min="6" max="6" width="10.140625" style="15" bestFit="1" customWidth="1"/>
    <col min="7" max="7" width="9.140625" style="15" bestFit="1" customWidth="1"/>
    <col min="8" max="8" width="10.85546875" style="15" customWidth="1"/>
    <col min="9" max="9" width="12.140625" style="15" customWidth="1"/>
    <col min="10" max="16384" width="9.140625" style="15"/>
  </cols>
  <sheetData>
    <row r="1" spans="1:9" ht="117" customHeight="1" x14ac:dyDescent="0.2"/>
    <row r="2" spans="1:9" s="16" customFormat="1" ht="12.75" x14ac:dyDescent="0.2">
      <c r="A2" s="112"/>
      <c r="B2" s="112"/>
      <c r="C2" s="112"/>
      <c r="D2" s="112"/>
      <c r="E2" s="112"/>
      <c r="F2" s="112"/>
      <c r="G2" s="112"/>
      <c r="H2" s="112"/>
      <c r="I2" s="112"/>
    </row>
    <row r="3" spans="1:9" s="16" customFormat="1" ht="15.75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</row>
    <row r="4" spans="1:9" s="16" customFormat="1" ht="15.75" x14ac:dyDescent="0.25">
      <c r="A4" s="113" t="s">
        <v>63</v>
      </c>
      <c r="B4" s="113"/>
      <c r="C4" s="113"/>
      <c r="D4" s="113"/>
      <c r="E4" s="113"/>
      <c r="F4" s="113"/>
      <c r="G4" s="113"/>
      <c r="H4" s="113"/>
      <c r="I4" s="113"/>
    </row>
    <row r="5" spans="1:9" s="16" customFormat="1" ht="15.75" x14ac:dyDescent="0.25">
      <c r="A5" s="113" t="s">
        <v>64</v>
      </c>
      <c r="B5" s="113"/>
      <c r="C5" s="113"/>
      <c r="D5" s="113"/>
      <c r="E5" s="113"/>
      <c r="F5" s="113"/>
      <c r="G5" s="113"/>
      <c r="H5" s="113"/>
      <c r="I5" s="113"/>
    </row>
    <row r="6" spans="1:9" s="16" customFormat="1" ht="12.75" x14ac:dyDescent="0.2">
      <c r="A6" s="112"/>
      <c r="B6" s="112"/>
      <c r="C6" s="112"/>
      <c r="D6" s="112"/>
      <c r="E6" s="112"/>
      <c r="F6" s="112"/>
      <c r="G6" s="112"/>
      <c r="H6" s="112"/>
      <c r="I6" s="112"/>
    </row>
    <row r="7" spans="1:9" s="16" customFormat="1" ht="13.5" thickBot="1" x14ac:dyDescent="0.25">
      <c r="A7" s="114" t="s">
        <v>3</v>
      </c>
      <c r="B7" s="114"/>
      <c r="C7" s="114"/>
      <c r="D7" s="114"/>
      <c r="E7" s="114"/>
      <c r="F7" s="114"/>
      <c r="G7" s="114"/>
      <c r="H7" s="114"/>
      <c r="I7" s="114"/>
    </row>
    <row r="8" spans="1:9" s="16" customFormat="1" ht="14.25" customHeight="1" x14ac:dyDescent="0.2">
      <c r="A8" s="104" t="s">
        <v>4</v>
      </c>
      <c r="B8" s="106" t="s">
        <v>54</v>
      </c>
      <c r="C8" s="108" t="s">
        <v>55</v>
      </c>
      <c r="D8" s="110" t="s">
        <v>5</v>
      </c>
      <c r="E8" s="110" t="s">
        <v>6</v>
      </c>
      <c r="F8" s="110"/>
      <c r="G8" s="110" t="s">
        <v>7</v>
      </c>
      <c r="H8" s="110"/>
      <c r="I8" s="117" t="s">
        <v>99</v>
      </c>
    </row>
    <row r="9" spans="1:9" s="16" customFormat="1" ht="38.25" x14ac:dyDescent="0.2">
      <c r="A9" s="105"/>
      <c r="B9" s="107"/>
      <c r="C9" s="109"/>
      <c r="D9" s="111"/>
      <c r="E9" s="45" t="s">
        <v>97</v>
      </c>
      <c r="F9" s="45" t="s">
        <v>98</v>
      </c>
      <c r="G9" s="45" t="s">
        <v>97</v>
      </c>
      <c r="H9" s="45" t="s">
        <v>98</v>
      </c>
      <c r="I9" s="118"/>
    </row>
    <row r="10" spans="1:9" s="16" customFormat="1" ht="14.25" customHeight="1" x14ac:dyDescent="0.2">
      <c r="A10" s="47">
        <v>1</v>
      </c>
      <c r="B10" s="1">
        <v>2</v>
      </c>
      <c r="C10" s="44">
        <v>3</v>
      </c>
      <c r="D10" s="2">
        <v>4</v>
      </c>
      <c r="E10" s="2">
        <v>5</v>
      </c>
      <c r="F10" s="2">
        <v>6</v>
      </c>
      <c r="G10" s="3">
        <v>7</v>
      </c>
      <c r="H10" s="2">
        <v>8</v>
      </c>
      <c r="I10" s="48">
        <v>9</v>
      </c>
    </row>
    <row r="11" spans="1:9" s="16" customFormat="1" ht="12.75" x14ac:dyDescent="0.2">
      <c r="A11" s="49" t="s">
        <v>65</v>
      </c>
      <c r="B11" s="4" t="s">
        <v>66</v>
      </c>
      <c r="C11" s="5"/>
      <c r="D11" s="6"/>
      <c r="E11" s="7"/>
      <c r="F11" s="7"/>
      <c r="G11" s="7"/>
      <c r="H11" s="8"/>
      <c r="I11" s="50"/>
    </row>
    <row r="12" spans="1:9" s="22" customFormat="1" ht="25.5" x14ac:dyDescent="0.2">
      <c r="A12" s="55"/>
      <c r="B12" s="14" t="s">
        <v>70</v>
      </c>
      <c r="C12" s="21" t="s">
        <v>0</v>
      </c>
      <c r="D12" s="10">
        <f>2.8*((4.2*2+3.5*2)+(1.9*2+3.5*2)+(3.4+1.8+6.1+4.3+4.5)+(3.2*2+5.3*2)+(1.78+1.7*2+0.86)+(3.42*2+1.9*2)+4.2+1.4)</f>
        <v>239.62400000000002</v>
      </c>
      <c r="E12" s="10"/>
      <c r="F12" s="10">
        <f>D12*E12</f>
        <v>0</v>
      </c>
      <c r="G12" s="10"/>
      <c r="H12" s="9"/>
      <c r="I12" s="56">
        <f>SUM(F12,H13:H19)</f>
        <v>0</v>
      </c>
    </row>
    <row r="13" spans="1:9" s="32" customFormat="1" ht="12.75" x14ac:dyDescent="0.2">
      <c r="A13" s="57"/>
      <c r="B13" s="28" t="s">
        <v>35</v>
      </c>
      <c r="C13" s="29" t="s">
        <v>0</v>
      </c>
      <c r="D13" s="30">
        <f>D12*1.2</f>
        <v>287.54880000000003</v>
      </c>
      <c r="E13" s="31"/>
      <c r="F13" s="10"/>
      <c r="G13" s="68"/>
      <c r="H13" s="27">
        <f>D13*G13</f>
        <v>0</v>
      </c>
      <c r="I13" s="58"/>
    </row>
    <row r="14" spans="1:9" s="32" customFormat="1" ht="12.75" x14ac:dyDescent="0.2">
      <c r="A14" s="57"/>
      <c r="B14" s="28" t="s">
        <v>68</v>
      </c>
      <c r="C14" s="29" t="s">
        <v>1</v>
      </c>
      <c r="D14" s="30">
        <f>(((4.2*2+3.5*2)+(1.9*2+3.5*2)+(3.4+1.8+6.1+4.3+4.5)+(3.2*2+5.3*2)+(1.78+1.7*2+0.86)+(3.42*2+1.9*2)+4.2+1.4+8.13*0.5)*2+2.8*70)*1.1</f>
        <v>412.81900000000007</v>
      </c>
      <c r="E14" s="31"/>
      <c r="F14" s="10"/>
      <c r="G14" s="68"/>
      <c r="H14" s="27">
        <f t="shared" ref="H14:H23" si="0">D14*G14</f>
        <v>0</v>
      </c>
      <c r="I14" s="58"/>
    </row>
    <row r="15" spans="1:9" s="32" customFormat="1" ht="12.75" x14ac:dyDescent="0.2">
      <c r="A15" s="57"/>
      <c r="B15" s="28" t="s">
        <v>69</v>
      </c>
      <c r="C15" s="29" t="s">
        <v>1</v>
      </c>
      <c r="D15" s="30">
        <f>((4.2*2+3.5*2)+(1.9*2+3.5*2)+(3.4+1.8+6.1+4.3+4.5)+(3.2*2+5.3*2)+(1.78+1.7*2+0.86)+(3.42*2+1.9*2)+4.2+1.4+8.13*0.5)/0.4*1.1</f>
        <v>246.52375000000004</v>
      </c>
      <c r="E15" s="31"/>
      <c r="F15" s="10"/>
      <c r="G15" s="68"/>
      <c r="H15" s="27">
        <f t="shared" si="0"/>
        <v>0</v>
      </c>
      <c r="I15" s="58"/>
    </row>
    <row r="16" spans="1:9" s="32" customFormat="1" ht="12.75" x14ac:dyDescent="0.2">
      <c r="A16" s="57"/>
      <c r="B16" s="28" t="s">
        <v>56</v>
      </c>
      <c r="C16" s="29" t="s">
        <v>14</v>
      </c>
      <c r="D16" s="40">
        <v>25</v>
      </c>
      <c r="E16" s="31"/>
      <c r="F16" s="10"/>
      <c r="G16" s="68"/>
      <c r="H16" s="27">
        <f t="shared" si="0"/>
        <v>0</v>
      </c>
      <c r="I16" s="58"/>
    </row>
    <row r="17" spans="1:9" s="32" customFormat="1" ht="12.75" x14ac:dyDescent="0.2">
      <c r="A17" s="57"/>
      <c r="B17" s="28" t="s">
        <v>36</v>
      </c>
      <c r="C17" s="29" t="s">
        <v>14</v>
      </c>
      <c r="D17" s="40">
        <v>30</v>
      </c>
      <c r="E17" s="31"/>
      <c r="F17" s="10"/>
      <c r="G17" s="68"/>
      <c r="H17" s="27">
        <f t="shared" si="0"/>
        <v>0</v>
      </c>
      <c r="I17" s="58"/>
    </row>
    <row r="18" spans="1:9" s="32" customFormat="1" ht="12.75" x14ac:dyDescent="0.2">
      <c r="A18" s="57"/>
      <c r="B18" s="28" t="s">
        <v>37</v>
      </c>
      <c r="C18" s="29" t="s">
        <v>14</v>
      </c>
      <c r="D18" s="40">
        <v>10</v>
      </c>
      <c r="E18" s="31"/>
      <c r="F18" s="10"/>
      <c r="G18" s="68"/>
      <c r="H18" s="27">
        <f t="shared" si="0"/>
        <v>0</v>
      </c>
      <c r="I18" s="58"/>
    </row>
    <row r="19" spans="1:9" s="32" customFormat="1" ht="12.75" x14ac:dyDescent="0.2">
      <c r="A19" s="57"/>
      <c r="B19" s="28" t="s">
        <v>57</v>
      </c>
      <c r="C19" s="29" t="s">
        <v>14</v>
      </c>
      <c r="D19" s="40">
        <f>20*D12/1000</f>
        <v>4.7924800000000003</v>
      </c>
      <c r="E19" s="31"/>
      <c r="F19" s="10"/>
      <c r="G19" s="68"/>
      <c r="H19" s="27">
        <f t="shared" si="0"/>
        <v>0</v>
      </c>
      <c r="I19" s="58"/>
    </row>
    <row r="20" spans="1:9" s="22" customFormat="1" ht="12.75" x14ac:dyDescent="0.2">
      <c r="A20" s="55"/>
      <c r="B20" s="14" t="s">
        <v>87</v>
      </c>
      <c r="C20" s="21" t="s">
        <v>0</v>
      </c>
      <c r="D20" s="10">
        <f>D12</f>
        <v>239.62400000000002</v>
      </c>
      <c r="E20" s="10"/>
      <c r="F20" s="10">
        <f t="shared" ref="F20" si="1">D20*E20</f>
        <v>0</v>
      </c>
      <c r="G20" s="69"/>
      <c r="H20" s="27"/>
      <c r="I20" s="56">
        <f>SUM(F20,H21:H23)</f>
        <v>0</v>
      </c>
    </row>
    <row r="21" spans="1:9" s="32" customFormat="1" ht="12.75" x14ac:dyDescent="0.2">
      <c r="A21" s="57"/>
      <c r="B21" s="28" t="s">
        <v>76</v>
      </c>
      <c r="C21" s="29" t="s">
        <v>17</v>
      </c>
      <c r="D21" s="30">
        <f>D20*0.4</f>
        <v>95.849600000000009</v>
      </c>
      <c r="E21" s="31"/>
      <c r="F21" s="10"/>
      <c r="G21" s="68"/>
      <c r="H21" s="27">
        <f t="shared" si="0"/>
        <v>0</v>
      </c>
      <c r="I21" s="58"/>
    </row>
    <row r="22" spans="1:9" s="32" customFormat="1" ht="12.75" x14ac:dyDescent="0.2">
      <c r="A22" s="57"/>
      <c r="B22" s="28" t="s">
        <v>45</v>
      </c>
      <c r="C22" s="29" t="s">
        <v>14</v>
      </c>
      <c r="D22" s="30">
        <f>D20*1.2</f>
        <v>287.54880000000003</v>
      </c>
      <c r="E22" s="31"/>
      <c r="F22" s="10"/>
      <c r="G22" s="68"/>
      <c r="H22" s="27">
        <f t="shared" si="0"/>
        <v>0</v>
      </c>
      <c r="I22" s="58"/>
    </row>
    <row r="23" spans="1:9" s="38" customFormat="1" ht="12.75" x14ac:dyDescent="0.2">
      <c r="A23" s="52"/>
      <c r="B23" s="24" t="s">
        <v>25</v>
      </c>
      <c r="C23" s="25" t="s">
        <v>26</v>
      </c>
      <c r="D23" s="39">
        <f>D22*0.2</f>
        <v>57.509760000000007</v>
      </c>
      <c r="E23" s="27"/>
      <c r="F23" s="10"/>
      <c r="G23" s="70"/>
      <c r="H23" s="27">
        <f t="shared" si="0"/>
        <v>0</v>
      </c>
      <c r="I23" s="58"/>
    </row>
    <row r="24" spans="1:9" s="16" customFormat="1" ht="12.75" x14ac:dyDescent="0.2">
      <c r="A24" s="49" t="s">
        <v>95</v>
      </c>
      <c r="B24" s="4" t="s">
        <v>75</v>
      </c>
      <c r="C24" s="5"/>
      <c r="D24" s="6"/>
      <c r="E24" s="7"/>
      <c r="F24" s="7"/>
      <c r="G24" s="7"/>
      <c r="H24" s="8"/>
      <c r="I24" s="50"/>
    </row>
    <row r="25" spans="1:9" s="22" customFormat="1" ht="12.75" x14ac:dyDescent="0.2">
      <c r="A25" s="55"/>
      <c r="B25" s="33" t="s">
        <v>74</v>
      </c>
      <c r="C25" s="42" t="s">
        <v>1</v>
      </c>
      <c r="D25" s="43">
        <f>2.8*9+(2.1*2+0.9)*6</f>
        <v>55.8</v>
      </c>
      <c r="E25" s="43"/>
      <c r="F25" s="10">
        <f>D25*E25</f>
        <v>0</v>
      </c>
      <c r="G25" s="43"/>
      <c r="H25" s="10"/>
      <c r="I25" s="59">
        <f>SUM(F25,H26:H31)</f>
        <v>0</v>
      </c>
    </row>
    <row r="26" spans="1:9" s="32" customFormat="1" ht="12.75" x14ac:dyDescent="0.2">
      <c r="A26" s="57"/>
      <c r="B26" s="28" t="s">
        <v>73</v>
      </c>
      <c r="C26" s="29" t="s">
        <v>14</v>
      </c>
      <c r="D26" s="46">
        <f>D25/5</f>
        <v>11.16</v>
      </c>
      <c r="E26" s="31"/>
      <c r="F26" s="10"/>
      <c r="G26" s="68"/>
      <c r="H26" s="27">
        <f>D26*G26</f>
        <v>0</v>
      </c>
      <c r="I26" s="58"/>
    </row>
    <row r="27" spans="1:9" s="32" customFormat="1" ht="12.75" x14ac:dyDescent="0.2">
      <c r="A27" s="57"/>
      <c r="B27" s="28" t="s">
        <v>35</v>
      </c>
      <c r="C27" s="29" t="s">
        <v>14</v>
      </c>
      <c r="D27" s="40">
        <f>D25*0.65</f>
        <v>36.269999999999996</v>
      </c>
      <c r="E27" s="31"/>
      <c r="F27" s="10"/>
      <c r="G27" s="68"/>
      <c r="H27" s="27">
        <f t="shared" ref="H27:H31" si="2">D27*G27</f>
        <v>0</v>
      </c>
      <c r="I27" s="58"/>
    </row>
    <row r="28" spans="1:9" s="32" customFormat="1" ht="12.75" x14ac:dyDescent="0.2">
      <c r="A28" s="57"/>
      <c r="B28" s="28" t="s">
        <v>71</v>
      </c>
      <c r="C28" s="29" t="s">
        <v>14</v>
      </c>
      <c r="D28" s="40">
        <f>D25/2</f>
        <v>27.9</v>
      </c>
      <c r="E28" s="31"/>
      <c r="F28" s="10"/>
      <c r="G28" s="68"/>
      <c r="H28" s="27">
        <f t="shared" si="2"/>
        <v>0</v>
      </c>
      <c r="I28" s="58"/>
    </row>
    <row r="29" spans="1:9" s="32" customFormat="1" ht="12.75" x14ac:dyDescent="0.2">
      <c r="A29" s="57"/>
      <c r="B29" s="28" t="s">
        <v>56</v>
      </c>
      <c r="C29" s="29" t="s">
        <v>72</v>
      </c>
      <c r="D29" s="40">
        <f>25*D25/100</f>
        <v>13.95</v>
      </c>
      <c r="E29" s="31"/>
      <c r="F29" s="10"/>
      <c r="G29" s="68"/>
      <c r="H29" s="27">
        <f t="shared" si="2"/>
        <v>0</v>
      </c>
      <c r="I29" s="58"/>
    </row>
    <row r="30" spans="1:9" s="32" customFormat="1" ht="12.75" x14ac:dyDescent="0.2">
      <c r="A30" s="57"/>
      <c r="B30" s="28" t="s">
        <v>36</v>
      </c>
      <c r="C30" s="29" t="s">
        <v>72</v>
      </c>
      <c r="D30" s="30">
        <f>D29</f>
        <v>13.95</v>
      </c>
      <c r="E30" s="31"/>
      <c r="F30" s="10"/>
      <c r="G30" s="68"/>
      <c r="H30" s="27">
        <f t="shared" si="2"/>
        <v>0</v>
      </c>
      <c r="I30" s="58"/>
    </row>
    <row r="31" spans="1:9" s="32" customFormat="1" ht="12.75" x14ac:dyDescent="0.2">
      <c r="A31" s="57"/>
      <c r="B31" s="28" t="s">
        <v>37</v>
      </c>
      <c r="C31" s="29" t="s">
        <v>14</v>
      </c>
      <c r="D31" s="40">
        <v>10</v>
      </c>
      <c r="E31" s="31"/>
      <c r="F31" s="10"/>
      <c r="G31" s="68"/>
      <c r="H31" s="27">
        <f t="shared" si="2"/>
        <v>0</v>
      </c>
      <c r="I31" s="58"/>
    </row>
    <row r="32" spans="1:9" s="22" customFormat="1" ht="12.75" x14ac:dyDescent="0.2">
      <c r="A32" s="55"/>
      <c r="B32" s="14" t="s">
        <v>77</v>
      </c>
      <c r="C32" s="21" t="s">
        <v>1</v>
      </c>
      <c r="D32" s="10">
        <f>D25</f>
        <v>55.8</v>
      </c>
      <c r="E32" s="10"/>
      <c r="F32" s="10">
        <f t="shared" ref="F32" si="3">D32*E32</f>
        <v>0</v>
      </c>
      <c r="G32" s="69"/>
      <c r="H32" s="27"/>
      <c r="I32" s="56">
        <f>SUM(F32,H33)</f>
        <v>0</v>
      </c>
    </row>
    <row r="33" spans="1:9" s="32" customFormat="1" ht="12.75" x14ac:dyDescent="0.2">
      <c r="A33" s="57"/>
      <c r="B33" s="28" t="s">
        <v>25</v>
      </c>
      <c r="C33" s="29" t="s">
        <v>26</v>
      </c>
      <c r="D33" s="30">
        <f>D32*0.2</f>
        <v>11.16</v>
      </c>
      <c r="E33" s="31"/>
      <c r="F33" s="10"/>
      <c r="G33" s="68"/>
      <c r="H33" s="27">
        <f t="shared" ref="H33" si="4">D33*G33</f>
        <v>0</v>
      </c>
      <c r="I33" s="58"/>
    </row>
    <row r="34" spans="1:9" s="22" customFormat="1" ht="12.75" x14ac:dyDescent="0.2">
      <c r="A34" s="55"/>
      <c r="B34" s="14" t="s">
        <v>31</v>
      </c>
      <c r="C34" s="21" t="s">
        <v>1</v>
      </c>
      <c r="D34" s="10">
        <f>D25</f>
        <v>55.8</v>
      </c>
      <c r="E34" s="10"/>
      <c r="F34" s="10">
        <f t="shared" ref="F34" si="5">D34*E34</f>
        <v>0</v>
      </c>
      <c r="G34" s="69"/>
      <c r="H34" s="27"/>
      <c r="I34" s="56">
        <f>SUM(F34,H35)</f>
        <v>0</v>
      </c>
    </row>
    <row r="35" spans="1:9" s="32" customFormat="1" ht="12.75" x14ac:dyDescent="0.2">
      <c r="A35" s="55"/>
      <c r="B35" s="28" t="s">
        <v>52</v>
      </c>
      <c r="C35" s="29" t="s">
        <v>14</v>
      </c>
      <c r="D35" s="40">
        <f>D34/2.5</f>
        <v>22.32</v>
      </c>
      <c r="E35" s="30"/>
      <c r="F35" s="30"/>
      <c r="G35" s="68"/>
      <c r="H35" s="27">
        <f t="shared" ref="H35" si="6">D35*G35</f>
        <v>0</v>
      </c>
      <c r="I35" s="60"/>
    </row>
    <row r="36" spans="1:9" s="22" customFormat="1" ht="12.75" x14ac:dyDescent="0.2">
      <c r="A36" s="55"/>
      <c r="B36" s="14" t="s">
        <v>78</v>
      </c>
      <c r="C36" s="21" t="s">
        <v>1</v>
      </c>
      <c r="D36" s="10">
        <f>D32</f>
        <v>55.8</v>
      </c>
      <c r="E36" s="10"/>
      <c r="F36" s="10">
        <f t="shared" ref="F36" si="7">D36*E36</f>
        <v>0</v>
      </c>
      <c r="G36" s="69"/>
      <c r="H36" s="27"/>
      <c r="I36" s="56">
        <f>SUM(F36,H37:H38)</f>
        <v>0</v>
      </c>
    </row>
    <row r="37" spans="1:9" s="16" customFormat="1" ht="12.75" x14ac:dyDescent="0.2">
      <c r="A37" s="55"/>
      <c r="B37" s="28" t="s">
        <v>46</v>
      </c>
      <c r="C37" s="29" t="s">
        <v>17</v>
      </c>
      <c r="D37" s="30">
        <f>2.2*D36</f>
        <v>122.76</v>
      </c>
      <c r="E37" s="30"/>
      <c r="F37" s="10"/>
      <c r="G37" s="67"/>
      <c r="H37" s="27">
        <f t="shared" ref="H37:H38" si="8">D37*G37</f>
        <v>0</v>
      </c>
      <c r="I37" s="60"/>
    </row>
    <row r="38" spans="1:9" s="32" customFormat="1" ht="12.75" x14ac:dyDescent="0.2">
      <c r="A38" s="55"/>
      <c r="B38" s="28" t="s">
        <v>47</v>
      </c>
      <c r="C38" s="29" t="s">
        <v>48</v>
      </c>
      <c r="D38" s="30">
        <f>0.005*D36</f>
        <v>0.27899999999999997</v>
      </c>
      <c r="E38" s="30"/>
      <c r="F38" s="10"/>
      <c r="G38" s="68"/>
      <c r="H38" s="27">
        <f t="shared" si="8"/>
        <v>0</v>
      </c>
      <c r="I38" s="60"/>
    </row>
    <row r="39" spans="1:9" s="22" customFormat="1" ht="12.75" x14ac:dyDescent="0.2">
      <c r="A39" s="55"/>
      <c r="B39" s="14" t="s">
        <v>79</v>
      </c>
      <c r="C39" s="21" t="s">
        <v>1</v>
      </c>
      <c r="D39" s="10">
        <f>D36</f>
        <v>55.8</v>
      </c>
      <c r="E39" s="10"/>
      <c r="F39" s="10">
        <f t="shared" ref="F39" si="9">D39*E39</f>
        <v>0</v>
      </c>
      <c r="G39" s="69"/>
      <c r="H39" s="27"/>
      <c r="I39" s="56">
        <f>SUM(F39,H40:H41)</f>
        <v>0</v>
      </c>
    </row>
    <row r="40" spans="1:9" s="32" customFormat="1" ht="12.75" x14ac:dyDescent="0.2">
      <c r="A40" s="57"/>
      <c r="B40" s="28" t="s">
        <v>49</v>
      </c>
      <c r="C40" s="29" t="s">
        <v>0</v>
      </c>
      <c r="D40" s="30">
        <f>D39*1.1</f>
        <v>61.38</v>
      </c>
      <c r="E40" s="31"/>
      <c r="F40" s="10"/>
      <c r="G40" s="68"/>
      <c r="H40" s="27">
        <f t="shared" ref="H40:H41" si="10">D40*G40</f>
        <v>0</v>
      </c>
      <c r="I40" s="58"/>
    </row>
    <row r="41" spans="1:9" s="32" customFormat="1" ht="12.75" x14ac:dyDescent="0.2">
      <c r="A41" s="57"/>
      <c r="B41" s="28" t="s">
        <v>50</v>
      </c>
      <c r="C41" s="29" t="s">
        <v>17</v>
      </c>
      <c r="D41" s="30">
        <f>D39*0.5</f>
        <v>27.9</v>
      </c>
      <c r="E41" s="31"/>
      <c r="F41" s="10"/>
      <c r="G41" s="68"/>
      <c r="H41" s="27">
        <f t="shared" si="10"/>
        <v>0</v>
      </c>
      <c r="I41" s="58"/>
    </row>
    <row r="42" spans="1:9" s="22" customFormat="1" ht="12.75" x14ac:dyDescent="0.2">
      <c r="A42" s="55"/>
      <c r="B42" s="14" t="s">
        <v>80</v>
      </c>
      <c r="C42" s="21" t="s">
        <v>1</v>
      </c>
      <c r="D42" s="10">
        <f>D32</f>
        <v>55.8</v>
      </c>
      <c r="E42" s="10"/>
      <c r="F42" s="10">
        <f t="shared" ref="F42" si="11">D42*E42</f>
        <v>0</v>
      </c>
      <c r="G42" s="69"/>
      <c r="H42" s="27"/>
      <c r="I42" s="56">
        <f>SUM(F42,H43:H44)</f>
        <v>0</v>
      </c>
    </row>
    <row r="43" spans="1:9" s="16" customFormat="1" ht="12.75" x14ac:dyDescent="0.2">
      <c r="A43" s="55"/>
      <c r="B43" s="28" t="s">
        <v>51</v>
      </c>
      <c r="C43" s="29" t="s">
        <v>17</v>
      </c>
      <c r="D43" s="30">
        <f>D42*2.2</f>
        <v>122.76</v>
      </c>
      <c r="E43" s="30"/>
      <c r="F43" s="30"/>
      <c r="G43" s="67"/>
      <c r="H43" s="27">
        <f t="shared" ref="H43:H44" si="12">D43*G43</f>
        <v>0</v>
      </c>
      <c r="I43" s="60"/>
    </row>
    <row r="44" spans="1:9" s="32" customFormat="1" ht="12.75" x14ac:dyDescent="0.2">
      <c r="A44" s="55"/>
      <c r="B44" s="28" t="s">
        <v>47</v>
      </c>
      <c r="C44" s="29" t="s">
        <v>48</v>
      </c>
      <c r="D44" s="30">
        <f>0.005*D42</f>
        <v>0.27899999999999997</v>
      </c>
      <c r="E44" s="30"/>
      <c r="F44" s="10"/>
      <c r="G44" s="68"/>
      <c r="H44" s="27">
        <f t="shared" si="12"/>
        <v>0</v>
      </c>
      <c r="I44" s="60"/>
    </row>
    <row r="45" spans="1:9" s="22" customFormat="1" ht="12.75" x14ac:dyDescent="0.2">
      <c r="A45" s="55"/>
      <c r="B45" s="14" t="s">
        <v>81</v>
      </c>
      <c r="C45" s="21" t="s">
        <v>1</v>
      </c>
      <c r="D45" s="10">
        <f>D32</f>
        <v>55.8</v>
      </c>
      <c r="E45" s="10"/>
      <c r="F45" s="10">
        <f t="shared" ref="F45" si="13">D45*E45</f>
        <v>0</v>
      </c>
      <c r="G45" s="69"/>
      <c r="H45" s="9"/>
      <c r="I45" s="56">
        <f>SUM(F45,H46)</f>
        <v>0</v>
      </c>
    </row>
    <row r="46" spans="1:9" s="32" customFormat="1" ht="12.75" x14ac:dyDescent="0.2">
      <c r="A46" s="57"/>
      <c r="B46" s="28" t="s">
        <v>59</v>
      </c>
      <c r="C46" s="29" t="s">
        <v>26</v>
      </c>
      <c r="D46" s="30">
        <f>D45*0.35</f>
        <v>19.529999999999998</v>
      </c>
      <c r="E46" s="31"/>
      <c r="F46" s="23"/>
      <c r="G46" s="68"/>
      <c r="H46" s="27">
        <f>D46*G46</f>
        <v>0</v>
      </c>
      <c r="I46" s="58"/>
    </row>
    <row r="47" spans="1:9" s="16" customFormat="1" ht="12.75" x14ac:dyDescent="0.2">
      <c r="A47" s="49" t="s">
        <v>67</v>
      </c>
      <c r="B47" s="4" t="s">
        <v>33</v>
      </c>
      <c r="C47" s="5"/>
      <c r="D47" s="6"/>
      <c r="E47" s="7"/>
      <c r="F47" s="7"/>
      <c r="G47" s="7"/>
      <c r="H47" s="8"/>
      <c r="I47" s="50"/>
    </row>
    <row r="48" spans="1:9" s="22" customFormat="1" ht="12.75" x14ac:dyDescent="0.2">
      <c r="A48" s="55"/>
      <c r="B48" s="14" t="s">
        <v>15</v>
      </c>
      <c r="C48" s="21" t="s">
        <v>0</v>
      </c>
      <c r="D48" s="10">
        <v>12.7</v>
      </c>
      <c r="E48" s="10"/>
      <c r="F48" s="10">
        <f>D48*E48</f>
        <v>0</v>
      </c>
      <c r="G48" s="10"/>
      <c r="H48" s="9"/>
      <c r="I48" s="56">
        <f>SUM(F48,H49:H57)</f>
        <v>0</v>
      </c>
    </row>
    <row r="49" spans="1:9" s="38" customFormat="1" ht="12.75" x14ac:dyDescent="0.2">
      <c r="A49" s="52"/>
      <c r="B49" s="24" t="s">
        <v>58</v>
      </c>
      <c r="C49" s="25" t="s">
        <v>0</v>
      </c>
      <c r="D49" s="39">
        <f>D48*1.3</f>
        <v>16.509999999999998</v>
      </c>
      <c r="E49" s="27"/>
      <c r="F49" s="27"/>
      <c r="G49" s="70"/>
      <c r="H49" s="27">
        <f>D49*G49</f>
        <v>0</v>
      </c>
      <c r="I49" s="58"/>
    </row>
    <row r="50" spans="1:9" s="38" customFormat="1" ht="12.75" x14ac:dyDescent="0.2">
      <c r="A50" s="52"/>
      <c r="B50" s="28" t="s">
        <v>68</v>
      </c>
      <c r="C50" s="25" t="s">
        <v>1</v>
      </c>
      <c r="D50" s="41">
        <f>D48*1.5</f>
        <v>19.049999999999997</v>
      </c>
      <c r="E50" s="27"/>
      <c r="F50" s="27"/>
      <c r="G50" s="70"/>
      <c r="H50" s="27">
        <f t="shared" ref="H50:H57" si="14">D50*G50</f>
        <v>0</v>
      </c>
      <c r="I50" s="58"/>
    </row>
    <row r="51" spans="1:9" s="38" customFormat="1" ht="12.75" x14ac:dyDescent="0.2">
      <c r="A51" s="52"/>
      <c r="B51" s="28" t="s">
        <v>69</v>
      </c>
      <c r="C51" s="25" t="s">
        <v>1</v>
      </c>
      <c r="D51" s="41">
        <v>120</v>
      </c>
      <c r="E51" s="27"/>
      <c r="F51" s="27"/>
      <c r="G51" s="70"/>
      <c r="H51" s="27">
        <f t="shared" si="14"/>
        <v>0</v>
      </c>
      <c r="I51" s="58"/>
    </row>
    <row r="52" spans="1:9" s="38" customFormat="1" ht="12.75" x14ac:dyDescent="0.2">
      <c r="A52" s="52"/>
      <c r="B52" s="24" t="s">
        <v>38</v>
      </c>
      <c r="C52" s="25" t="s">
        <v>14</v>
      </c>
      <c r="D52" s="41">
        <v>100</v>
      </c>
      <c r="E52" s="27"/>
      <c r="F52" s="27"/>
      <c r="G52" s="70"/>
      <c r="H52" s="27">
        <f t="shared" si="14"/>
        <v>0</v>
      </c>
      <c r="I52" s="58"/>
    </row>
    <row r="53" spans="1:9" s="38" customFormat="1" ht="12.75" x14ac:dyDescent="0.2">
      <c r="A53" s="52"/>
      <c r="B53" s="24" t="s">
        <v>39</v>
      </c>
      <c r="C53" s="25" t="s">
        <v>14</v>
      </c>
      <c r="D53" s="39">
        <v>1</v>
      </c>
      <c r="E53" s="27"/>
      <c r="F53" s="27"/>
      <c r="G53" s="70"/>
      <c r="H53" s="27">
        <f t="shared" si="14"/>
        <v>0</v>
      </c>
      <c r="I53" s="58"/>
    </row>
    <row r="54" spans="1:9" s="38" customFormat="1" ht="12.75" x14ac:dyDescent="0.2">
      <c r="A54" s="52"/>
      <c r="B54" s="24" t="s">
        <v>40</v>
      </c>
      <c r="C54" s="25" t="s">
        <v>14</v>
      </c>
      <c r="D54" s="39">
        <v>4</v>
      </c>
      <c r="E54" s="27"/>
      <c r="F54" s="27"/>
      <c r="G54" s="70"/>
      <c r="H54" s="27">
        <f t="shared" si="14"/>
        <v>0</v>
      </c>
      <c r="I54" s="58"/>
    </row>
    <row r="55" spans="1:9" s="38" customFormat="1" ht="12.75" x14ac:dyDescent="0.2">
      <c r="A55" s="52"/>
      <c r="B55" s="24" t="s">
        <v>36</v>
      </c>
      <c r="C55" s="25" t="s">
        <v>14</v>
      </c>
      <c r="D55" s="39">
        <v>2</v>
      </c>
      <c r="E55" s="27"/>
      <c r="F55" s="27"/>
      <c r="G55" s="70"/>
      <c r="H55" s="27">
        <f t="shared" si="14"/>
        <v>0</v>
      </c>
      <c r="I55" s="58"/>
    </row>
    <row r="56" spans="1:9" s="38" customFormat="1" ht="12.75" x14ac:dyDescent="0.2">
      <c r="A56" s="52"/>
      <c r="B56" s="24" t="s">
        <v>41</v>
      </c>
      <c r="C56" s="25" t="s">
        <v>14</v>
      </c>
      <c r="D56" s="41">
        <v>50</v>
      </c>
      <c r="E56" s="27"/>
      <c r="F56" s="27"/>
      <c r="G56" s="70"/>
      <c r="H56" s="27">
        <f t="shared" si="14"/>
        <v>0</v>
      </c>
      <c r="I56" s="58"/>
    </row>
    <row r="57" spans="1:9" s="38" customFormat="1" ht="12.75" x14ac:dyDescent="0.2">
      <c r="A57" s="52"/>
      <c r="B57" s="24" t="s">
        <v>42</v>
      </c>
      <c r="C57" s="25" t="s">
        <v>14</v>
      </c>
      <c r="D57" s="41">
        <f>1.7*D48</f>
        <v>21.59</v>
      </c>
      <c r="E57" s="27"/>
      <c r="F57" s="27"/>
      <c r="G57" s="70"/>
      <c r="H57" s="27">
        <f t="shared" si="14"/>
        <v>0</v>
      </c>
      <c r="I57" s="58"/>
    </row>
    <row r="58" spans="1:9" s="22" customFormat="1" ht="12.75" x14ac:dyDescent="0.2">
      <c r="A58" s="55"/>
      <c r="B58" s="14" t="s">
        <v>22</v>
      </c>
      <c r="C58" s="21" t="s">
        <v>0</v>
      </c>
      <c r="D58" s="10">
        <f>D48</f>
        <v>12.7</v>
      </c>
      <c r="E58" s="10"/>
      <c r="F58" s="10">
        <f>D58*E58</f>
        <v>0</v>
      </c>
      <c r="G58" s="69"/>
      <c r="H58" s="9"/>
      <c r="I58" s="56">
        <f>SUM(F58,H59)</f>
        <v>0</v>
      </c>
    </row>
    <row r="59" spans="1:9" s="38" customFormat="1" ht="12.75" x14ac:dyDescent="0.2">
      <c r="A59" s="52"/>
      <c r="B59" s="24" t="s">
        <v>43</v>
      </c>
      <c r="C59" s="25" t="s">
        <v>44</v>
      </c>
      <c r="D59" s="41">
        <f>D48/4</f>
        <v>3.1749999999999998</v>
      </c>
      <c r="E59" s="27"/>
      <c r="F59" s="10"/>
      <c r="G59" s="70"/>
      <c r="H59" s="27">
        <f>D59*G59</f>
        <v>0</v>
      </c>
      <c r="I59" s="58"/>
    </row>
    <row r="60" spans="1:9" s="22" customFormat="1" ht="12.75" x14ac:dyDescent="0.2">
      <c r="A60" s="55"/>
      <c r="B60" s="14" t="s">
        <v>87</v>
      </c>
      <c r="C60" s="21" t="s">
        <v>0</v>
      </c>
      <c r="D60" s="10">
        <f>D48</f>
        <v>12.7</v>
      </c>
      <c r="E60" s="10"/>
      <c r="F60" s="10">
        <f t="shared" ref="F60" si="15">D60*E60</f>
        <v>0</v>
      </c>
      <c r="G60" s="69"/>
      <c r="H60" s="27"/>
      <c r="I60" s="56">
        <f>SUM(F60,H61:H63)</f>
        <v>0</v>
      </c>
    </row>
    <row r="61" spans="1:9" s="32" customFormat="1" ht="12.75" x14ac:dyDescent="0.2">
      <c r="A61" s="57"/>
      <c r="B61" s="28" t="s">
        <v>76</v>
      </c>
      <c r="C61" s="29" t="s">
        <v>17</v>
      </c>
      <c r="D61" s="30">
        <f>D60*0.4</f>
        <v>5.08</v>
      </c>
      <c r="E61" s="31"/>
      <c r="F61" s="10"/>
      <c r="G61" s="68"/>
      <c r="H61" s="27">
        <f t="shared" ref="H61:H63" si="16">D61*G61</f>
        <v>0</v>
      </c>
      <c r="I61" s="58"/>
    </row>
    <row r="62" spans="1:9" s="32" customFormat="1" ht="12.75" x14ac:dyDescent="0.2">
      <c r="A62" s="57"/>
      <c r="B62" s="28" t="s">
        <v>45</v>
      </c>
      <c r="C62" s="29" t="s">
        <v>14</v>
      </c>
      <c r="D62" s="30">
        <f>D60*1.2</f>
        <v>15.239999999999998</v>
      </c>
      <c r="E62" s="31"/>
      <c r="F62" s="10"/>
      <c r="G62" s="68"/>
      <c r="H62" s="27">
        <f t="shared" si="16"/>
        <v>0</v>
      </c>
      <c r="I62" s="58"/>
    </row>
    <row r="63" spans="1:9" s="38" customFormat="1" ht="12.75" x14ac:dyDescent="0.2">
      <c r="A63" s="52"/>
      <c r="B63" s="24" t="s">
        <v>25</v>
      </c>
      <c r="C63" s="25" t="s">
        <v>26</v>
      </c>
      <c r="D63" s="39">
        <f>D62*0.2</f>
        <v>3.048</v>
      </c>
      <c r="E63" s="27"/>
      <c r="F63" s="10"/>
      <c r="G63" s="70"/>
      <c r="H63" s="27">
        <f t="shared" si="16"/>
        <v>0</v>
      </c>
      <c r="I63" s="58"/>
    </row>
    <row r="64" spans="1:9" s="22" customFormat="1" ht="12.75" x14ac:dyDescent="0.2">
      <c r="A64" s="55"/>
      <c r="B64" s="14" t="s">
        <v>18</v>
      </c>
      <c r="C64" s="21" t="s">
        <v>0</v>
      </c>
      <c r="D64" s="10">
        <f>D48</f>
        <v>12.7</v>
      </c>
      <c r="E64" s="10"/>
      <c r="F64" s="10">
        <f t="shared" ref="F64" si="17">D64*E64</f>
        <v>0</v>
      </c>
      <c r="G64" s="69"/>
      <c r="H64" s="27"/>
      <c r="I64" s="56">
        <f>SUM(F64,H65)</f>
        <v>0</v>
      </c>
    </row>
    <row r="65" spans="1:14" s="32" customFormat="1" ht="12.75" x14ac:dyDescent="0.2">
      <c r="A65" s="57"/>
      <c r="B65" s="28" t="s">
        <v>25</v>
      </c>
      <c r="C65" s="29" t="s">
        <v>26</v>
      </c>
      <c r="D65" s="30">
        <f>D64*0.2</f>
        <v>2.54</v>
      </c>
      <c r="E65" s="31"/>
      <c r="F65" s="10"/>
      <c r="G65" s="68"/>
      <c r="H65" s="27">
        <f t="shared" ref="H65" si="18">D65*G65</f>
        <v>0</v>
      </c>
      <c r="I65" s="58"/>
    </row>
    <row r="66" spans="1:14" s="22" customFormat="1" ht="12.75" x14ac:dyDescent="0.2">
      <c r="A66" s="55"/>
      <c r="B66" s="14" t="s">
        <v>19</v>
      </c>
      <c r="C66" s="21" t="s">
        <v>0</v>
      </c>
      <c r="D66" s="10">
        <f>D48</f>
        <v>12.7</v>
      </c>
      <c r="E66" s="10"/>
      <c r="F66" s="10">
        <f t="shared" ref="F66" si="19">D66*E66</f>
        <v>0</v>
      </c>
      <c r="G66" s="69"/>
      <c r="H66" s="27"/>
      <c r="I66" s="56">
        <f>SUM(F66,H67:H68)</f>
        <v>0</v>
      </c>
    </row>
    <row r="67" spans="1:14" s="16" customFormat="1" ht="12.75" x14ac:dyDescent="0.2">
      <c r="A67" s="55"/>
      <c r="B67" s="28" t="s">
        <v>46</v>
      </c>
      <c r="C67" s="29" t="s">
        <v>17</v>
      </c>
      <c r="D67" s="30">
        <f>2.2*D66</f>
        <v>27.94</v>
      </c>
      <c r="E67" s="30"/>
      <c r="F67" s="10"/>
      <c r="G67" s="67"/>
      <c r="H67" s="27">
        <f t="shared" ref="H67:H68" si="20">D67*G67</f>
        <v>0</v>
      </c>
      <c r="I67" s="60"/>
    </row>
    <row r="68" spans="1:14" s="32" customFormat="1" ht="12.75" x14ac:dyDescent="0.2">
      <c r="A68" s="55"/>
      <c r="B68" s="28" t="s">
        <v>47</v>
      </c>
      <c r="C68" s="29" t="s">
        <v>48</v>
      </c>
      <c r="D68" s="30">
        <f>0.005*D66</f>
        <v>6.3500000000000001E-2</v>
      </c>
      <c r="E68" s="30"/>
      <c r="F68" s="10"/>
      <c r="G68" s="68"/>
      <c r="H68" s="27">
        <f t="shared" si="20"/>
        <v>0</v>
      </c>
      <c r="I68" s="60"/>
    </row>
    <row r="69" spans="1:14" s="22" customFormat="1" ht="12.75" x14ac:dyDescent="0.2">
      <c r="A69" s="55"/>
      <c r="B69" s="14" t="s">
        <v>20</v>
      </c>
      <c r="C69" s="21" t="s">
        <v>0</v>
      </c>
      <c r="D69" s="10">
        <f>D48</f>
        <v>12.7</v>
      </c>
      <c r="E69" s="10"/>
      <c r="F69" s="10">
        <f t="shared" ref="F69" si="21">D69*E69</f>
        <v>0</v>
      </c>
      <c r="G69" s="69"/>
      <c r="H69" s="27"/>
      <c r="I69" s="56">
        <f>SUM(F69,H70:H71)</f>
        <v>0</v>
      </c>
    </row>
    <row r="70" spans="1:14" s="32" customFormat="1" ht="12.75" x14ac:dyDescent="0.2">
      <c r="A70" s="57"/>
      <c r="B70" s="28" t="s">
        <v>49</v>
      </c>
      <c r="C70" s="29" t="s">
        <v>0</v>
      </c>
      <c r="D70" s="30">
        <f>D69*1.1</f>
        <v>13.97</v>
      </c>
      <c r="E70" s="31"/>
      <c r="F70" s="10"/>
      <c r="G70" s="68"/>
      <c r="H70" s="27">
        <f t="shared" ref="H70:H71" si="22">D70*G70</f>
        <v>0</v>
      </c>
      <c r="I70" s="58"/>
      <c r="K70" s="92"/>
      <c r="L70" s="92"/>
    </row>
    <row r="71" spans="1:14" s="32" customFormat="1" ht="12.75" x14ac:dyDescent="0.2">
      <c r="A71" s="57"/>
      <c r="B71" s="28" t="s">
        <v>50</v>
      </c>
      <c r="C71" s="29" t="s">
        <v>17</v>
      </c>
      <c r="D71" s="30">
        <f>D69*0.5</f>
        <v>6.35</v>
      </c>
      <c r="E71" s="31"/>
      <c r="F71" s="10"/>
      <c r="G71" s="68"/>
      <c r="H71" s="27">
        <f t="shared" si="22"/>
        <v>0</v>
      </c>
      <c r="I71" s="58"/>
      <c r="K71" s="92"/>
    </row>
    <row r="72" spans="1:14" s="22" customFormat="1" ht="12.75" x14ac:dyDescent="0.2">
      <c r="A72" s="55"/>
      <c r="B72" s="14" t="s">
        <v>21</v>
      </c>
      <c r="C72" s="21" t="s">
        <v>0</v>
      </c>
      <c r="D72" s="10">
        <f>D48</f>
        <v>12.7</v>
      </c>
      <c r="E72" s="10"/>
      <c r="F72" s="10">
        <f t="shared" ref="F72" si="23">D72*E72</f>
        <v>0</v>
      </c>
      <c r="G72" s="69"/>
      <c r="H72" s="27"/>
      <c r="I72" s="56">
        <f>SUM(F72,H73:H74)</f>
        <v>0</v>
      </c>
    </row>
    <row r="73" spans="1:14" s="16" customFormat="1" ht="12.75" x14ac:dyDescent="0.2">
      <c r="A73" s="55"/>
      <c r="B73" s="28" t="s">
        <v>51</v>
      </c>
      <c r="C73" s="29" t="s">
        <v>17</v>
      </c>
      <c r="D73" s="30">
        <f>D72*2.2</f>
        <v>27.94</v>
      </c>
      <c r="E73" s="30"/>
      <c r="F73" s="30"/>
      <c r="G73" s="67"/>
      <c r="H73" s="27">
        <f t="shared" ref="H73:H74" si="24">D73*G73</f>
        <v>0</v>
      </c>
      <c r="I73" s="60"/>
    </row>
    <row r="74" spans="1:14" s="32" customFormat="1" ht="12.75" x14ac:dyDescent="0.2">
      <c r="A74" s="55"/>
      <c r="B74" s="28" t="s">
        <v>47</v>
      </c>
      <c r="C74" s="29" t="s">
        <v>48</v>
      </c>
      <c r="D74" s="30">
        <f>0.005*D72</f>
        <v>6.3500000000000001E-2</v>
      </c>
      <c r="E74" s="30"/>
      <c r="F74" s="10"/>
      <c r="G74" s="68"/>
      <c r="H74" s="27">
        <f t="shared" si="24"/>
        <v>0</v>
      </c>
      <c r="I74" s="60"/>
    </row>
    <row r="75" spans="1:14" s="22" customFormat="1" ht="12.75" x14ac:dyDescent="0.2">
      <c r="A75" s="55"/>
      <c r="B75" s="14" t="s">
        <v>16</v>
      </c>
      <c r="C75" s="21" t="s">
        <v>0</v>
      </c>
      <c r="D75" s="10">
        <f>D48</f>
        <v>12.7</v>
      </c>
      <c r="E75" s="10"/>
      <c r="F75" s="10">
        <f t="shared" ref="F75" si="25">D75*E75</f>
        <v>0</v>
      </c>
      <c r="G75" s="69"/>
      <c r="H75" s="9"/>
      <c r="I75" s="56">
        <f>SUM(F75,H76)</f>
        <v>0</v>
      </c>
      <c r="L75" s="122"/>
    </row>
    <row r="76" spans="1:14" s="32" customFormat="1" ht="13.5" thickBot="1" x14ac:dyDescent="0.25">
      <c r="A76" s="89"/>
      <c r="B76" s="28" t="s">
        <v>59</v>
      </c>
      <c r="C76" s="29" t="s">
        <v>26</v>
      </c>
      <c r="D76" s="30">
        <f>D75*0.35</f>
        <v>4.4449999999999994</v>
      </c>
      <c r="E76" s="31"/>
      <c r="F76" s="23"/>
      <c r="G76" s="68"/>
      <c r="H76" s="27">
        <f>D76*G76</f>
        <v>0</v>
      </c>
      <c r="I76" s="58"/>
      <c r="J76" s="124"/>
      <c r="K76" s="92"/>
      <c r="L76" s="92"/>
    </row>
    <row r="77" spans="1:14" s="76" customFormat="1" ht="30" customHeight="1" thickBot="1" x14ac:dyDescent="0.25">
      <c r="A77" s="90"/>
      <c r="B77" s="86" t="s">
        <v>100</v>
      </c>
      <c r="C77" s="99" t="s">
        <v>0</v>
      </c>
      <c r="D77" s="101">
        <v>83</v>
      </c>
      <c r="E77" s="102"/>
      <c r="F77" s="103">
        <f>E77*D77</f>
        <v>0</v>
      </c>
      <c r="G77" s="71"/>
      <c r="H77" s="72"/>
      <c r="I77" s="129">
        <v>19479.400000000001</v>
      </c>
      <c r="J77" s="125"/>
      <c r="K77" s="93"/>
      <c r="L77" s="123"/>
      <c r="M77" s="75"/>
      <c r="N77" s="75"/>
    </row>
    <row r="78" spans="1:14" s="76" customFormat="1" ht="15" customHeight="1" x14ac:dyDescent="0.2">
      <c r="A78" s="90"/>
      <c r="B78" s="82" t="s">
        <v>101</v>
      </c>
      <c r="C78" s="72" t="s">
        <v>0</v>
      </c>
      <c r="D78" s="74">
        <v>107.9</v>
      </c>
      <c r="E78" s="100"/>
      <c r="F78" s="100"/>
      <c r="G78" s="74"/>
      <c r="H78" s="73">
        <v>146</v>
      </c>
      <c r="I78" s="130">
        <f>H78*G78</f>
        <v>0</v>
      </c>
      <c r="J78" s="125"/>
      <c r="K78" s="93"/>
      <c r="L78" s="123"/>
      <c r="M78" s="75"/>
      <c r="N78" s="75"/>
    </row>
    <row r="79" spans="1:14" s="76" customFormat="1" ht="15" customHeight="1" x14ac:dyDescent="0.2">
      <c r="A79" s="90"/>
      <c r="B79" s="87" t="s">
        <v>102</v>
      </c>
      <c r="C79" s="77" t="s">
        <v>14</v>
      </c>
      <c r="D79" s="95"/>
      <c r="E79" s="78"/>
      <c r="F79" s="78"/>
      <c r="G79" s="95"/>
      <c r="H79" s="78">
        <v>0.17</v>
      </c>
      <c r="I79" s="131">
        <f>H79*G79</f>
        <v>0</v>
      </c>
      <c r="J79" s="125"/>
      <c r="K79" s="93"/>
      <c r="L79" s="123"/>
      <c r="M79" s="75"/>
      <c r="N79" s="75"/>
    </row>
    <row r="80" spans="1:14" s="76" customFormat="1" ht="15" customHeight="1" x14ac:dyDescent="0.2">
      <c r="A80" s="90"/>
      <c r="B80" s="87" t="s">
        <v>103</v>
      </c>
      <c r="C80" s="77" t="s">
        <v>14</v>
      </c>
      <c r="D80" s="95"/>
      <c r="E80" s="78"/>
      <c r="F80" s="78"/>
      <c r="G80" s="95"/>
      <c r="H80" s="78">
        <v>0.22</v>
      </c>
      <c r="I80" s="131">
        <f>H80*G80</f>
        <v>0</v>
      </c>
      <c r="J80" s="126"/>
      <c r="K80" s="94"/>
      <c r="L80" s="85"/>
      <c r="M80" s="75"/>
      <c r="N80" s="75"/>
    </row>
    <row r="81" spans="1:14" s="76" customFormat="1" ht="15" customHeight="1" x14ac:dyDescent="0.2">
      <c r="A81" s="90"/>
      <c r="B81" s="83" t="s">
        <v>104</v>
      </c>
      <c r="C81" s="46" t="s">
        <v>14</v>
      </c>
      <c r="D81" s="96"/>
      <c r="E81" s="78"/>
      <c r="F81" s="78"/>
      <c r="G81" s="96"/>
      <c r="H81" s="79">
        <v>3.3</v>
      </c>
      <c r="I81" s="132">
        <f t="shared" ref="I81" si="26">H81*G81</f>
        <v>0</v>
      </c>
      <c r="J81" s="127"/>
      <c r="K81" s="84"/>
      <c r="L81" s="85"/>
      <c r="M81" s="75"/>
      <c r="N81" s="75"/>
    </row>
    <row r="82" spans="1:14" s="76" customFormat="1" ht="15" customHeight="1" thickBot="1" x14ac:dyDescent="0.25">
      <c r="A82" s="91"/>
      <c r="B82" s="88" t="s">
        <v>105</v>
      </c>
      <c r="C82" s="80" t="s">
        <v>106</v>
      </c>
      <c r="D82" s="97"/>
      <c r="E82" s="98"/>
      <c r="F82" s="98"/>
      <c r="G82" s="97"/>
      <c r="H82" s="81">
        <v>16</v>
      </c>
      <c r="I82" s="133">
        <f>H82*G82</f>
        <v>0</v>
      </c>
      <c r="J82" s="127"/>
      <c r="K82" s="84"/>
      <c r="L82" s="85"/>
      <c r="M82" s="75"/>
      <c r="N82" s="75"/>
    </row>
    <row r="83" spans="1:14" s="32" customFormat="1" ht="12.75" x14ac:dyDescent="0.2">
      <c r="A83" s="53">
        <v>4</v>
      </c>
      <c r="B83" s="35" t="s">
        <v>82</v>
      </c>
      <c r="C83" s="12"/>
      <c r="D83" s="12"/>
      <c r="E83" s="36"/>
      <c r="F83" s="36"/>
      <c r="G83" s="36"/>
      <c r="H83" s="36"/>
      <c r="I83" s="128"/>
    </row>
    <row r="84" spans="1:14" s="22" customFormat="1" ht="12.75" x14ac:dyDescent="0.2">
      <c r="A84" s="55"/>
      <c r="B84" s="14" t="s">
        <v>82</v>
      </c>
      <c r="C84" s="21" t="s">
        <v>1</v>
      </c>
      <c r="D84" s="10">
        <f>((4.2*2+3.5*2)+(1.9*2+3.5*2)+(3.4+1.8+6.1+1.33)+(5.3+6.6+5.3+3.2+5.3+1.78+1.7+1+1.7))*2</f>
        <v>141.42000000000002</v>
      </c>
      <c r="E84" s="10"/>
      <c r="F84" s="10">
        <f>D84*E84</f>
        <v>0</v>
      </c>
      <c r="G84" s="10"/>
      <c r="H84" s="9"/>
      <c r="I84" s="56">
        <f>SUM(F84,H85:H88)</f>
        <v>0</v>
      </c>
    </row>
    <row r="85" spans="1:14" s="16" customFormat="1" ht="12.75" x14ac:dyDescent="0.2">
      <c r="A85" s="55"/>
      <c r="B85" s="28" t="s">
        <v>83</v>
      </c>
      <c r="C85" s="29" t="s">
        <v>1</v>
      </c>
      <c r="D85" s="40">
        <f>D84*1.21</f>
        <v>171.1182</v>
      </c>
      <c r="E85" s="30"/>
      <c r="F85" s="10"/>
      <c r="G85" s="67"/>
      <c r="H85" s="27">
        <f>D85*G85</f>
        <v>0</v>
      </c>
      <c r="I85" s="60"/>
    </row>
    <row r="86" spans="1:14" s="16" customFormat="1" ht="12.75" x14ac:dyDescent="0.2">
      <c r="A86" s="55"/>
      <c r="B86" s="28" t="s">
        <v>84</v>
      </c>
      <c r="C86" s="29" t="s">
        <v>14</v>
      </c>
      <c r="D86" s="30">
        <v>5</v>
      </c>
      <c r="E86" s="30"/>
      <c r="F86" s="10"/>
      <c r="G86" s="67"/>
      <c r="H86" s="27">
        <f t="shared" ref="H86:H88" si="27">D86*G86</f>
        <v>0</v>
      </c>
      <c r="I86" s="60"/>
    </row>
    <row r="87" spans="1:14" s="16" customFormat="1" ht="12.75" x14ac:dyDescent="0.2">
      <c r="A87" s="55"/>
      <c r="B87" s="28" t="s">
        <v>85</v>
      </c>
      <c r="C87" s="29" t="s">
        <v>14</v>
      </c>
      <c r="D87" s="30">
        <v>1</v>
      </c>
      <c r="E87" s="30"/>
      <c r="F87" s="10"/>
      <c r="G87" s="67"/>
      <c r="H87" s="27">
        <f t="shared" si="27"/>
        <v>0</v>
      </c>
      <c r="I87" s="60"/>
    </row>
    <row r="88" spans="1:14" s="16" customFormat="1" ht="12.75" x14ac:dyDescent="0.2">
      <c r="A88" s="55"/>
      <c r="B88" s="28" t="s">
        <v>86</v>
      </c>
      <c r="C88" s="29" t="s">
        <v>14</v>
      </c>
      <c r="D88" s="30">
        <v>6</v>
      </c>
      <c r="E88" s="30"/>
      <c r="F88" s="10"/>
      <c r="G88" s="67"/>
      <c r="H88" s="27">
        <f t="shared" si="27"/>
        <v>0</v>
      </c>
      <c r="I88" s="60"/>
    </row>
    <row r="89" spans="1:14" s="32" customFormat="1" ht="12.75" x14ac:dyDescent="0.2">
      <c r="A89" s="53">
        <v>5</v>
      </c>
      <c r="B89" s="35" t="s">
        <v>34</v>
      </c>
      <c r="C89" s="12"/>
      <c r="D89" s="12"/>
      <c r="E89" s="36"/>
      <c r="F89" s="36"/>
      <c r="G89" s="36"/>
      <c r="H89" s="36"/>
      <c r="I89" s="54"/>
    </row>
    <row r="90" spans="1:14" s="22" customFormat="1" ht="12.75" x14ac:dyDescent="0.2">
      <c r="A90" s="55"/>
      <c r="B90" s="14" t="s">
        <v>60</v>
      </c>
      <c r="C90" s="21" t="s">
        <v>0</v>
      </c>
      <c r="D90" s="10">
        <f>D12-2.8*((1.9+3.42)+(1.9+1.1*2))</f>
        <v>213.24800000000002</v>
      </c>
      <c r="E90" s="10"/>
      <c r="F90" s="10">
        <f>D90*E90</f>
        <v>0</v>
      </c>
      <c r="G90" s="10"/>
      <c r="H90" s="9"/>
      <c r="I90" s="56">
        <f>SUM(F90,H91:H93)</f>
        <v>0</v>
      </c>
    </row>
    <row r="91" spans="1:14" s="16" customFormat="1" ht="12.75" x14ac:dyDescent="0.2">
      <c r="A91" s="55"/>
      <c r="B91" s="28" t="s">
        <v>61</v>
      </c>
      <c r="C91" s="29" t="s">
        <v>17</v>
      </c>
      <c r="D91" s="30">
        <f>2.2*D90</f>
        <v>469.14560000000006</v>
      </c>
      <c r="E91" s="30"/>
      <c r="F91" s="10"/>
      <c r="G91" s="67"/>
      <c r="H91" s="27">
        <f>D91*G91</f>
        <v>0</v>
      </c>
      <c r="I91" s="60"/>
    </row>
    <row r="92" spans="1:14" s="16" customFormat="1" ht="12.75" x14ac:dyDescent="0.2">
      <c r="A92" s="55"/>
      <c r="B92" s="28" t="s">
        <v>46</v>
      </c>
      <c r="C92" s="29" t="s">
        <v>17</v>
      </c>
      <c r="D92" s="30">
        <f>2.2*D90</f>
        <v>469.14560000000006</v>
      </c>
      <c r="E92" s="30"/>
      <c r="F92" s="10"/>
      <c r="G92" s="67"/>
      <c r="H92" s="27">
        <f t="shared" ref="H92:H93" si="28">D92*G92</f>
        <v>0</v>
      </c>
      <c r="I92" s="60"/>
    </row>
    <row r="93" spans="1:14" s="32" customFormat="1" ht="12.75" x14ac:dyDescent="0.2">
      <c r="A93" s="55"/>
      <c r="B93" s="28" t="s">
        <v>47</v>
      </c>
      <c r="C93" s="29" t="s">
        <v>48</v>
      </c>
      <c r="D93" s="30">
        <f>0.005*D91</f>
        <v>2.3457280000000003</v>
      </c>
      <c r="E93" s="30"/>
      <c r="F93" s="10"/>
      <c r="G93" s="68"/>
      <c r="H93" s="27">
        <f t="shared" si="28"/>
        <v>0</v>
      </c>
      <c r="I93" s="60"/>
    </row>
    <row r="94" spans="1:14" s="22" customFormat="1" ht="12.75" x14ac:dyDescent="0.2">
      <c r="A94" s="55"/>
      <c r="B94" s="14" t="s">
        <v>23</v>
      </c>
      <c r="C94" s="21" t="s">
        <v>0</v>
      </c>
      <c r="D94" s="10">
        <f>D90</f>
        <v>213.24800000000002</v>
      </c>
      <c r="E94" s="10"/>
      <c r="F94" s="10">
        <f t="shared" ref="F94" si="29">D94*E94</f>
        <v>0</v>
      </c>
      <c r="G94" s="69"/>
      <c r="H94" s="30"/>
      <c r="I94" s="56">
        <f>SUM(F94,H95)</f>
        <v>0</v>
      </c>
    </row>
    <row r="95" spans="1:14" s="32" customFormat="1" ht="12.75" x14ac:dyDescent="0.2">
      <c r="A95" s="57"/>
      <c r="B95" s="28" t="s">
        <v>25</v>
      </c>
      <c r="C95" s="29" t="s">
        <v>26</v>
      </c>
      <c r="D95" s="30">
        <f>D94*0.2*3</f>
        <v>127.94880000000002</v>
      </c>
      <c r="E95" s="31"/>
      <c r="F95" s="10"/>
      <c r="G95" s="68"/>
      <c r="H95" s="30">
        <f t="shared" ref="H95" si="30">D95*G95</f>
        <v>0</v>
      </c>
      <c r="I95" s="58"/>
    </row>
    <row r="96" spans="1:14" s="22" customFormat="1" ht="12.75" x14ac:dyDescent="0.2">
      <c r="A96" s="55"/>
      <c r="B96" s="14" t="s">
        <v>88</v>
      </c>
      <c r="C96" s="21" t="s">
        <v>0</v>
      </c>
      <c r="D96" s="10">
        <f>D90</f>
        <v>213.24800000000002</v>
      </c>
      <c r="E96" s="10"/>
      <c r="F96" s="10">
        <f t="shared" ref="F96" si="31">D96*E96</f>
        <v>0</v>
      </c>
      <c r="G96" s="69"/>
      <c r="H96" s="9"/>
      <c r="I96" s="56">
        <f>SUM(F96,H97)</f>
        <v>0</v>
      </c>
    </row>
    <row r="97" spans="1:9" s="32" customFormat="1" ht="12.75" x14ac:dyDescent="0.2">
      <c r="A97" s="57"/>
      <c r="B97" s="28" t="s">
        <v>59</v>
      </c>
      <c r="C97" s="29" t="s">
        <v>26</v>
      </c>
      <c r="D97" s="30">
        <f>D96*0.35</f>
        <v>74.636800000000008</v>
      </c>
      <c r="E97" s="31"/>
      <c r="F97" s="23"/>
      <c r="G97" s="68"/>
      <c r="H97" s="27">
        <f>D97*G97</f>
        <v>0</v>
      </c>
      <c r="I97" s="58"/>
    </row>
    <row r="98" spans="1:9" s="32" customFormat="1" ht="12.75" x14ac:dyDescent="0.2">
      <c r="A98" s="53">
        <v>6</v>
      </c>
      <c r="B98" s="35" t="s">
        <v>28</v>
      </c>
      <c r="C98" s="12"/>
      <c r="D98" s="12"/>
      <c r="E98" s="36"/>
      <c r="F98" s="36"/>
      <c r="G98" s="36"/>
      <c r="H98" s="36"/>
      <c r="I98" s="54"/>
    </row>
    <row r="99" spans="1:9" s="32" customFormat="1" ht="12.75" x14ac:dyDescent="0.2">
      <c r="A99" s="55"/>
      <c r="B99" s="33" t="s">
        <v>24</v>
      </c>
      <c r="C99" s="37" t="s">
        <v>0</v>
      </c>
      <c r="D99" s="10">
        <f>2.6*(1.1*2+1.9)+2.9*(3.62+1.96)</f>
        <v>26.841999999999999</v>
      </c>
      <c r="E99" s="34"/>
      <c r="F99" s="23">
        <f>D99*E99</f>
        <v>0</v>
      </c>
      <c r="G99" s="34"/>
      <c r="H99" s="23"/>
      <c r="I99" s="51">
        <f>SUM(F99,H100)</f>
        <v>0</v>
      </c>
    </row>
    <row r="100" spans="1:9" s="32" customFormat="1" ht="12.75" x14ac:dyDescent="0.2">
      <c r="A100" s="57"/>
      <c r="B100" s="28" t="s">
        <v>25</v>
      </c>
      <c r="C100" s="29" t="s">
        <v>26</v>
      </c>
      <c r="D100" s="30">
        <f>D99*0.2*3</f>
        <v>16.1052</v>
      </c>
      <c r="E100" s="31"/>
      <c r="F100" s="23"/>
      <c r="G100" s="68"/>
      <c r="H100" s="27">
        <f>D100*G100</f>
        <v>0</v>
      </c>
      <c r="I100" s="58"/>
    </row>
    <row r="101" spans="1:9" s="32" customFormat="1" ht="12.75" x14ac:dyDescent="0.2">
      <c r="A101" s="55"/>
      <c r="B101" s="33" t="s">
        <v>28</v>
      </c>
      <c r="C101" s="37" t="s">
        <v>0</v>
      </c>
      <c r="D101" s="10">
        <f>D99</f>
        <v>26.841999999999999</v>
      </c>
      <c r="E101" s="34"/>
      <c r="F101" s="23">
        <f t="shared" ref="F101:F104" si="32">D101*E101</f>
        <v>0</v>
      </c>
      <c r="G101" s="68"/>
      <c r="H101" s="27"/>
      <c r="I101" s="51">
        <f>SUM(F101,H103:H103)</f>
        <v>0</v>
      </c>
    </row>
    <row r="102" spans="1:9" s="32" customFormat="1" ht="12.75" x14ac:dyDescent="0.2">
      <c r="A102" s="61"/>
      <c r="B102" s="28" t="s">
        <v>62</v>
      </c>
      <c r="C102" s="29" t="s">
        <v>0</v>
      </c>
      <c r="D102" s="30">
        <f>D101*1.2</f>
        <v>32.2104</v>
      </c>
      <c r="E102" s="31"/>
      <c r="F102" s="23"/>
      <c r="G102" s="68"/>
      <c r="H102" s="27">
        <f>D102*G102</f>
        <v>0</v>
      </c>
      <c r="I102" s="58"/>
    </row>
    <row r="103" spans="1:9" s="32" customFormat="1" ht="12.75" x14ac:dyDescent="0.2">
      <c r="A103" s="61"/>
      <c r="B103" s="28" t="s">
        <v>27</v>
      </c>
      <c r="C103" s="29" t="s">
        <v>17</v>
      </c>
      <c r="D103" s="30">
        <f>D101*7.1</f>
        <v>190.57819999999998</v>
      </c>
      <c r="E103" s="31"/>
      <c r="F103" s="23"/>
      <c r="G103" s="68"/>
      <c r="H103" s="27">
        <f t="shared" ref="H103:H105" si="33">D103*G103</f>
        <v>0</v>
      </c>
      <c r="I103" s="58"/>
    </row>
    <row r="104" spans="1:9" s="32" customFormat="1" ht="12.75" x14ac:dyDescent="0.2">
      <c r="A104" s="55"/>
      <c r="B104" s="33" t="s">
        <v>29</v>
      </c>
      <c r="C104" s="37" t="s">
        <v>1</v>
      </c>
      <c r="D104" s="10">
        <v>2.8</v>
      </c>
      <c r="E104" s="34"/>
      <c r="F104" s="23">
        <f t="shared" si="32"/>
        <v>0</v>
      </c>
      <c r="G104" s="68"/>
      <c r="H104" s="27"/>
      <c r="I104" s="51">
        <f>SUM(F104,H105:H105)</f>
        <v>0</v>
      </c>
    </row>
    <row r="105" spans="1:9" s="32" customFormat="1" ht="12.75" x14ac:dyDescent="0.2">
      <c r="A105" s="61"/>
      <c r="B105" s="28" t="s">
        <v>27</v>
      </c>
      <c r="C105" s="29" t="s">
        <v>17</v>
      </c>
      <c r="D105" s="30">
        <f>D104*7.1</f>
        <v>19.88</v>
      </c>
      <c r="E105" s="31"/>
      <c r="F105" s="23"/>
      <c r="G105" s="68"/>
      <c r="H105" s="27">
        <f t="shared" si="33"/>
        <v>0</v>
      </c>
      <c r="I105" s="58"/>
    </row>
    <row r="106" spans="1:9" s="16" customFormat="1" ht="12.75" x14ac:dyDescent="0.2">
      <c r="A106" s="49" t="s">
        <v>96</v>
      </c>
      <c r="B106" s="4" t="s">
        <v>32</v>
      </c>
      <c r="C106" s="5"/>
      <c r="D106" s="6"/>
      <c r="E106" s="7"/>
      <c r="F106" s="7"/>
      <c r="G106" s="7"/>
      <c r="H106" s="8"/>
      <c r="I106" s="50"/>
    </row>
    <row r="107" spans="1:9" s="22" customFormat="1" ht="12.75" x14ac:dyDescent="0.2">
      <c r="A107" s="55"/>
      <c r="B107" s="14" t="s">
        <v>89</v>
      </c>
      <c r="C107" s="21" t="s">
        <v>0</v>
      </c>
      <c r="D107" s="10">
        <f>34.6+0.4+2.9+18+8.4+15.4+62.4+23.8</f>
        <v>165.9</v>
      </c>
      <c r="E107" s="10"/>
      <c r="F107" s="10">
        <f>D107*E107</f>
        <v>0</v>
      </c>
      <c r="G107" s="10"/>
      <c r="H107" s="9"/>
      <c r="I107" s="56">
        <f>SUM(F107,H108:H112)</f>
        <v>0</v>
      </c>
    </row>
    <row r="108" spans="1:9" s="32" customFormat="1" ht="12.75" x14ac:dyDescent="0.2">
      <c r="A108" s="57"/>
      <c r="B108" s="24" t="s">
        <v>90</v>
      </c>
      <c r="C108" s="25" t="s">
        <v>1</v>
      </c>
      <c r="D108" s="26">
        <v>320</v>
      </c>
      <c r="E108" s="27"/>
      <c r="F108" s="23"/>
      <c r="G108" s="68"/>
      <c r="H108" s="27">
        <f>D108*G108</f>
        <v>0</v>
      </c>
      <c r="I108" s="58"/>
    </row>
    <row r="109" spans="1:9" s="32" customFormat="1" ht="12.75" x14ac:dyDescent="0.2">
      <c r="A109" s="57"/>
      <c r="B109" s="24" t="s">
        <v>94</v>
      </c>
      <c r="C109" s="25" t="s">
        <v>0</v>
      </c>
      <c r="D109" s="39">
        <f>D107*1.1</f>
        <v>182.49</v>
      </c>
      <c r="E109" s="27"/>
      <c r="F109" s="23"/>
      <c r="G109" s="68"/>
      <c r="H109" s="27">
        <f t="shared" ref="H109:H112" si="34">D109*G109</f>
        <v>0</v>
      </c>
      <c r="I109" s="58"/>
    </row>
    <row r="110" spans="1:9" s="32" customFormat="1" ht="12.75" x14ac:dyDescent="0.2">
      <c r="A110" s="57"/>
      <c r="B110" s="24" t="s">
        <v>91</v>
      </c>
      <c r="C110" s="25" t="s">
        <v>14</v>
      </c>
      <c r="D110" s="26">
        <v>80</v>
      </c>
      <c r="E110" s="27"/>
      <c r="F110" s="23"/>
      <c r="G110" s="68"/>
      <c r="H110" s="27">
        <f t="shared" si="34"/>
        <v>0</v>
      </c>
      <c r="I110" s="58"/>
    </row>
    <row r="111" spans="1:9" s="32" customFormat="1" ht="12.75" x14ac:dyDescent="0.2">
      <c r="A111" s="57"/>
      <c r="B111" s="24" t="s">
        <v>92</v>
      </c>
      <c r="C111" s="25" t="s">
        <v>26</v>
      </c>
      <c r="D111" s="26">
        <f>18*2</f>
        <v>36</v>
      </c>
      <c r="E111" s="27"/>
      <c r="F111" s="23"/>
      <c r="G111" s="68"/>
      <c r="H111" s="27">
        <f t="shared" si="34"/>
        <v>0</v>
      </c>
      <c r="I111" s="58"/>
    </row>
    <row r="112" spans="1:9" s="32" customFormat="1" ht="12.75" x14ac:dyDescent="0.2">
      <c r="A112" s="57"/>
      <c r="B112" s="24" t="s">
        <v>93</v>
      </c>
      <c r="C112" s="25" t="s">
        <v>26</v>
      </c>
      <c r="D112" s="26">
        <f>D111</f>
        <v>36</v>
      </c>
      <c r="E112" s="27"/>
      <c r="F112" s="23"/>
      <c r="G112" s="68"/>
      <c r="H112" s="27">
        <f t="shared" si="34"/>
        <v>0</v>
      </c>
      <c r="I112" s="58"/>
    </row>
    <row r="113" spans="1:9" s="32" customFormat="1" ht="12.75" x14ac:dyDescent="0.2">
      <c r="A113" s="55"/>
      <c r="B113" s="33" t="s">
        <v>30</v>
      </c>
      <c r="C113" s="37" t="s">
        <v>0</v>
      </c>
      <c r="D113" s="10">
        <f>1.96*3.62</f>
        <v>7.0952000000000002</v>
      </c>
      <c r="E113" s="34"/>
      <c r="F113" s="23">
        <f>D113*E113</f>
        <v>0</v>
      </c>
      <c r="G113" s="68"/>
      <c r="H113" s="27"/>
      <c r="I113" s="51">
        <f>SUM(F113,H114:H115)</f>
        <v>0</v>
      </c>
    </row>
    <row r="114" spans="1:9" s="32" customFormat="1" ht="12.75" x14ac:dyDescent="0.2">
      <c r="A114" s="61"/>
      <c r="B114" s="28" t="s">
        <v>62</v>
      </c>
      <c r="C114" s="29" t="s">
        <v>0</v>
      </c>
      <c r="D114" s="30">
        <f>D113*1.2</f>
        <v>8.5142399999999991</v>
      </c>
      <c r="E114" s="31"/>
      <c r="F114" s="23"/>
      <c r="G114" s="68"/>
      <c r="H114" s="27">
        <f>D114*G114</f>
        <v>0</v>
      </c>
      <c r="I114" s="58"/>
    </row>
    <row r="115" spans="1:9" s="32" customFormat="1" ht="12.75" x14ac:dyDescent="0.2">
      <c r="A115" s="61"/>
      <c r="B115" s="28" t="s">
        <v>27</v>
      </c>
      <c r="C115" s="29" t="s">
        <v>17</v>
      </c>
      <c r="D115" s="30">
        <f>D113*7.1</f>
        <v>50.375920000000001</v>
      </c>
      <c r="E115" s="31"/>
      <c r="F115" s="23"/>
      <c r="G115" s="68"/>
      <c r="H115" s="27">
        <f>D115*G115</f>
        <v>0</v>
      </c>
      <c r="I115" s="58"/>
    </row>
    <row r="116" spans="1:9" s="32" customFormat="1" ht="12.75" x14ac:dyDescent="0.2">
      <c r="A116" s="61"/>
      <c r="B116" s="121" t="s">
        <v>107</v>
      </c>
      <c r="C116" s="37" t="s">
        <v>0</v>
      </c>
      <c r="D116" s="10">
        <v>15</v>
      </c>
      <c r="E116" s="31"/>
      <c r="F116" s="23"/>
      <c r="G116" s="68"/>
      <c r="H116" s="27"/>
      <c r="I116" s="58"/>
    </row>
    <row r="117" spans="1:9" s="32" customFormat="1" ht="12.75" x14ac:dyDescent="0.2">
      <c r="A117" s="61"/>
      <c r="B117" s="28" t="s">
        <v>25</v>
      </c>
      <c r="C117" s="29" t="s">
        <v>26</v>
      </c>
      <c r="D117" s="30">
        <v>3</v>
      </c>
      <c r="E117" s="31"/>
      <c r="F117" s="23"/>
      <c r="G117" s="68"/>
      <c r="H117" s="27"/>
      <c r="I117" s="58"/>
    </row>
    <row r="118" spans="1:9" s="32" customFormat="1" ht="12.75" x14ac:dyDescent="0.2">
      <c r="A118" s="61"/>
      <c r="B118" s="121" t="s">
        <v>108</v>
      </c>
      <c r="C118" s="37" t="s">
        <v>0</v>
      </c>
      <c r="D118" s="10">
        <v>23.07</v>
      </c>
      <c r="E118" s="31"/>
      <c r="F118" s="23"/>
      <c r="G118" s="68"/>
      <c r="H118" s="27"/>
      <c r="I118" s="58"/>
    </row>
    <row r="119" spans="1:9" s="32" customFormat="1" ht="12.75" x14ac:dyDescent="0.2">
      <c r="A119" s="61"/>
      <c r="B119" s="28" t="s">
        <v>108</v>
      </c>
      <c r="C119" s="29" t="s">
        <v>0</v>
      </c>
      <c r="D119" s="30">
        <v>15</v>
      </c>
      <c r="E119" s="31"/>
      <c r="F119" s="23"/>
      <c r="G119" s="68"/>
      <c r="H119" s="27"/>
      <c r="I119" s="58"/>
    </row>
    <row r="120" spans="1:9" s="32" customFormat="1" ht="12.75" x14ac:dyDescent="0.2">
      <c r="A120" s="61"/>
      <c r="B120" s="28" t="s">
        <v>109</v>
      </c>
      <c r="C120" s="29" t="s">
        <v>0</v>
      </c>
      <c r="D120" s="30">
        <v>8.07</v>
      </c>
      <c r="E120" s="31"/>
      <c r="F120" s="23"/>
      <c r="G120" s="68"/>
      <c r="H120" s="27"/>
      <c r="I120" s="58"/>
    </row>
    <row r="121" spans="1:9" s="32" customFormat="1" ht="12.75" x14ac:dyDescent="0.2">
      <c r="A121" s="61"/>
      <c r="B121" s="28"/>
      <c r="C121" s="29"/>
      <c r="D121" s="30"/>
      <c r="E121" s="31"/>
      <c r="F121" s="23"/>
      <c r="G121" s="68"/>
      <c r="H121" s="27"/>
      <c r="I121" s="58"/>
    </row>
    <row r="122" spans="1:9" s="16" customFormat="1" ht="12.75" x14ac:dyDescent="0.2">
      <c r="A122" s="49"/>
      <c r="B122" s="11" t="s">
        <v>8</v>
      </c>
      <c r="C122" s="5"/>
      <c r="D122" s="6"/>
      <c r="E122" s="7"/>
      <c r="F122" s="7">
        <f>SUM(F12:F115)</f>
        <v>0</v>
      </c>
      <c r="G122" s="7"/>
      <c r="H122" s="7">
        <f>SUM(H12:H115)</f>
        <v>165.69</v>
      </c>
      <c r="I122" s="50"/>
    </row>
    <row r="123" spans="1:9" s="16" customFormat="1" ht="13.5" thickBot="1" x14ac:dyDescent="0.25">
      <c r="A123" s="62"/>
      <c r="B123" s="63" t="s">
        <v>53</v>
      </c>
      <c r="C123" s="64"/>
      <c r="D123" s="64"/>
      <c r="E123" s="64"/>
      <c r="F123" s="64"/>
      <c r="G123" s="64"/>
      <c r="H123" s="64"/>
      <c r="I123" s="65">
        <f>F122+H122</f>
        <v>165.69</v>
      </c>
    </row>
    <row r="124" spans="1:9" s="16" customFormat="1" ht="12.75" x14ac:dyDescent="0.2">
      <c r="A124" s="17"/>
      <c r="B124" s="119" t="s">
        <v>9</v>
      </c>
      <c r="C124" s="119"/>
      <c r="D124" s="66"/>
      <c r="E124" s="120" t="s">
        <v>10</v>
      </c>
      <c r="F124" s="120"/>
      <c r="G124" s="120"/>
      <c r="H124" s="120"/>
      <c r="I124" s="120"/>
    </row>
    <row r="125" spans="1:9" s="16" customFormat="1" x14ac:dyDescent="0.2">
      <c r="A125" s="18"/>
      <c r="B125" s="19" t="s">
        <v>12</v>
      </c>
      <c r="C125" s="13"/>
      <c r="D125" s="13"/>
      <c r="E125" s="13"/>
      <c r="F125" s="13"/>
      <c r="G125" s="13"/>
      <c r="H125" s="13"/>
      <c r="I125" s="13"/>
    </row>
    <row r="126" spans="1:9" s="16" customFormat="1" ht="14.25" customHeight="1" x14ac:dyDescent="0.2">
      <c r="A126" s="18"/>
      <c r="B126" s="19" t="s">
        <v>11</v>
      </c>
      <c r="D126" s="20"/>
      <c r="E126" s="115"/>
      <c r="F126" s="115"/>
      <c r="G126" s="115"/>
      <c r="H126" s="115"/>
      <c r="I126" s="115"/>
    </row>
    <row r="127" spans="1:9" s="16" customFormat="1" ht="14.25" customHeight="1" x14ac:dyDescent="0.2">
      <c r="A127" s="18"/>
      <c r="B127" s="19" t="s">
        <v>13</v>
      </c>
      <c r="D127" s="116"/>
      <c r="E127" s="116"/>
      <c r="F127" s="116"/>
      <c r="G127" s="116"/>
      <c r="H127" s="116"/>
      <c r="I127" s="116"/>
    </row>
  </sheetData>
  <autoFilter ref="A3:I1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7">
    <mergeCell ref="E126:I126"/>
    <mergeCell ref="D127:I127"/>
    <mergeCell ref="G8:H8"/>
    <mergeCell ref="I8:I9"/>
    <mergeCell ref="B124:C124"/>
    <mergeCell ref="E124:I124"/>
    <mergeCell ref="A2:I2"/>
    <mergeCell ref="A3:I3"/>
    <mergeCell ref="A4:I4"/>
    <mergeCell ref="A6:I6"/>
    <mergeCell ref="A7:I7"/>
    <mergeCell ref="A5:I5"/>
    <mergeCell ref="A8:A9"/>
    <mergeCell ref="B8:B9"/>
    <mergeCell ref="C8:C9"/>
    <mergeCell ref="D8:D9"/>
    <mergeCell ref="E8:F8"/>
  </mergeCells>
  <conditionalFormatting sqref="B13:B14 D95 I21:I22 B21:D22 B52:B57 D49:D57 D99:D101 D113:D121 B17:B19 I13:I19 C13:D19 D103:D105">
    <cfRule type="cellIs" dxfId="25" priority="129" stopIfTrue="1" operator="equal">
      <formula>"Стоимость "</formula>
    </cfRule>
  </conditionalFormatting>
  <conditionalFormatting sqref="B16">
    <cfRule type="cellIs" dxfId="24" priority="47" stopIfTrue="1" operator="equal">
      <formula>"Стоимость "</formula>
    </cfRule>
  </conditionalFormatting>
  <conditionalFormatting sqref="I59 B59:D59">
    <cfRule type="cellIs" dxfId="23" priority="46" stopIfTrue="1" operator="equal">
      <formula>"Стоимость "</formula>
    </cfRule>
  </conditionalFormatting>
  <conditionalFormatting sqref="I61:I62 B61:D62">
    <cfRule type="cellIs" dxfId="22" priority="45" stopIfTrue="1" operator="equal">
      <formula>"Стоимость "</formula>
    </cfRule>
  </conditionalFormatting>
  <conditionalFormatting sqref="I63 B63:D63">
    <cfRule type="cellIs" dxfId="21" priority="40" stopIfTrue="1" operator="equal">
      <formula>"Стоимость "</formula>
    </cfRule>
  </conditionalFormatting>
  <conditionalFormatting sqref="I23 B23:D23">
    <cfRule type="cellIs" dxfId="20" priority="39" stopIfTrue="1" operator="equal">
      <formula>"Стоимость "</formula>
    </cfRule>
  </conditionalFormatting>
  <conditionalFormatting sqref="D67:D68 I70:I71 B70:D71 D73">
    <cfRule type="cellIs" dxfId="19" priority="35" stopIfTrue="1" operator="equal">
      <formula>"Стоимость "</formula>
    </cfRule>
  </conditionalFormatting>
  <conditionalFormatting sqref="D65">
    <cfRule type="cellIs" dxfId="18" priority="34" stopIfTrue="1" operator="equal">
      <formula>"Стоимость "</formula>
    </cfRule>
  </conditionalFormatting>
  <conditionalFormatting sqref="D35">
    <cfRule type="cellIs" dxfId="17" priority="29" stopIfTrue="1" operator="equal">
      <formula>"Стоимость "</formula>
    </cfRule>
  </conditionalFormatting>
  <conditionalFormatting sqref="D76:D77">
    <cfRule type="cellIs" dxfId="16" priority="32" stopIfTrue="1" operator="equal">
      <formula>"Стоимость "</formula>
    </cfRule>
  </conditionalFormatting>
  <conditionalFormatting sqref="D92">
    <cfRule type="cellIs" dxfId="15" priority="31" stopIfTrue="1" operator="equal">
      <formula>"Стоимость "</formula>
    </cfRule>
  </conditionalFormatting>
  <conditionalFormatting sqref="D91">
    <cfRule type="cellIs" dxfId="14" priority="28" stopIfTrue="1" operator="equal">
      <formula>"Стоимость "</formula>
    </cfRule>
  </conditionalFormatting>
  <conditionalFormatting sqref="D93">
    <cfRule type="cellIs" dxfId="13" priority="27" stopIfTrue="1" operator="equal">
      <formula>"Стоимость "</formula>
    </cfRule>
  </conditionalFormatting>
  <conditionalFormatting sqref="C25:D25">
    <cfRule type="cellIs" dxfId="12" priority="18" stopIfTrue="1" operator="equal">
      <formula>"Стоимость "</formula>
    </cfRule>
  </conditionalFormatting>
  <conditionalFormatting sqref="E25 G25">
    <cfRule type="cellIs" dxfId="11" priority="17" stopIfTrue="1" operator="equal">
      <formula>"Стоимость "</formula>
    </cfRule>
  </conditionalFormatting>
  <conditionalFormatting sqref="B28:B29 I26:I31 C26:D31">
    <cfRule type="cellIs" dxfId="10" priority="11" stopIfTrue="1" operator="equal">
      <formula>"Стоимость "</formula>
    </cfRule>
  </conditionalFormatting>
  <conditionalFormatting sqref="B27 B31">
    <cfRule type="cellIs" dxfId="9" priority="10" stopIfTrue="1" operator="equal">
      <formula>"Стоимость "</formula>
    </cfRule>
  </conditionalFormatting>
  <conditionalFormatting sqref="B50">
    <cfRule type="cellIs" dxfId="8" priority="9" stopIfTrue="1" operator="equal">
      <formula>"Стоимость "</formula>
    </cfRule>
  </conditionalFormatting>
  <conditionalFormatting sqref="D74">
    <cfRule type="cellIs" dxfId="7" priority="8" stopIfTrue="1" operator="equal">
      <formula>"Стоимость "</formula>
    </cfRule>
  </conditionalFormatting>
  <conditionalFormatting sqref="D37:D38 I40:I41 B40:D41 D43">
    <cfRule type="cellIs" dxfId="6" priority="7" stopIfTrue="1" operator="equal">
      <formula>"Стоимость "</formula>
    </cfRule>
  </conditionalFormatting>
  <conditionalFormatting sqref="D33">
    <cfRule type="cellIs" dxfId="5" priority="6" stopIfTrue="1" operator="equal">
      <formula>"Стоимость "</formula>
    </cfRule>
  </conditionalFormatting>
  <conditionalFormatting sqref="D46">
    <cfRule type="cellIs" dxfId="4" priority="5" stopIfTrue="1" operator="equal">
      <formula>"Стоимость "</formula>
    </cfRule>
  </conditionalFormatting>
  <conditionalFormatting sqref="D44">
    <cfRule type="cellIs" dxfId="3" priority="4" stopIfTrue="1" operator="equal">
      <formula>"Стоимость "</formula>
    </cfRule>
  </conditionalFormatting>
  <conditionalFormatting sqref="D85:D88">
    <cfRule type="cellIs" dxfId="2" priority="3" stopIfTrue="1" operator="equal">
      <formula>"Стоимость "</formula>
    </cfRule>
  </conditionalFormatting>
  <conditionalFormatting sqref="D97">
    <cfRule type="cellIs" dxfId="1" priority="2" stopIfTrue="1" operator="equal">
      <formula>"Стоимость "</formula>
    </cfRule>
  </conditionalFormatting>
  <conditionalFormatting sqref="D102">
    <cfRule type="cellIs" dxfId="0" priority="1" stopIfTrue="1" operator="equal">
      <formula>"Стоимость "</formula>
    </cfRule>
  </conditionalFormatting>
  <pageMargins left="0.35433070866141736" right="0.47244094488188981" top="0.39370078740157483" bottom="0.31496062992125984" header="0.39370078740157483" footer="0.35433070866141736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ДЦ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Buhgalter4</cp:lastModifiedBy>
  <cp:lastPrinted>2020-06-15T12:32:48Z</cp:lastPrinted>
  <dcterms:created xsi:type="dcterms:W3CDTF">2019-11-28T17:21:44Z</dcterms:created>
  <dcterms:modified xsi:type="dcterms:W3CDTF">2020-06-18T11:12:14Z</dcterms:modified>
</cp:coreProperties>
</file>