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2954FCA-96E1-4CAD-ADE7-8DA6A51AFDD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КП" sheetId="1" r:id="rId1"/>
  </sheets>
  <definedNames>
    <definedName name="_xlnm._FilterDatabase" localSheetId="0" hidden="1">КП!$A$8:$K$273</definedName>
    <definedName name="okpo_c1" localSheetId="0">КП!#REF!</definedName>
    <definedName name="_xlnm.Print_Titles" localSheetId="0">КП!$8:$8</definedName>
    <definedName name="_xlnm.Print_Area" localSheetId="0">КП!$A$1:$S$284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7" i="1" l="1"/>
  <c r="D188" i="1"/>
  <c r="F92" i="1" l="1"/>
  <c r="D28" i="1"/>
  <c r="F21" i="1"/>
  <c r="D242" i="1" l="1"/>
  <c r="F241" i="1"/>
  <c r="I25" i="1"/>
  <c r="D195" i="1"/>
  <c r="D179" i="1" l="1"/>
  <c r="D95" i="1"/>
  <c r="F11" i="1"/>
  <c r="F10" i="1"/>
  <c r="D12" i="1"/>
  <c r="F12" i="1" s="1"/>
  <c r="I52" i="1"/>
  <c r="I51" i="1"/>
  <c r="I50" i="1"/>
  <c r="I48" i="1"/>
  <c r="I47" i="1"/>
  <c r="I49" i="1" s="1"/>
  <c r="I46" i="1"/>
  <c r="F46" i="1" l="1"/>
  <c r="I88" i="1"/>
  <c r="I77" i="1"/>
  <c r="I70" i="1"/>
  <c r="I44" i="1"/>
  <c r="I43" i="1"/>
  <c r="I42" i="1"/>
  <c r="I41" i="1"/>
  <c r="I40" i="1"/>
  <c r="I39" i="1"/>
  <c r="I38" i="1"/>
  <c r="I45" i="1" s="1"/>
  <c r="I37" i="1"/>
  <c r="F24" i="1"/>
  <c r="I71" i="1" l="1"/>
  <c r="I79" i="1"/>
  <c r="I78" i="1"/>
  <c r="I80" i="1" l="1"/>
  <c r="D84" i="1"/>
  <c r="I72" i="1" l="1"/>
  <c r="I74" i="1"/>
  <c r="I73" i="1"/>
  <c r="I76" i="1" l="1"/>
  <c r="I75" i="1"/>
  <c r="I199" i="1"/>
  <c r="I198" i="1"/>
  <c r="I197" i="1"/>
  <c r="I196" i="1"/>
  <c r="I189" i="1"/>
  <c r="I187" i="1"/>
  <c r="I186" i="1"/>
  <c r="I185" i="1"/>
  <c r="I184" i="1"/>
  <c r="I183" i="1"/>
  <c r="I181" i="1"/>
  <c r="I180" i="1"/>
  <c r="I179" i="1"/>
  <c r="I174" i="1"/>
  <c r="I173" i="1"/>
  <c r="I172" i="1"/>
  <c r="I171" i="1"/>
  <c r="I169" i="1"/>
  <c r="I168" i="1"/>
  <c r="I167" i="1"/>
  <c r="I166" i="1"/>
  <c r="I165" i="1"/>
  <c r="I90" i="1"/>
  <c r="I89" i="1"/>
  <c r="I87" i="1"/>
  <c r="I86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I243" i="1"/>
  <c r="F243" i="1"/>
  <c r="I242" i="1"/>
  <c r="F242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I188" i="1" l="1"/>
  <c r="I190" i="1"/>
  <c r="I170" i="1"/>
  <c r="I91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83" i="1"/>
  <c r="I82" i="1"/>
  <c r="I81" i="1"/>
  <c r="I68" i="1"/>
  <c r="I65" i="1"/>
  <c r="I63" i="1"/>
  <c r="I84" i="1"/>
  <c r="I67" i="1"/>
  <c r="I66" i="1"/>
  <c r="I69" i="1"/>
  <c r="I64" i="1"/>
  <c r="I120" i="1"/>
  <c r="I119" i="1"/>
  <c r="I111" i="1"/>
  <c r="I110" i="1"/>
  <c r="I102" i="1"/>
  <c r="I101" i="1"/>
  <c r="I35" i="1"/>
  <c r="I34" i="1"/>
  <c r="I268" i="1" l="1"/>
  <c r="F267" i="1"/>
  <c r="I265" i="1"/>
  <c r="I127" i="1"/>
  <c r="I126" i="1"/>
  <c r="I125" i="1"/>
  <c r="I124" i="1"/>
  <c r="I123" i="1"/>
  <c r="I122" i="1"/>
  <c r="I118" i="1"/>
  <c r="I117" i="1"/>
  <c r="I116" i="1"/>
  <c r="I115" i="1"/>
  <c r="I114" i="1"/>
  <c r="I113" i="1"/>
  <c r="I109" i="1"/>
  <c r="I108" i="1"/>
  <c r="I107" i="1"/>
  <c r="I106" i="1"/>
  <c r="I105" i="1"/>
  <c r="I104" i="1"/>
  <c r="I121" i="1" l="1"/>
  <c r="I112" i="1"/>
  <c r="I100" i="1"/>
  <c r="I99" i="1"/>
  <c r="I98" i="1"/>
  <c r="I97" i="1"/>
  <c r="I96" i="1"/>
  <c r="I95" i="1"/>
  <c r="I56" i="1"/>
  <c r="I31" i="1"/>
  <c r="I28" i="1"/>
  <c r="I33" i="1"/>
  <c r="I32" i="1"/>
  <c r="I30" i="1"/>
  <c r="I29" i="1"/>
  <c r="F197" i="1" l="1"/>
  <c r="F195" i="1"/>
  <c r="F180" i="1"/>
  <c r="F179" i="1"/>
  <c r="F188" i="1"/>
  <c r="F186" i="1"/>
  <c r="F194" i="1"/>
  <c r="F184" i="1"/>
  <c r="F178" i="1"/>
  <c r="F28" i="1"/>
  <c r="F170" i="1"/>
  <c r="F166" i="1"/>
  <c r="F168" i="1"/>
  <c r="F172" i="1"/>
  <c r="F174" i="1"/>
  <c r="F87" i="1"/>
  <c r="F91" i="1"/>
  <c r="F89" i="1"/>
  <c r="F142" i="1"/>
  <c r="F73" i="1"/>
  <c r="F78" i="1"/>
  <c r="F76" i="1"/>
  <c r="F132" i="1"/>
  <c r="F130" i="1"/>
  <c r="F139" i="1"/>
  <c r="F137" i="1"/>
  <c r="F135" i="1"/>
  <c r="F159" i="1"/>
  <c r="F157" i="1"/>
  <c r="F83" i="1"/>
  <c r="F80" i="1"/>
  <c r="F71" i="1"/>
  <c r="F145" i="1"/>
  <c r="F161" i="1"/>
  <c r="F147" i="1"/>
  <c r="F152" i="1"/>
  <c r="F154" i="1"/>
  <c r="F164" i="1"/>
  <c r="F150" i="1"/>
  <c r="F95" i="1"/>
  <c r="F84" i="1"/>
  <c r="F66" i="1"/>
  <c r="F64" i="1"/>
  <c r="F69" i="1"/>
  <c r="I103" i="1"/>
  <c r="I36" i="1"/>
  <c r="F122" i="1"/>
  <c r="F123" i="1"/>
  <c r="F104" i="1"/>
  <c r="F113" i="1"/>
  <c r="F37" i="1"/>
  <c r="I54" i="1"/>
  <c r="I55" i="1"/>
  <c r="I53" i="1"/>
  <c r="K269" i="1" l="1"/>
  <c r="F56" i="1"/>
  <c r="F269" i="1" l="1"/>
  <c r="K278" i="1" l="1"/>
</calcChain>
</file>

<file path=xl/sharedStrings.xml><?xml version="1.0" encoding="utf-8"?>
<sst xmlns="http://schemas.openxmlformats.org/spreadsheetml/2006/main" count="687" uniqueCount="248">
  <si>
    <t>№ п/п</t>
  </si>
  <si>
    <t xml:space="preserve">Найменування робіт </t>
  </si>
  <si>
    <t>Од. вим.</t>
  </si>
  <si>
    <t xml:space="preserve">К-сть   </t>
  </si>
  <si>
    <t xml:space="preserve">Найменування матеріалів                                             </t>
  </si>
  <si>
    <t>м2</t>
  </si>
  <si>
    <t>Всього по роботам</t>
  </si>
  <si>
    <t>Всього по матеріалам</t>
  </si>
  <si>
    <t>Підрядник:</t>
  </si>
  <si>
    <t>Замовник:</t>
  </si>
  <si>
    <t>ТОВ"С.ГРУП Компані"</t>
  </si>
  <si>
    <t xml:space="preserve"> </t>
  </si>
  <si>
    <t>Директор _________________________________________А.О.Єременко</t>
  </si>
  <si>
    <t>Директор _____________________________________________</t>
  </si>
  <si>
    <t>кг</t>
  </si>
  <si>
    <t>л</t>
  </si>
  <si>
    <t>Ціна, грн з ПДВ</t>
  </si>
  <si>
    <r>
      <t xml:space="preserve">Вартість мат-лів , грн </t>
    </r>
    <r>
      <rPr>
        <b/>
        <sz val="12"/>
        <rFont val="Calibri"/>
        <family val="2"/>
        <charset val="204"/>
      </rPr>
      <t>з ПДВ</t>
    </r>
  </si>
  <si>
    <t>шт</t>
  </si>
  <si>
    <t>упак</t>
  </si>
  <si>
    <t>саморізи 3,5х 9,5 зі свердлом БІЛІ (1000шт)</t>
  </si>
  <si>
    <t>Дюбель для швидкого монтажу 6/40 гриб  (100шт.)</t>
  </si>
  <si>
    <t>саморізи 3,5х25 по металу (1000шт)</t>
  </si>
  <si>
    <t>Стрічка армуюча, 50мм</t>
  </si>
  <si>
    <t>м</t>
  </si>
  <si>
    <t xml:space="preserve">Шпаклівка Knauf Фугенфюллер </t>
  </si>
  <si>
    <t>Ґрунтовка глибокопроникна Ceresit CT 17 10 л</t>
  </si>
  <si>
    <t>уп</t>
  </si>
  <si>
    <t>м.п.</t>
  </si>
  <si>
    <t>Окремий вибір замовника</t>
  </si>
  <si>
    <t>Підлога</t>
  </si>
  <si>
    <t>Стеля</t>
  </si>
  <si>
    <t xml:space="preserve">Гіпсокартон ГКЛ 12,5*2500*1200 </t>
  </si>
  <si>
    <t>Інші роботи</t>
  </si>
  <si>
    <t>Різноробочі (розвантажувально-навантажувальні роботи)</t>
  </si>
  <si>
    <t>люд/зм</t>
  </si>
  <si>
    <t>Плівка п/е</t>
  </si>
  <si>
    <t>Мішки для сміття</t>
  </si>
  <si>
    <t>Електромонтажні роботи</t>
  </si>
  <si>
    <t>Клей для плитки Ceresit СМ 11 Plus 25 кг</t>
  </si>
  <si>
    <t>Затирка СЕ-40</t>
  </si>
  <si>
    <t>Хрестики для плитки</t>
  </si>
  <si>
    <t>Диск для плитки</t>
  </si>
  <si>
    <t>Сантехнічні роботи</t>
  </si>
  <si>
    <t>Зубило лопатка Haisser SDS-plus 40x250 мм 104011</t>
  </si>
  <si>
    <t>Диск алмазний відрізний Bosch Standart for Concrete 230x2,3x22,2 бетон</t>
  </si>
  <si>
    <t>Стіни</t>
  </si>
  <si>
    <t xml:space="preserve">ГКЛ </t>
  </si>
  <si>
    <t>Влаштування фальш-стін із ГКЛ на металевому каркасі</t>
  </si>
  <si>
    <t>Профіль CD60 L=3m</t>
  </si>
  <si>
    <t>Профіль UD27 L=3m</t>
  </si>
  <si>
    <t>Зашивання інсталяцій ГКЛ</t>
  </si>
  <si>
    <t>Монтаж стелі ГКЛ в 1 шар</t>
  </si>
  <si>
    <t>Влаштування стельових відкосів (Ніші, торці і тд)</t>
  </si>
  <si>
    <r>
      <t xml:space="preserve">Влаштування стельових відкосів (Ніші, торці і тд) </t>
    </r>
    <r>
      <rPr>
        <sz val="11"/>
        <color rgb="FFFF0000"/>
        <rFont val="Calibri"/>
        <family val="2"/>
        <charset val="204"/>
      </rPr>
      <t>(К=1,3 радіусні)</t>
    </r>
  </si>
  <si>
    <t>Влаштування радіусного примикання стелі до стіни</t>
  </si>
  <si>
    <t>Влаштування арок в дверних прорізах</t>
  </si>
  <si>
    <t xml:space="preserve">Гіпсокартон ГКЛ радіусний 6,5*2500*1200 </t>
  </si>
  <si>
    <t>Підвіс П-образний універсальний 60*125мм</t>
  </si>
  <si>
    <t>Подовжувач CD профілю</t>
  </si>
  <si>
    <t>Ущільнююча стрічка 50мм для ГКЛ</t>
  </si>
  <si>
    <t>Наклеювання скловолокна на стіни</t>
  </si>
  <si>
    <t>Нанесення акрилової шпаклівки на стіни</t>
  </si>
  <si>
    <t>Кнауф Мульти-Финиш (25кг) Шпаклевка Knauf</t>
  </si>
  <si>
    <t>Шпаклювання стін</t>
  </si>
  <si>
    <t>Шпаклевка для внутренних работ Semin Sem Joint Compound 15 кг Белый (2812)</t>
  </si>
  <si>
    <t>Малярный стеклохолст Wellton W30 50 м</t>
  </si>
  <si>
    <t>Клей для шпалер Bostik Wall Super 15 л</t>
  </si>
  <si>
    <t>Монтаж кутика перфорованого</t>
  </si>
  <si>
    <t>Уголок перфорированный алюминиевый 23х23 мм 2,5 м</t>
  </si>
  <si>
    <r>
      <t xml:space="preserve">Шпаклювання відкосів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</si>
  <si>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Наклеювання скловолокна на відкосів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</si>
  <si>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Нанесення акрилової шпаклівки на відкосів  </t>
    </r>
    <r>
      <rPr>
        <sz val="11"/>
        <color rgb="FFFF0000"/>
        <rFont val="Calibri"/>
        <family val="2"/>
        <charset val="204"/>
      </rPr>
      <t>(К=1,3 радіусні)</t>
    </r>
  </si>
  <si>
    <t xml:space="preserve">Шпаклювання відкосів  </t>
  </si>
  <si>
    <t xml:space="preserve">Наклеювання скловолокна на відкосів  </t>
  </si>
  <si>
    <t xml:space="preserve">Нанесення акрилової шпаклівки на відкосів </t>
  </si>
  <si>
    <t>Шпаклювання стелі</t>
  </si>
  <si>
    <t>Наклеювання скловолокна на стелі</t>
  </si>
  <si>
    <t>Нанесення акрилової шпаклівки на стелі</t>
  </si>
  <si>
    <t xml:space="preserve">Шпаклювання відкосів, ніш, коробів  </t>
  </si>
  <si>
    <t xml:space="preserve">Наклеювання скловолокна на відкосів, ніш, коробів  </t>
  </si>
  <si>
    <t xml:space="preserve">Нанесення акрилової шпаклівки на відкосів, ніш, коробів </t>
  </si>
  <si>
    <r>
      <t xml:space="preserve">Шпаклювання примикань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</si>
  <si>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Наклеювання скловолокна на примикань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</si>
  <si>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Шпаклювання дверних арок 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</si>
  <si>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Наклеювання скловолокна на дверних арок 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</si>
  <si>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Нанесення акрилової шпаклівки на примикання 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</si>
  <si>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Нанесення акрилової шпаклівки на дверні арки   </t>
    </r>
    <r>
      <rPr>
        <sz val="11"/>
        <color rgb="FFFF0000"/>
        <rFont val="Calibri"/>
        <family val="2"/>
        <charset val="204"/>
      </rPr>
      <t>(К=1,3 радіусні)</t>
    </r>
  </si>
  <si>
    <t>Підготовка стель під фінішне оздоблення</t>
  </si>
  <si>
    <t>Підготовка стін під фінішне оздоблення</t>
  </si>
  <si>
    <t>Фінішне оздоблення стін</t>
  </si>
  <si>
    <t>Штробление типоразмера 25х35 (ГхШ)</t>
  </si>
  <si>
    <t>Лоток 200х50 перфорированный легкий толщ.0.5 СКАТ</t>
  </si>
  <si>
    <t>Штробление пола до типоразмера 100х150 (ГхШ)</t>
  </si>
  <si>
    <t>Шпилька М8х1000мм DIN 975</t>
  </si>
  <si>
    <t>шт.</t>
  </si>
  <si>
    <t>Прокладка кабеля / провода до 5х4</t>
  </si>
  <si>
    <t>Монтажный профиль Т18 27х18х1,2</t>
  </si>
  <si>
    <t>Прокладка кабеля / провода 5x6</t>
  </si>
  <si>
    <t>Болт М6 * 12 DIN 933 с шест. головкой цб</t>
  </si>
  <si>
    <t>Прокладка кабеля / провода 5x16</t>
  </si>
  <si>
    <t>Гайка зубчатая с буртиком М6 DIN 6923</t>
  </si>
  <si>
    <t xml:space="preserve">Прокладка кабеля / провода 4х120, 5х120 в трубе </t>
  </si>
  <si>
    <t>Гайка зубчатая с буртиком М8 DIN 6923</t>
  </si>
  <si>
    <t>Монтаж коробки монтажной под розетку / выключатель</t>
  </si>
  <si>
    <t>Анкер латунный забивной EL M8х30</t>
  </si>
  <si>
    <t>Монтаж и коммутация распределительной коробки</t>
  </si>
  <si>
    <t>Шайба М6</t>
  </si>
  <si>
    <t>Прокладка гофры / металлорукава до Ø40 мм</t>
  </si>
  <si>
    <t>Шайба М8</t>
  </si>
  <si>
    <t>Прокладка гофры / металлорукава до Ø75 мм</t>
  </si>
  <si>
    <t>Пластина дистанционная 500 мм</t>
  </si>
  <si>
    <t>Монтаж и подключение щита ЩСО</t>
  </si>
  <si>
    <t>усл.</t>
  </si>
  <si>
    <t>Монтаж и подключение щита ЩСВ</t>
  </si>
  <si>
    <t>Кабель ВВГнгд 3х2,5 ЗЗЦМ</t>
  </si>
  <si>
    <t>Монтажи подключение щита ЩСС</t>
  </si>
  <si>
    <t>Кабель ВВГнгд 3х1,5 ЗЗЦМ</t>
  </si>
  <si>
    <t>Монтаж лотка под электрический кабель</t>
  </si>
  <si>
    <t>Кабель КВВГЕнг 5х1.5</t>
  </si>
  <si>
    <t>Пробитие технологического отверстия в стене под лотки</t>
  </si>
  <si>
    <t>Кабель КВВГЕнг 5х2.5</t>
  </si>
  <si>
    <t>Монтаж автомата 300А (во внешнем щите учета) (по факту)</t>
  </si>
  <si>
    <t>Кабель NHXH FE180 E90 3x1,5</t>
  </si>
  <si>
    <t>Кабель NHXH FE180 E90 5x2,5</t>
  </si>
  <si>
    <t>Кабель ВВГнгд 5х1,5 ЗЗЦМ</t>
  </si>
  <si>
    <t>Кабель ВВГнгд 5х2,5 ЗЗЦМ</t>
  </si>
  <si>
    <t>Кабель ВВГнгд 5х4 ЗЗЦМ</t>
  </si>
  <si>
    <t>Кабель ВВГнгд 5x6 ЗЗЦМ</t>
  </si>
  <si>
    <t>Кабель ВВГнгд 5x16 ЗЗЦМ</t>
  </si>
  <si>
    <t>Кабель АВВГнгд 5х120</t>
  </si>
  <si>
    <t>Силовой авт. выключатель 3-полюс. 300A NZMB2-A300 Moeller-EATON</t>
  </si>
  <si>
    <t>Кабель UTP cat.5e Одескабель</t>
  </si>
  <si>
    <t>Кабель UTP cat.5e LSOH 4х2х0,51 (оранж.) Одескабель (для системы видеонаблюдения и СКД)</t>
  </si>
  <si>
    <t>Кабель ШВВП 2х0,75 ЗЗЦМ (для системы видеонаблюдения и СКД)</t>
  </si>
  <si>
    <t>Труба гофрированная Ø16 ДКС</t>
  </si>
  <si>
    <t>Труба гофрированная Ø20 ДКС</t>
  </si>
  <si>
    <t>Труба гофрированная Ø25 ДКС</t>
  </si>
  <si>
    <t>Труба гофрированная Ø32 ДКС</t>
  </si>
  <si>
    <t>Труба гофрированная Ø40 ДКС</t>
  </si>
  <si>
    <t>Труба двустенная гофрированная 75/62 мм; DKC</t>
  </si>
  <si>
    <t>Щит ЩСО в сборе (комплект с автоматикой) (после проекта)</t>
  </si>
  <si>
    <t>Щит ЩСВ в сборе (комплект с автоматикой) (после проекта)</t>
  </si>
  <si>
    <t>Щит ЩСС в сборе(комплект с автоматикой) (после проекта)</t>
  </si>
  <si>
    <t>Коробка распределительная OBO Т40 90x90x52</t>
  </si>
  <si>
    <t>Коробка установочная SE для полых стен 65х45</t>
  </si>
  <si>
    <t>Соединительный элемент подрозетника</t>
  </si>
  <si>
    <t>Корпус коробки КОПОС KUP-80</t>
  </si>
  <si>
    <t>Монтаж  LED  стрічки з RGB   профілем</t>
  </si>
  <si>
    <t>п.м</t>
  </si>
  <si>
    <t>LED  стрічки з RGB   профілем</t>
  </si>
  <si>
    <t>Монтаж фурнитури</t>
  </si>
  <si>
    <t>Фурнитура</t>
  </si>
  <si>
    <t>Пробивка каналів для труб (цегла/газоблок/шлакоблок/стяжка)</t>
  </si>
  <si>
    <t xml:space="preserve">Сантехмонтажний комплект </t>
  </si>
  <si>
    <t>к-т</t>
  </si>
  <si>
    <t>Прокладення труби водопостачання/опалення</t>
  </si>
  <si>
    <t>Суміш для мурування Polimin М-75, 25 кг</t>
  </si>
  <si>
    <t>мішок</t>
  </si>
  <si>
    <t>Прокладення труби каналізації</t>
  </si>
  <si>
    <t>Редуктор тиску</t>
  </si>
  <si>
    <t xml:space="preserve">Зароблення штроб </t>
  </si>
  <si>
    <t>Інсталяції Геберіт з кнопкою</t>
  </si>
  <si>
    <t>Монтаж інсталяції для консольного унітазу/біде</t>
  </si>
  <si>
    <t>Гідравлічне випробування водопостачання</t>
  </si>
  <si>
    <t>компл.</t>
  </si>
  <si>
    <t>Унітаз</t>
  </si>
  <si>
    <t>точка</t>
  </si>
  <si>
    <t>Умивальник (змішувач прихований монтаж)</t>
  </si>
  <si>
    <t>Монтаж бойлера</t>
  </si>
  <si>
    <t>Монтаж гігієнічних комплектуючих</t>
  </si>
  <si>
    <t>Монтаж змішувача (прихований монтаж)</t>
  </si>
  <si>
    <t>Монтаж умивальника (з урахуванням сифону)</t>
  </si>
  <si>
    <t>Монтаж унітазу, біде</t>
  </si>
  <si>
    <t>Монтаж кнопки унітазу</t>
  </si>
  <si>
    <t>Монтаж приборних кранів</t>
  </si>
  <si>
    <t>Монтаж рукосушарки</t>
  </si>
  <si>
    <t>Монтаж дзеркала</t>
  </si>
  <si>
    <t xml:space="preserve">Фарбування стін </t>
  </si>
  <si>
    <t>Краска водоэмульсионная Kolorit Legenda (база С) 9 л</t>
  </si>
  <si>
    <r>
      <t xml:space="preserve">Фарбування відкосів </t>
    </r>
    <r>
      <rPr>
        <sz val="11"/>
        <color rgb="FFFF0000"/>
        <rFont val="Calibri"/>
        <family val="2"/>
        <charset val="204"/>
      </rPr>
      <t>(К=1,3 радіусні)</t>
    </r>
  </si>
  <si>
    <t xml:space="preserve">Фарбування відкосів </t>
  </si>
  <si>
    <t>Фарбування стелі</t>
  </si>
  <si>
    <t xml:space="preserve">Фарбування відкосів, ніш, коробів </t>
  </si>
  <si>
    <r>
      <t xml:space="preserve">Фарбування примикань </t>
    </r>
    <r>
      <rPr>
        <sz val="11"/>
        <color rgb="FFFF0000"/>
        <rFont val="Calibri"/>
        <family val="2"/>
        <charset val="204"/>
      </rPr>
      <t>(К=1,3 радіусні)</t>
    </r>
  </si>
  <si>
    <r>
      <t xml:space="preserve">Фарбування дверних арок </t>
    </r>
    <r>
      <rPr>
        <sz val="11"/>
        <color rgb="FFFF0000"/>
        <rFont val="Calibri"/>
        <family val="2"/>
        <charset val="204"/>
      </rPr>
      <t>(К=1,3 радіусні)</t>
    </r>
  </si>
  <si>
    <t xml:space="preserve">Прорізання та влаштування штроби під профіль </t>
  </si>
  <si>
    <t>Монтаж профілю підлогового</t>
  </si>
  <si>
    <t>Профіль для світлодіодної стрічки</t>
  </si>
  <si>
    <t>Частковий ремонт підлоги</t>
  </si>
  <si>
    <t>Ґрунтовка глибокопроникаюча Thomsit R 777 10 л</t>
  </si>
  <si>
    <t>Швидкотверднуча ремонтна суміш Ceresit RS 88 25 кг</t>
  </si>
  <si>
    <t>Влаштування самовирівнюючої стяжки 10мм</t>
  </si>
  <si>
    <t>Самовирівнювальна підлога Siltek F-50 25 кг</t>
  </si>
  <si>
    <t>Гідроізоляція підлоги</t>
  </si>
  <si>
    <t>Ceresit CR-65 Смесь для гидроизоляции, мешок 25 кг</t>
  </si>
  <si>
    <t>Облицювання підлоги плиткою</t>
  </si>
  <si>
    <t>Монтаж люків прихованого монтажа</t>
  </si>
  <si>
    <t>Плитка керамогранітна</t>
  </si>
  <si>
    <t xml:space="preserve">Люк прихованого монтажу </t>
  </si>
  <si>
    <t>СВП (клин, основа)</t>
  </si>
  <si>
    <t>Шліфування основи підлоги</t>
  </si>
  <si>
    <t>Щетка Зенит чашка из плетеной стали 100 мм М14 (4820351001008)</t>
  </si>
  <si>
    <t>Монтаж ковроліну (в комплекті)</t>
  </si>
  <si>
    <t>Ковролін Forbo Flotex принт</t>
  </si>
  <si>
    <t>Підложка Dardan Еко 9100x1100x3 мм</t>
  </si>
  <si>
    <t>Клей для напольных покрытий 26 А 15 кг</t>
  </si>
  <si>
    <t>Комплекс робіт по вентиляції, кондиціонуванню та холодопостачанню (Постачальник холоду LG, Установки Вентус - вітчизняний виробник)</t>
  </si>
  <si>
    <t>поз.</t>
  </si>
  <si>
    <t>Цегляні перегородки</t>
  </si>
  <si>
    <t>Розчин для мурування Polimin М-150 3 в 1</t>
  </si>
  <si>
    <r>
      <t xml:space="preserve">Улаштування відкосів кутів та обшики колон ГКЛ </t>
    </r>
    <r>
      <rPr>
        <sz val="11"/>
        <color rgb="FFFF0000"/>
        <rFont val="Calibri"/>
        <family val="2"/>
        <charset val="204"/>
      </rPr>
      <t>(К=1,3 радіусні)</t>
    </r>
  </si>
  <si>
    <t>Монтаж ГКЛ перегородки в 1 шар з 2-х сторін</t>
  </si>
  <si>
    <t>Лист гіпсокартонний ГКЛВ 2500*1200*12,5мм</t>
  </si>
  <si>
    <t>Профиль UW 75/3 м 0,5 мм</t>
  </si>
  <si>
    <t>Профиль CW 75/3 м 0,5 мм</t>
  </si>
  <si>
    <t xml:space="preserve">Стрічка ущільнююча, 75мм </t>
  </si>
  <si>
    <t>Демонтажні роботи та посилення</t>
  </si>
  <si>
    <t>Розширення дверних прорізів</t>
  </si>
  <si>
    <t>Вирізання дверного прорізу</t>
  </si>
  <si>
    <t>Посилення дверних прорізів</t>
  </si>
  <si>
    <t>Шверер 12п</t>
  </si>
  <si>
    <t>Шпилька метрична М12*1000</t>
  </si>
  <si>
    <t>Гайка+шайба+болт М12</t>
  </si>
  <si>
    <t>компл</t>
  </si>
  <si>
    <t xml:space="preserve">Кутик 63*63*4 </t>
  </si>
  <si>
    <t>Полоса 6мм</t>
  </si>
  <si>
    <t>Електроди Ф3мм</t>
  </si>
  <si>
    <t>Диск відрізний Ф230</t>
  </si>
  <si>
    <t>Диск зачисний Ф230</t>
  </si>
  <si>
    <t>Грунт ГФ-21</t>
  </si>
  <si>
    <t>Кошторис                                                                                                                                                                                              на ремонтні роботи казино в м. Одеса</t>
  </si>
  <si>
    <t>Круглый светодиодный врезной светильник Vestum 18W 4000K 220V 1-VS-5105</t>
  </si>
  <si>
    <t>Монтаж світильника врізного з вирізанням отворів</t>
  </si>
  <si>
    <t>Демонтаж перегородок</t>
  </si>
  <si>
    <t>Арматура ф6мм</t>
  </si>
  <si>
    <t>Змішувач прихованого монтажу</t>
  </si>
  <si>
    <t>Умивальник</t>
  </si>
  <si>
    <t>Крани</t>
  </si>
  <si>
    <t>Рукоушарка</t>
  </si>
  <si>
    <t>Дзеркало</t>
  </si>
  <si>
    <t>Бойлер</t>
  </si>
  <si>
    <t>Монтаж дверей прихованого монтажу</t>
  </si>
  <si>
    <t>Двері прихованого монтажу</t>
  </si>
  <si>
    <t>Вигородження перегородок  з газобетону 200мм</t>
  </si>
  <si>
    <t>Газебетон</t>
  </si>
  <si>
    <t>Ціна, грн без ПДВ</t>
  </si>
  <si>
    <r>
      <t>Вартість робіт , грн без</t>
    </r>
    <r>
      <rPr>
        <b/>
        <sz val="12"/>
        <rFont val="Calibri"/>
        <family val="2"/>
        <charset val="204"/>
      </rPr>
      <t xml:space="preserve"> ПДВ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</si>
</sst>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#,##0.00"/>
    <numFmt numFmtId="166" formatCode="0.0%"/>
  </numFmts>
  <fonts count="36" x14ac:knownFonts="1"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8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i/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Helv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4"/>
      <color rgb="FF000000"/>
      <name val="Calibri"/>
      <family val="2"/>
      <charset val="204"/>
    </font>
    <font>
      <b/>
      <sz val="16"/>
      <name val="Calibri"/>
      <family val="2"/>
      <charset val="204"/>
    </font>
    <font>
      <b/>
      <sz val="13"/>
      <color theme="0"/>
      <name val="Arial"/>
      <family val="2"/>
      <charset val="204"/>
    </font>
    <font>
      <b/>
      <sz val="13"/>
      <color rgb="FF0070C0"/>
      <name val="Arial"/>
      <family val="2"/>
      <charset val="204"/>
    </font>
    <font>
      <sz val="11"/>
      <name val="Bookman Old Style"/>
      <family val="1"/>
      <charset val="204"/>
    </font>
    <font>
      <sz val="14"/>
      <name val="Calibri"/>
      <family val="2"/>
      <charset val="204"/>
    </font>
    <font>
      <sz val="11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u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/>
        <bgColor rgb="FFDBEEF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164" fontId="15" fillId="0" borderId="0" applyBorder="0" applyProtection="0"/>
    <xf numFmtId="164" fontId="17" fillId="0" borderId="0" applyBorder="0" applyProtection="0"/>
    <xf numFmtId="0" fontId="2" fillId="0" borderId="0"/>
    <xf numFmtId="0" fontId="32" fillId="0" borderId="0"/>
  </cellStyleXfs>
  <cellXfs count="162">
    <xf numFmtId="0" fontId="0" fillId="0" borderId="0" xfId="0"/>
    <xf numFmtId="164" fontId="3" fillId="0" borderId="0" xfId="2" applyFont="1" applyFill="1" applyAlignment="1">
      <alignment horizontal="center" vertical="center"/>
    </xf>
    <xf numFmtId="164" fontId="2" fillId="0" borderId="0" xfId="2" applyFont="1" applyFill="1" applyBorder="1" applyAlignment="1"/>
    <xf numFmtId="164" fontId="2" fillId="0" borderId="0" xfId="2" applyFont="1" applyFill="1" applyAlignment="1"/>
    <xf numFmtId="165" fontId="11" fillId="2" borderId="1" xfId="3" applyNumberFormat="1" applyFont="1" applyFill="1" applyBorder="1" applyAlignment="1">
      <alignment horizontal="center" vertical="center" wrapText="1"/>
    </xf>
    <xf numFmtId="164" fontId="11" fillId="3" borderId="1" xfId="3" applyFont="1" applyFill="1" applyBorder="1" applyAlignment="1">
      <alignment horizontal="center" vertical="center" wrapText="1"/>
    </xf>
    <xf numFmtId="165" fontId="11" fillId="3" borderId="1" xfId="3" applyNumberFormat="1" applyFont="1" applyFill="1" applyBorder="1" applyAlignment="1">
      <alignment horizontal="center" vertical="center" wrapText="1"/>
    </xf>
    <xf numFmtId="4" fontId="11" fillId="3" borderId="1" xfId="3" applyNumberFormat="1" applyFont="1" applyFill="1" applyBorder="1" applyAlignment="1">
      <alignment horizontal="center" vertical="center" wrapText="1"/>
    </xf>
    <xf numFmtId="164" fontId="13" fillId="0" borderId="2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left" vertical="center"/>
    </xf>
    <xf numFmtId="164" fontId="3" fillId="0" borderId="5" xfId="2" applyFont="1" applyFill="1" applyBorder="1" applyAlignment="1">
      <alignment horizontal="center" vertical="center"/>
    </xf>
    <xf numFmtId="4" fontId="3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left" vertical="center"/>
    </xf>
    <xf numFmtId="164" fontId="3" fillId="0" borderId="8" xfId="3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/>
    </xf>
    <xf numFmtId="4" fontId="14" fillId="6" borderId="5" xfId="0" applyNumberFormat="1" applyFont="1" applyFill="1" applyBorder="1" applyAlignment="1">
      <alignment horizontal="left" vertical="center"/>
    </xf>
    <xf numFmtId="164" fontId="16" fillId="5" borderId="5" xfId="4" applyFont="1" applyFill="1" applyBorder="1" applyAlignment="1">
      <alignment horizontal="left" vertical="center" wrapText="1"/>
    </xf>
    <xf numFmtId="10" fontId="16" fillId="5" borderId="5" xfId="4" applyNumberFormat="1" applyFont="1" applyFill="1" applyBorder="1" applyAlignment="1">
      <alignment horizontal="center" vertical="center"/>
    </xf>
    <xf numFmtId="4" fontId="16" fillId="5" borderId="5" xfId="5" applyNumberFormat="1" applyFont="1" applyFill="1" applyBorder="1" applyAlignment="1">
      <alignment vertical="center"/>
    </xf>
    <xf numFmtId="166" fontId="16" fillId="5" borderId="5" xfId="1" applyNumberFormat="1" applyFont="1" applyFill="1" applyBorder="1" applyAlignment="1">
      <alignment horizontal="right" vertical="center"/>
    </xf>
    <xf numFmtId="2" fontId="18" fillId="0" borderId="0" xfId="6" applyNumberFormat="1" applyFont="1" applyBorder="1" applyAlignment="1">
      <alignment horizontal="right" vertical="center"/>
    </xf>
    <xf numFmtId="4" fontId="16" fillId="5" borderId="5" xfId="4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8" fillId="0" borderId="0" xfId="6" applyFont="1" applyAlignment="1">
      <alignment vertical="center" wrapText="1"/>
    </xf>
    <xf numFmtId="0" fontId="18" fillId="0" borderId="0" xfId="6" applyFont="1" applyAlignment="1">
      <alignment horizontal="center" vertical="center" wrapText="1"/>
    </xf>
    <xf numFmtId="2" fontId="18" fillId="0" borderId="0" xfId="6" applyNumberFormat="1" applyFont="1" applyAlignment="1">
      <alignment horizontal="center" vertical="center" wrapText="1"/>
    </xf>
    <xf numFmtId="2" fontId="23" fillId="0" borderId="0" xfId="6" applyNumberFormat="1" applyFont="1" applyFill="1" applyAlignment="1">
      <alignment horizontal="center" vertical="center" wrapText="1"/>
    </xf>
    <xf numFmtId="2" fontId="18" fillId="0" borderId="0" xfId="6" applyNumberFormat="1" applyFont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horizontal="center" vertical="center" wrapText="1"/>
    </xf>
    <xf numFmtId="0" fontId="25" fillId="0" borderId="0" xfId="6" applyFont="1" applyAlignment="1">
      <alignment vertical="center" wrapText="1"/>
    </xf>
    <xf numFmtId="2" fontId="22" fillId="0" borderId="0" xfId="0" applyNumberFormat="1" applyFont="1" applyFill="1" applyAlignment="1">
      <alignment horizontal="center" vertical="center"/>
    </xf>
    <xf numFmtId="164" fontId="3" fillId="0" borderId="9" xfId="3" applyFont="1" applyFill="1" applyBorder="1" applyAlignment="1">
      <alignment horizontal="center" vertical="center" wrapText="1"/>
    </xf>
    <xf numFmtId="164" fontId="16" fillId="5" borderId="10" xfId="4" applyFont="1" applyFill="1" applyBorder="1" applyAlignment="1">
      <alignment horizontal="left" vertical="center" wrapText="1"/>
    </xf>
    <xf numFmtId="10" fontId="16" fillId="5" borderId="10" xfId="4" applyNumberFormat="1" applyFont="1" applyFill="1" applyBorder="1" applyAlignment="1">
      <alignment horizontal="center" vertical="center"/>
    </xf>
    <xf numFmtId="4" fontId="16" fillId="5" borderId="10" xfId="5" applyNumberFormat="1" applyFont="1" applyFill="1" applyBorder="1" applyAlignment="1">
      <alignment vertical="center"/>
    </xf>
    <xf numFmtId="166" fontId="16" fillId="5" borderId="10" xfId="1" applyNumberFormat="1" applyFont="1" applyFill="1" applyBorder="1" applyAlignment="1">
      <alignment horizontal="right" vertical="center"/>
    </xf>
    <xf numFmtId="4" fontId="16" fillId="5" borderId="10" xfId="4" applyNumberFormat="1" applyFont="1" applyFill="1" applyBorder="1" applyAlignment="1">
      <alignment horizontal="left" vertical="center" wrapText="1"/>
    </xf>
    <xf numFmtId="164" fontId="3" fillId="0" borderId="12" xfId="3" applyFont="1" applyFill="1" applyBorder="1" applyAlignment="1">
      <alignment horizontal="center" vertical="center" wrapText="1"/>
    </xf>
    <xf numFmtId="164" fontId="19" fillId="0" borderId="13" xfId="2" applyFont="1" applyFill="1" applyBorder="1" applyAlignment="1">
      <alignment horizontal="right" vertical="center"/>
    </xf>
    <xf numFmtId="4" fontId="19" fillId="0" borderId="13" xfId="2" applyNumberFormat="1" applyFont="1" applyFill="1" applyBorder="1" applyAlignment="1">
      <alignment horizontal="right" vertical="center"/>
    </xf>
    <xf numFmtId="164" fontId="27" fillId="0" borderId="5" xfId="2" applyFont="1" applyFill="1" applyBorder="1" applyAlignment="1">
      <alignment horizontal="left" vertical="center"/>
    </xf>
    <xf numFmtId="164" fontId="27" fillId="0" borderId="5" xfId="2" applyFont="1" applyFill="1" applyBorder="1" applyAlignment="1">
      <alignment horizontal="center" vertical="center"/>
    </xf>
    <xf numFmtId="4" fontId="27" fillId="5" borderId="5" xfId="3" applyNumberFormat="1" applyFont="1" applyFill="1" applyBorder="1" applyAlignment="1">
      <alignment horizontal="right" vertical="center"/>
    </xf>
    <xf numFmtId="4" fontId="27" fillId="5" borderId="6" xfId="3" applyNumberFormat="1" applyFont="1" applyFill="1" applyBorder="1" applyAlignment="1">
      <alignment horizontal="right" vertical="center"/>
    </xf>
    <xf numFmtId="4" fontId="27" fillId="0" borderId="5" xfId="3" applyNumberFormat="1" applyFont="1" applyFill="1" applyBorder="1" applyAlignment="1">
      <alignment horizontal="right" vertical="center"/>
    </xf>
    <xf numFmtId="0" fontId="28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 wrapText="1"/>
    </xf>
    <xf numFmtId="4" fontId="27" fillId="0" borderId="6" xfId="3" applyNumberFormat="1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left" vertical="center" wrapText="1"/>
    </xf>
    <xf numFmtId="4" fontId="16" fillId="5" borderId="5" xfId="4" applyNumberFormat="1" applyFont="1" applyFill="1" applyBorder="1" applyAlignment="1">
      <alignment horizontal="center" vertical="center"/>
    </xf>
    <xf numFmtId="4" fontId="16" fillId="5" borderId="10" xfId="4" applyNumberFormat="1" applyFont="1" applyFill="1" applyBorder="1" applyAlignment="1">
      <alignment horizontal="center" vertical="center"/>
    </xf>
    <xf numFmtId="164" fontId="29" fillId="0" borderId="5" xfId="2" applyFont="1" applyFill="1" applyBorder="1" applyAlignment="1">
      <alignment horizontal="left" vertical="center"/>
    </xf>
    <xf numFmtId="4" fontId="3" fillId="0" borderId="0" xfId="2" applyNumberFormat="1" applyFont="1" applyFill="1" applyAlignment="1">
      <alignment vertical="center"/>
    </xf>
    <xf numFmtId="164" fontId="2" fillId="0" borderId="0" xfId="2" applyFont="1" applyFill="1" applyAlignment="1">
      <alignment vertical="center"/>
    </xf>
    <xf numFmtId="4" fontId="3" fillId="0" borderId="5" xfId="2" applyNumberFormat="1" applyFont="1" applyFill="1" applyBorder="1" applyAlignment="1">
      <alignment vertical="center"/>
    </xf>
    <xf numFmtId="4" fontId="14" fillId="6" borderId="5" xfId="0" applyNumberFormat="1" applyFont="1" applyFill="1" applyBorder="1" applyAlignment="1">
      <alignment vertical="center"/>
    </xf>
    <xf numFmtId="4" fontId="19" fillId="0" borderId="13" xfId="2" applyNumberFormat="1" applyFont="1" applyFill="1" applyBorder="1" applyAlignment="1">
      <alignment vertical="center"/>
    </xf>
    <xf numFmtId="4" fontId="3" fillId="8" borderId="0" xfId="2" applyNumberFormat="1" applyFont="1" applyFill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" fontId="27" fillId="0" borderId="5" xfId="2" applyNumberFormat="1" applyFont="1" applyFill="1" applyBorder="1" applyAlignment="1">
      <alignment vertical="center"/>
    </xf>
    <xf numFmtId="4" fontId="20" fillId="7" borderId="1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4" fontId="21" fillId="0" borderId="14" xfId="0" applyNumberFormat="1" applyFont="1" applyFill="1" applyBorder="1" applyAlignment="1">
      <alignment vertical="center"/>
    </xf>
    <xf numFmtId="4" fontId="24" fillId="8" borderId="0" xfId="2" applyNumberFormat="1" applyFont="1" applyFill="1" applyAlignment="1">
      <alignment vertical="center"/>
    </xf>
    <xf numFmtId="4" fontId="26" fillId="8" borderId="0" xfId="2" applyNumberFormat="1" applyFont="1" applyFill="1" applyAlignment="1">
      <alignment vertical="center"/>
    </xf>
    <xf numFmtId="4" fontId="3" fillId="8" borderId="0" xfId="2" applyNumberFormat="1" applyFont="1" applyFill="1" applyAlignment="1">
      <alignment horizontal="right" vertical="center"/>
    </xf>
    <xf numFmtId="164" fontId="3" fillId="0" borderId="0" xfId="2" applyFont="1" applyFill="1" applyAlignment="1">
      <alignment vertical="center"/>
    </xf>
    <xf numFmtId="4" fontId="3" fillId="0" borderId="5" xfId="0" applyNumberFormat="1" applyFont="1" applyFill="1" applyBorder="1" applyAlignment="1">
      <alignment vertical="center" wrapText="1"/>
    </xf>
    <xf numFmtId="165" fontId="3" fillId="8" borderId="0" xfId="2" applyNumberFormat="1" applyFont="1" applyFill="1" applyAlignment="1">
      <alignment vertical="center"/>
    </xf>
    <xf numFmtId="165" fontId="23" fillId="0" borderId="0" xfId="2" applyNumberFormat="1" applyFont="1" applyFill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164" fontId="19" fillId="0" borderId="13" xfId="2" applyFont="1" applyFill="1" applyBorder="1" applyAlignment="1">
      <alignment horizontal="center" vertical="center"/>
    </xf>
    <xf numFmtId="164" fontId="3" fillId="8" borderId="0" xfId="2" applyFont="1" applyFill="1" applyAlignment="1">
      <alignment horizontal="center" vertical="center" wrapText="1"/>
    </xf>
    <xf numFmtId="164" fontId="3" fillId="8" borderId="0" xfId="2" applyFont="1" applyFill="1" applyAlignment="1">
      <alignment vertical="center"/>
    </xf>
    <xf numFmtId="164" fontId="30" fillId="0" borderId="0" xfId="2" applyFont="1" applyFill="1" applyBorder="1" applyAlignment="1">
      <alignment horizontal="left" vertical="center"/>
    </xf>
    <xf numFmtId="164" fontId="30" fillId="0" borderId="18" xfId="2" applyFont="1" applyFill="1" applyBorder="1" applyAlignment="1">
      <alignment horizontal="left" vertical="center"/>
    </xf>
    <xf numFmtId="164" fontId="30" fillId="0" borderId="19" xfId="2" applyFont="1" applyFill="1" applyBorder="1" applyAlignment="1">
      <alignment horizontal="left" vertical="center"/>
    </xf>
    <xf numFmtId="164" fontId="30" fillId="0" borderId="20" xfId="2" applyFont="1" applyFill="1" applyBorder="1" applyAlignment="1">
      <alignment horizontal="left" vertical="center"/>
    </xf>
    <xf numFmtId="164" fontId="3" fillId="0" borderId="21" xfId="3" applyFont="1" applyFill="1" applyBorder="1" applyAlignment="1">
      <alignment horizontal="center" vertical="center" wrapText="1"/>
    </xf>
    <xf numFmtId="164" fontId="19" fillId="0" borderId="22" xfId="2" applyFont="1" applyFill="1" applyBorder="1" applyAlignment="1">
      <alignment horizontal="right" vertical="center"/>
    </xf>
    <xf numFmtId="164" fontId="19" fillId="0" borderId="22" xfId="2" applyFont="1" applyFill="1" applyBorder="1" applyAlignment="1">
      <alignment horizontal="center" vertical="center"/>
    </xf>
    <xf numFmtId="4" fontId="19" fillId="0" borderId="22" xfId="2" applyNumberFormat="1" applyFont="1" applyFill="1" applyBorder="1" applyAlignment="1">
      <alignment vertical="center"/>
    </xf>
    <xf numFmtId="4" fontId="19" fillId="0" borderId="22" xfId="2" applyNumberFormat="1" applyFont="1" applyFill="1" applyBorder="1" applyAlignment="1">
      <alignment horizontal="right" vertical="center"/>
    </xf>
    <xf numFmtId="4" fontId="20" fillId="7" borderId="22" xfId="0" applyNumberFormat="1" applyFont="1" applyFill="1" applyBorder="1" applyAlignment="1">
      <alignment vertical="center"/>
    </xf>
    <xf numFmtId="4" fontId="21" fillId="0" borderId="23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 wrapText="1"/>
    </xf>
    <xf numFmtId="164" fontId="27" fillId="0" borderId="5" xfId="2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14" fillId="6" borderId="5" xfId="0" applyNumberFormat="1" applyFont="1" applyFill="1" applyBorder="1" applyAlignment="1">
      <alignment horizontal="center" vertical="center"/>
    </xf>
    <xf numFmtId="4" fontId="20" fillId="7" borderId="13" xfId="0" applyNumberFormat="1" applyFont="1" applyFill="1" applyBorder="1" applyAlignment="1">
      <alignment horizontal="center" vertical="center"/>
    </xf>
    <xf numFmtId="4" fontId="20" fillId="7" borderId="22" xfId="0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right" vertical="center"/>
    </xf>
    <xf numFmtId="164" fontId="2" fillId="0" borderId="0" xfId="2"/>
    <xf numFmtId="164" fontId="13" fillId="0" borderId="2" xfId="2" applyFont="1" applyBorder="1" applyAlignment="1">
      <alignment horizontal="center" vertical="center"/>
    </xf>
    <xf numFmtId="164" fontId="3" fillId="0" borderId="5" xfId="2" applyFont="1" applyBorder="1" applyAlignment="1">
      <alignment horizontal="left" vertical="center"/>
    </xf>
    <xf numFmtId="164" fontId="3" fillId="0" borderId="5" xfId="2" applyFont="1" applyBorder="1" applyAlignment="1">
      <alignment horizontal="center" vertical="center"/>
    </xf>
    <xf numFmtId="4" fontId="3" fillId="0" borderId="5" xfId="2" applyNumberFormat="1" applyFont="1" applyBorder="1" applyAlignment="1">
      <alignment vertical="center"/>
    </xf>
    <xf numFmtId="164" fontId="27" fillId="0" borderId="5" xfId="2" applyFont="1" applyBorder="1" applyAlignment="1">
      <alignment horizontal="left" vertical="center"/>
    </xf>
    <xf numFmtId="164" fontId="27" fillId="0" borderId="5" xfId="2" applyFont="1" applyBorder="1" applyAlignment="1">
      <alignment horizontal="center" vertical="center"/>
    </xf>
    <xf numFmtId="4" fontId="27" fillId="0" borderId="5" xfId="2" applyNumberFormat="1" applyFont="1" applyBorder="1" applyAlignment="1">
      <alignment vertical="center"/>
    </xf>
    <xf numFmtId="4" fontId="27" fillId="0" borderId="5" xfId="3" applyNumberFormat="1" applyFont="1" applyBorder="1" applyAlignment="1">
      <alignment horizontal="right" vertical="center"/>
    </xf>
    <xf numFmtId="164" fontId="27" fillId="9" borderId="5" xfId="2" applyFont="1" applyFill="1" applyBorder="1" applyAlignment="1">
      <alignment horizontal="left" vertical="center"/>
    </xf>
    <xf numFmtId="164" fontId="27" fillId="9" borderId="5" xfId="2" applyFont="1" applyFill="1" applyBorder="1" applyAlignment="1">
      <alignment horizontal="center" vertical="center"/>
    </xf>
    <xf numFmtId="4" fontId="27" fillId="9" borderId="5" xfId="2" applyNumberFormat="1" applyFont="1" applyFill="1" applyBorder="1" applyAlignment="1">
      <alignment vertical="center"/>
    </xf>
    <xf numFmtId="4" fontId="27" fillId="9" borderId="5" xfId="3" applyNumberFormat="1" applyFont="1" applyFill="1" applyBorder="1" applyAlignment="1">
      <alignment horizontal="right" vertical="center"/>
    </xf>
    <xf numFmtId="4" fontId="27" fillId="9" borderId="6" xfId="3" applyNumberFormat="1" applyFont="1" applyFill="1" applyBorder="1" applyAlignment="1">
      <alignment horizontal="right" vertical="center"/>
    </xf>
    <xf numFmtId="4" fontId="18" fillId="0" borderId="5" xfId="6" applyNumberFormat="1" applyFont="1" applyBorder="1" applyAlignment="1">
      <alignment horizontal="right" vertical="center"/>
    </xf>
    <xf numFmtId="4" fontId="18" fillId="0" borderId="6" xfId="6" applyNumberFormat="1" applyFont="1" applyBorder="1" applyAlignment="1">
      <alignment horizontal="right" vertical="center"/>
    </xf>
    <xf numFmtId="4" fontId="18" fillId="0" borderId="11" xfId="6" applyNumberFormat="1" applyFont="1" applyBorder="1" applyAlignment="1">
      <alignment horizontal="right" vertical="center"/>
    </xf>
    <xf numFmtId="164" fontId="31" fillId="5" borderId="0" xfId="2" applyFont="1" applyFill="1" applyBorder="1" applyAlignment="1">
      <alignment vertical="center"/>
    </xf>
    <xf numFmtId="164" fontId="2" fillId="5" borderId="0" xfId="2" applyFont="1" applyFill="1" applyBorder="1" applyAlignment="1"/>
    <xf numFmtId="164" fontId="31" fillId="5" borderId="0" xfId="2" applyFont="1" applyFill="1" applyBorder="1" applyAlignment="1"/>
    <xf numFmtId="0" fontId="27" fillId="5" borderId="10" xfId="0" applyNumberFormat="1" applyFont="1" applyFill="1" applyBorder="1" applyAlignment="1">
      <alignment vertical="center" wrapText="1"/>
    </xf>
    <xf numFmtId="0" fontId="27" fillId="5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7" fillId="5" borderId="5" xfId="0" applyNumberFormat="1" applyFont="1" applyFill="1" applyBorder="1" applyAlignment="1">
      <alignment vertical="center" wrapText="1"/>
    </xf>
    <xf numFmtId="2" fontId="27" fillId="5" borderId="5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8" fillId="0" borderId="5" xfId="0" applyNumberFormat="1" applyFont="1" applyFill="1" applyBorder="1" applyAlignment="1">
      <alignment horizontal="right" vertical="center"/>
    </xf>
    <xf numFmtId="4" fontId="3" fillId="10" borderId="5" xfId="3" applyNumberFormat="1" applyFont="1" applyFill="1" applyBorder="1" applyAlignment="1">
      <alignment horizontal="right" vertical="center"/>
    </xf>
    <xf numFmtId="164" fontId="3" fillId="0" borderId="0" xfId="2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vertical="center"/>
    </xf>
    <xf numFmtId="164" fontId="3" fillId="0" borderId="0" xfId="2" applyFont="1" applyFill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" fontId="3" fillId="5" borderId="5" xfId="2" applyNumberFormat="1" applyFont="1" applyFill="1" applyBorder="1" applyAlignment="1">
      <alignment vertical="center"/>
    </xf>
    <xf numFmtId="4" fontId="3" fillId="5" borderId="5" xfId="3" applyNumberFormat="1" applyFont="1" applyFill="1" applyBorder="1" applyAlignment="1">
      <alignment vertical="center"/>
    </xf>
    <xf numFmtId="0" fontId="33" fillId="0" borderId="27" xfId="7" applyFont="1" applyFill="1" applyBorder="1" applyAlignment="1">
      <alignment horizontal="left"/>
    </xf>
    <xf numFmtId="164" fontId="3" fillId="5" borderId="5" xfId="2" applyFont="1" applyFill="1" applyBorder="1" applyAlignment="1">
      <alignment horizontal="left" vertical="center" wrapText="1"/>
    </xf>
    <xf numFmtId="164" fontId="3" fillId="5" borderId="5" xfId="2" applyFont="1" applyFill="1" applyBorder="1" applyAlignment="1">
      <alignment horizontal="center" vertical="center"/>
    </xf>
    <xf numFmtId="164" fontId="27" fillId="5" borderId="5" xfId="2" applyFont="1" applyFill="1" applyBorder="1" applyAlignment="1">
      <alignment horizontal="left" vertical="center" wrapText="1"/>
    </xf>
    <xf numFmtId="164" fontId="27" fillId="5" borderId="5" xfId="2" applyFont="1" applyFill="1" applyBorder="1" applyAlignment="1">
      <alignment horizontal="center" vertical="center"/>
    </xf>
    <xf numFmtId="4" fontId="27" fillId="5" borderId="5" xfId="2" applyNumberFormat="1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vertical="center" wrapText="1"/>
    </xf>
    <xf numFmtId="164" fontId="34" fillId="0" borderId="0" xfId="2" applyFont="1" applyFill="1" applyBorder="1" applyAlignment="1"/>
    <xf numFmtId="164" fontId="35" fillId="0" borderId="0" xfId="2" applyFont="1" applyFill="1" applyBorder="1" applyAlignment="1"/>
    <xf numFmtId="164" fontId="5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12" fillId="4" borderId="24" xfId="3" applyNumberFormat="1" applyFont="1" applyFill="1" applyBorder="1" applyAlignment="1">
      <alignment horizontal="center" vertical="center" wrapText="1"/>
    </xf>
    <xf numFmtId="4" fontId="12" fillId="4" borderId="25" xfId="3" applyNumberFormat="1" applyFont="1" applyFill="1" applyBorder="1" applyAlignment="1">
      <alignment horizontal="center" vertical="center" wrapText="1"/>
    </xf>
    <xf numFmtId="4" fontId="12" fillId="4" borderId="26" xfId="3" applyNumberFormat="1" applyFont="1" applyFill="1" applyBorder="1" applyAlignment="1">
      <alignment horizontal="center" vertical="center" wrapText="1"/>
    </xf>
    <xf numFmtId="0" fontId="18" fillId="0" borderId="0" xfId="6" applyFont="1" applyAlignment="1">
      <alignment horizontal="left" wrapText="1"/>
    </xf>
    <xf numFmtId="4" fontId="12" fillId="4" borderId="2" xfId="3" applyNumberFormat="1" applyFont="1" applyFill="1" applyBorder="1" applyAlignment="1">
      <alignment horizontal="center" vertical="center" wrapText="1"/>
    </xf>
    <xf numFmtId="4" fontId="12" fillId="4" borderId="3" xfId="3" applyNumberFormat="1" applyFont="1" applyFill="1" applyBorder="1" applyAlignment="1">
      <alignment horizontal="center" vertical="center" wrapText="1"/>
    </xf>
    <xf numFmtId="4" fontId="12" fillId="4" borderId="4" xfId="3" applyNumberFormat="1" applyFont="1" applyFill="1" applyBorder="1" applyAlignment="1">
      <alignment horizontal="center" vertical="center" wrapText="1"/>
    </xf>
    <xf numFmtId="4" fontId="3" fillId="5" borderId="7" xfId="3" applyNumberFormat="1" applyFont="1" applyFill="1" applyBorder="1" applyAlignment="1">
      <alignment horizontal="center" vertical="center"/>
    </xf>
    <xf numFmtId="4" fontId="3" fillId="5" borderId="27" xfId="3" applyNumberFormat="1" applyFont="1" applyFill="1" applyBorder="1" applyAlignment="1">
      <alignment horizontal="center" vertical="center"/>
    </xf>
    <xf numFmtId="164" fontId="30" fillId="0" borderId="0" xfId="2" applyFont="1" applyFill="1" applyAlignment="1">
      <alignment horizontal="left" vertical="center"/>
    </xf>
    <xf numFmtId="164" fontId="30" fillId="0" borderId="15" xfId="2" applyFont="1" applyFill="1" applyBorder="1" applyAlignment="1">
      <alignment horizontal="left" vertical="center"/>
    </xf>
    <xf numFmtId="164" fontId="30" fillId="0" borderId="16" xfId="2" applyFont="1" applyFill="1" applyBorder="1" applyAlignment="1">
      <alignment horizontal="left" vertical="center"/>
    </xf>
    <xf numFmtId="164" fontId="30" fillId="0" borderId="17" xfId="2" applyFont="1" applyFill="1" applyBorder="1" applyAlignment="1">
      <alignment horizontal="left" vertical="center"/>
    </xf>
  </cellXfs>
  <cellStyles count="8">
    <cellStyle name="Excel Built-in Normal" xfId="3" xr:uid="{00000000-0005-0000-0000-000000000000}"/>
    <cellStyle name="Обычный" xfId="0" builtinId="0"/>
    <cellStyle name="Обычный 12 2" xfId="6" xr:uid="{00000000-0005-0000-0000-000002000000}"/>
    <cellStyle name="Обычный 2" xfId="2" xr:uid="{00000000-0005-0000-0000-000003000000}"/>
    <cellStyle name="Обычный_Отчет о проделаной работе июль 2" xfId="7" xr:uid="{00000000-0005-0000-0000-000004000000}"/>
    <cellStyle name="Обычный_СМЕТА  заготовка " xfId="5" xr:uid="{00000000-0005-0000-0000-000005000000}"/>
    <cellStyle name="Процентный" xfId="1" builtinId="5"/>
    <cellStyle name="Стиль 1" xfId="4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0</xdr:row>
      <xdr:rowOff>1</xdr:rowOff>
    </xdr:from>
    <xdr:to>
      <xdr:col>1</xdr:col>
      <xdr:colOff>2891118</xdr:colOff>
      <xdr:row>6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" y="1"/>
          <a:ext cx="2646190" cy="13868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P285"/>
  <sheetViews>
    <sheetView tabSelected="1" view="pageBreakPreview" topLeftCell="A208" zoomScale="70" zoomScaleNormal="100" zoomScaleSheetLayoutView="70" workbookViewId="0">
      <selection activeCell="G14" sqref="G14"/>
    </sheetView>
  </sheetViews>
  <sheetFormatPr defaultColWidth="9" defaultRowHeight="18.75" customHeight="1" x14ac:dyDescent="0.25"/>
  <cols>
    <col min="1" max="1" width="4.5" style="1" customWidth="1"/>
    <col min="2" max="2" width="48.875" style="70" customWidth="1"/>
    <col min="3" max="3" width="8.125" style="1" customWidth="1"/>
    <col min="4" max="4" width="9.125" style="56" customWidth="1"/>
    <col min="5" max="5" width="12.25" style="56" customWidth="1"/>
    <col min="6" max="6" width="16.25" style="56" customWidth="1"/>
    <col min="7" max="7" width="58" style="70" customWidth="1"/>
    <col min="8" max="8" width="7.625" style="1" customWidth="1"/>
    <col min="9" max="9" width="10.875" style="56" customWidth="1"/>
    <col min="10" max="10" width="9.5" style="56" customWidth="1"/>
    <col min="11" max="11" width="14.75" style="56" customWidth="1"/>
    <col min="12" max="12" width="13.25" style="2" customWidth="1"/>
    <col min="13" max="13" width="19.875" style="2" customWidth="1"/>
    <col min="14" max="65" width="9" style="2"/>
    <col min="66" max="16384" width="9" style="3"/>
  </cols>
  <sheetData>
    <row r="3" spans="1:354" ht="18.75" customHeight="1" x14ac:dyDescent="0.25">
      <c r="C3" s="129"/>
      <c r="D3" s="130"/>
      <c r="E3" s="130"/>
      <c r="F3" s="130"/>
      <c r="G3" s="131"/>
      <c r="H3" s="129"/>
      <c r="I3" s="132"/>
      <c r="J3" s="130"/>
    </row>
    <row r="4" spans="1:354" ht="18.75" customHeight="1" x14ac:dyDescent="0.25">
      <c r="C4" s="146" t="s">
        <v>231</v>
      </c>
      <c r="D4" s="146"/>
      <c r="E4" s="146"/>
      <c r="F4" s="146"/>
      <c r="G4" s="146"/>
      <c r="H4" s="146"/>
      <c r="I4" s="146"/>
      <c r="J4" s="146"/>
    </row>
    <row r="5" spans="1:354" ht="27.75" customHeight="1" x14ac:dyDescent="0.25">
      <c r="C5" s="146"/>
      <c r="D5" s="146"/>
      <c r="E5" s="146"/>
      <c r="F5" s="146"/>
      <c r="G5" s="146"/>
      <c r="H5" s="146"/>
      <c r="I5" s="146"/>
      <c r="J5" s="146"/>
    </row>
    <row r="6" spans="1:354" ht="18.75" customHeight="1" x14ac:dyDescent="0.25">
      <c r="C6" s="147"/>
      <c r="D6" s="148"/>
      <c r="E6" s="133"/>
      <c r="F6" s="133"/>
      <c r="G6" s="133"/>
      <c r="H6" s="134"/>
      <c r="I6" s="133"/>
      <c r="J6" s="65"/>
      <c r="K6" s="65"/>
    </row>
    <row r="7" spans="1:354" ht="18.75" customHeight="1" thickBot="1" x14ac:dyDescent="0.3">
      <c r="D7" s="57"/>
      <c r="G7" s="57"/>
      <c r="H7" s="93"/>
      <c r="I7" s="62"/>
      <c r="J7" s="62"/>
      <c r="K7" s="62"/>
    </row>
    <row r="8" spans="1:354" s="2" customFormat="1" ht="31.5" customHeight="1" thickBot="1" x14ac:dyDescent="0.3">
      <c r="A8" s="4" t="s">
        <v>0</v>
      </c>
      <c r="B8" s="5" t="s">
        <v>1</v>
      </c>
      <c r="C8" s="6" t="s">
        <v>2</v>
      </c>
      <c r="D8" s="7" t="s">
        <v>3</v>
      </c>
      <c r="E8" s="7" t="s">
        <v>246</v>
      </c>
      <c r="F8" s="7" t="s">
        <v>247</v>
      </c>
      <c r="G8" s="6" t="s">
        <v>4</v>
      </c>
      <c r="H8" s="6" t="s">
        <v>2</v>
      </c>
      <c r="I8" s="7" t="s">
        <v>3</v>
      </c>
      <c r="J8" s="7" t="s">
        <v>16</v>
      </c>
      <c r="K8" s="7" t="s">
        <v>17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</row>
    <row r="9" spans="1:354" s="2" customFormat="1" ht="18.75" customHeight="1" x14ac:dyDescent="0.25">
      <c r="A9" s="149" t="s">
        <v>217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</row>
    <row r="10" spans="1:354" s="2" customFormat="1" ht="18.75" customHeight="1" x14ac:dyDescent="0.25">
      <c r="A10" s="8">
        <v>1</v>
      </c>
      <c r="B10" s="9" t="s">
        <v>218</v>
      </c>
      <c r="C10" s="10" t="s">
        <v>18</v>
      </c>
      <c r="D10" s="58">
        <v>2</v>
      </c>
      <c r="E10" s="11">
        <v>600</v>
      </c>
      <c r="F10" s="11">
        <f t="shared" ref="F10:F12" si="0">E10*D10</f>
        <v>1200</v>
      </c>
      <c r="G10" s="42" t="s">
        <v>45</v>
      </c>
      <c r="H10" s="43" t="s">
        <v>18</v>
      </c>
      <c r="I10" s="63">
        <v>1</v>
      </c>
      <c r="J10" s="46"/>
      <c r="K10" s="45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</row>
    <row r="11" spans="1:354" s="2" customFormat="1" ht="18.75" customHeight="1" x14ac:dyDescent="0.25">
      <c r="A11" s="8">
        <v>2</v>
      </c>
      <c r="B11" s="9" t="s">
        <v>219</v>
      </c>
      <c r="C11" s="10" t="s">
        <v>18</v>
      </c>
      <c r="D11" s="58">
        <v>1</v>
      </c>
      <c r="E11" s="11">
        <v>700</v>
      </c>
      <c r="F11" s="11">
        <f t="shared" si="0"/>
        <v>700</v>
      </c>
      <c r="G11" s="42" t="s">
        <v>44</v>
      </c>
      <c r="H11" s="43" t="s">
        <v>18</v>
      </c>
      <c r="I11" s="63">
        <v>1</v>
      </c>
      <c r="J11" s="46"/>
      <c r="K11" s="45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</row>
    <row r="12" spans="1:354" s="2" customFormat="1" ht="18.75" customHeight="1" x14ac:dyDescent="0.25">
      <c r="A12" s="8">
        <v>3</v>
      </c>
      <c r="B12" s="9" t="s">
        <v>220</v>
      </c>
      <c r="C12" s="10" t="s">
        <v>18</v>
      </c>
      <c r="D12" s="58">
        <f>D11+D10</f>
        <v>3</v>
      </c>
      <c r="E12" s="11">
        <v>1500</v>
      </c>
      <c r="F12" s="11">
        <f t="shared" si="0"/>
        <v>4500</v>
      </c>
      <c r="G12" s="42" t="s">
        <v>221</v>
      </c>
      <c r="H12" s="43" t="s">
        <v>28</v>
      </c>
      <c r="I12" s="63">
        <v>9</v>
      </c>
      <c r="J12" s="46"/>
      <c r="K12" s="45"/>
      <c r="L12" s="116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</row>
    <row r="13" spans="1:354" s="2" customFormat="1" ht="18.75" customHeight="1" x14ac:dyDescent="0.25">
      <c r="A13" s="8"/>
      <c r="B13" s="9"/>
      <c r="C13" s="10"/>
      <c r="D13" s="58"/>
      <c r="E13" s="11"/>
      <c r="F13" s="11"/>
      <c r="G13" s="42" t="s">
        <v>222</v>
      </c>
      <c r="H13" s="43" t="s">
        <v>18</v>
      </c>
      <c r="I13" s="63">
        <v>90</v>
      </c>
      <c r="J13" s="46"/>
      <c r="K13" s="45"/>
      <c r="L13" s="117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</row>
    <row r="14" spans="1:354" s="2" customFormat="1" ht="18.75" customHeight="1" x14ac:dyDescent="0.25">
      <c r="A14" s="8"/>
      <c r="B14" s="9"/>
      <c r="C14" s="10"/>
      <c r="D14" s="58"/>
      <c r="E14" s="11"/>
      <c r="F14" s="11"/>
      <c r="G14" s="42" t="s">
        <v>223</v>
      </c>
      <c r="H14" s="43" t="s">
        <v>224</v>
      </c>
      <c r="I14" s="63">
        <v>180</v>
      </c>
      <c r="J14" s="46"/>
      <c r="K14" s="45"/>
      <c r="L14" s="117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</row>
    <row r="15" spans="1:354" s="2" customFormat="1" ht="18.75" customHeight="1" x14ac:dyDescent="0.25">
      <c r="A15" s="8"/>
      <c r="B15" s="9"/>
      <c r="C15" s="10"/>
      <c r="D15" s="58"/>
      <c r="E15" s="11"/>
      <c r="F15" s="11"/>
      <c r="G15" s="42" t="s">
        <v>225</v>
      </c>
      <c r="H15" s="43" t="s">
        <v>28</v>
      </c>
      <c r="I15" s="63">
        <v>27</v>
      </c>
      <c r="J15" s="46"/>
      <c r="K15" s="45"/>
      <c r="L15" s="118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</row>
    <row r="16" spans="1:354" s="2" customFormat="1" ht="18.75" customHeight="1" x14ac:dyDescent="0.25">
      <c r="A16" s="8"/>
      <c r="B16" s="9"/>
      <c r="C16" s="10"/>
      <c r="D16" s="58"/>
      <c r="E16" s="11"/>
      <c r="F16" s="11"/>
      <c r="G16" s="42" t="s">
        <v>226</v>
      </c>
      <c r="H16" s="43" t="s">
        <v>28</v>
      </c>
      <c r="I16" s="63">
        <v>100</v>
      </c>
      <c r="J16" s="46"/>
      <c r="K16" s="45"/>
      <c r="L16" s="118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</row>
    <row r="17" spans="1:354" s="2" customFormat="1" ht="18.75" customHeight="1" x14ac:dyDescent="0.25">
      <c r="A17" s="8"/>
      <c r="B17" s="9"/>
      <c r="C17" s="10"/>
      <c r="D17" s="58"/>
      <c r="E17" s="11"/>
      <c r="F17" s="11"/>
      <c r="G17" s="42" t="s">
        <v>227</v>
      </c>
      <c r="H17" s="43" t="s">
        <v>14</v>
      </c>
      <c r="I17" s="63">
        <v>10</v>
      </c>
      <c r="J17" s="46"/>
      <c r="K17" s="45"/>
      <c r="L17" s="118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</row>
    <row r="18" spans="1:354" s="2" customFormat="1" ht="18.75" customHeight="1" x14ac:dyDescent="0.25">
      <c r="A18" s="8"/>
      <c r="B18" s="9"/>
      <c r="C18" s="10"/>
      <c r="D18" s="58"/>
      <c r="E18" s="11"/>
      <c r="F18" s="11"/>
      <c r="G18" s="42" t="s">
        <v>228</v>
      </c>
      <c r="H18" s="43" t="s">
        <v>18</v>
      </c>
      <c r="I18" s="63">
        <v>10</v>
      </c>
      <c r="J18" s="46"/>
      <c r="K18" s="45"/>
      <c r="L18" s="118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</row>
    <row r="19" spans="1:354" s="2" customFormat="1" ht="18.75" customHeight="1" x14ac:dyDescent="0.25">
      <c r="A19" s="8"/>
      <c r="B19" s="9"/>
      <c r="C19" s="10"/>
      <c r="D19" s="58"/>
      <c r="E19" s="11"/>
      <c r="F19" s="11"/>
      <c r="G19" s="42" t="s">
        <v>229</v>
      </c>
      <c r="H19" s="43" t="s">
        <v>18</v>
      </c>
      <c r="I19" s="63">
        <v>1</v>
      </c>
      <c r="J19" s="46"/>
      <c r="K19" s="45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</row>
    <row r="20" spans="1:354" s="2" customFormat="1" ht="18.75" customHeight="1" x14ac:dyDescent="0.25">
      <c r="A20" s="8"/>
      <c r="B20" s="9"/>
      <c r="C20" s="10"/>
      <c r="D20" s="58"/>
      <c r="E20" s="11"/>
      <c r="F20" s="11"/>
      <c r="G20" s="42" t="s">
        <v>230</v>
      </c>
      <c r="H20" s="43" t="s">
        <v>14</v>
      </c>
      <c r="I20" s="63">
        <v>5</v>
      </c>
      <c r="J20" s="46"/>
      <c r="K20" s="45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</row>
    <row r="21" spans="1:354" s="2" customFormat="1" ht="18.75" customHeight="1" x14ac:dyDescent="0.25">
      <c r="A21" s="8"/>
      <c r="B21" s="9" t="s">
        <v>234</v>
      </c>
      <c r="C21" s="10" t="s">
        <v>5</v>
      </c>
      <c r="D21" s="58">
        <v>22.9</v>
      </c>
      <c r="E21" s="11">
        <v>35</v>
      </c>
      <c r="F21" s="11">
        <f t="shared" ref="F21" si="1">E21*D21</f>
        <v>801.5</v>
      </c>
      <c r="G21" s="42"/>
      <c r="H21" s="43"/>
      <c r="I21" s="63"/>
      <c r="J21" s="46"/>
      <c r="K21" s="45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</row>
    <row r="22" spans="1:354" s="2" customFormat="1" ht="18.75" customHeight="1" x14ac:dyDescent="0.25">
      <c r="A22" s="153" t="s">
        <v>46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5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</row>
    <row r="23" spans="1:354" s="2" customFormat="1" ht="18.75" customHeight="1" x14ac:dyDescent="0.25">
      <c r="A23" s="8"/>
      <c r="B23" s="55" t="s">
        <v>209</v>
      </c>
      <c r="C23" s="10"/>
      <c r="D23" s="58"/>
      <c r="E23" s="11"/>
      <c r="F23" s="11"/>
      <c r="G23" s="42"/>
      <c r="H23" s="43"/>
      <c r="I23" s="63"/>
      <c r="J23" s="46"/>
      <c r="K23" s="45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</row>
    <row r="24" spans="1:354" s="2" customFormat="1" ht="18.75" customHeight="1" x14ac:dyDescent="0.25">
      <c r="A24" s="8">
        <v>1</v>
      </c>
      <c r="B24" s="9" t="s">
        <v>244</v>
      </c>
      <c r="C24" s="10" t="s">
        <v>5</v>
      </c>
      <c r="D24" s="58">
        <v>55.2</v>
      </c>
      <c r="E24" s="11">
        <v>155</v>
      </c>
      <c r="F24" s="11">
        <f>E24*D24</f>
        <v>8556</v>
      </c>
      <c r="G24" s="42" t="s">
        <v>245</v>
      </c>
      <c r="H24" s="43" t="s">
        <v>18</v>
      </c>
      <c r="I24" s="63">
        <v>320</v>
      </c>
      <c r="J24" s="46"/>
      <c r="K24" s="45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</row>
    <row r="25" spans="1:354" s="2" customFormat="1" ht="18.75" customHeight="1" x14ac:dyDescent="0.25">
      <c r="A25" s="8"/>
      <c r="B25" s="9"/>
      <c r="C25" s="10"/>
      <c r="D25" s="58"/>
      <c r="E25" s="11"/>
      <c r="F25" s="11"/>
      <c r="G25" s="42" t="s">
        <v>210</v>
      </c>
      <c r="H25" s="43" t="s">
        <v>18</v>
      </c>
      <c r="I25" s="63">
        <f>ROUNDUP(1*D24*0.25,0)</f>
        <v>14</v>
      </c>
      <c r="J25" s="46"/>
      <c r="K25" s="45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</row>
    <row r="26" spans="1:354" s="2" customFormat="1" ht="18.75" customHeight="1" x14ac:dyDescent="0.25">
      <c r="A26" s="8"/>
      <c r="B26" s="9"/>
      <c r="C26" s="10"/>
      <c r="D26" s="58"/>
      <c r="E26" s="11"/>
      <c r="F26" s="11"/>
      <c r="G26" s="42" t="s">
        <v>235</v>
      </c>
      <c r="H26" s="43" t="s">
        <v>28</v>
      </c>
      <c r="I26" s="63">
        <v>40</v>
      </c>
      <c r="J26" s="46"/>
      <c r="K26" s="45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</row>
    <row r="27" spans="1:354" s="2" customFormat="1" ht="18.75" customHeight="1" x14ac:dyDescent="0.25">
      <c r="A27" s="8"/>
      <c r="B27" s="55" t="s">
        <v>47</v>
      </c>
      <c r="C27" s="10"/>
      <c r="D27" s="58"/>
      <c r="E27" s="11"/>
      <c r="F27" s="11"/>
      <c r="G27" s="42"/>
      <c r="H27" s="43"/>
      <c r="I27" s="63"/>
      <c r="J27" s="46"/>
      <c r="K27" s="45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</row>
    <row r="28" spans="1:354" s="2" customFormat="1" ht="18.75" customHeight="1" x14ac:dyDescent="0.25">
      <c r="A28" s="8">
        <v>10</v>
      </c>
      <c r="B28" s="9" t="s">
        <v>48</v>
      </c>
      <c r="C28" s="10" t="s">
        <v>5</v>
      </c>
      <c r="D28" s="58">
        <f>(0.165+0.9+0.18+3.025+2.35+2.35+3.025+1.17+0.9+1.17+0.9+2.35+2.35+1.382+2.865+0.395+1.3*9+0.965+0.25+0.265+1.3+1.405+0.25+1.3+1.3+0.343+0.393+1.23+0.1+1.3+1.3+1.265+0.29+0.225+0.9+0.31+0.335+1.835+1.265+0.395+0.14+1.3+0.395+1.05+0.393+0.225+1.36+1.215+0.395+0.135+1+0.6+0.395+1.3+1.3+1.3+1.065+0.395+1.3+0.215+0.22+0.22+0.145+0.22+0.22+1.3*3+0.71+1+0.865+1.36+0.695+0.395+1.365+2.34+1.145+0.395+1.3+1.3+0.465+0.835+1.3+1.3+0.965+0.525+1.19+0.525+0.395+1.125+1.53+0.87+0.395+0.525+1.72+0.25+0.87+1.53+1.125+0.955+0.76+1.53+0.76+0.395+1.3*4+0.355+0.395+0.87+1.57+0.76+0.395+1.3+1.3+0.395)*3.1</f>
        <v>382.38809999999989</v>
      </c>
      <c r="E28" s="11">
        <v>105</v>
      </c>
      <c r="F28" s="11">
        <f t="shared" ref="F28" si="2">E28*D28</f>
        <v>40150.750499999987</v>
      </c>
      <c r="G28" s="42" t="s">
        <v>32</v>
      </c>
      <c r="H28" s="43" t="s">
        <v>5</v>
      </c>
      <c r="I28" s="63">
        <f>D28*1.1</f>
        <v>420.6269099999999</v>
      </c>
      <c r="J28" s="44"/>
      <c r="K28" s="45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</row>
    <row r="29" spans="1:354" s="2" customFormat="1" ht="18.75" customHeight="1" x14ac:dyDescent="0.25">
      <c r="A29" s="8"/>
      <c r="B29" s="9"/>
      <c r="C29" s="10"/>
      <c r="D29" s="58"/>
      <c r="E29" s="11"/>
      <c r="F29" s="11"/>
      <c r="G29" s="42" t="s">
        <v>49</v>
      </c>
      <c r="H29" s="43" t="s">
        <v>18</v>
      </c>
      <c r="I29" s="63">
        <f>D28*2.9/3</f>
        <v>369.64182999999986</v>
      </c>
      <c r="J29" s="46"/>
      <c r="K29" s="45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</row>
    <row r="30" spans="1:354" s="2" customFormat="1" ht="18.75" customHeight="1" x14ac:dyDescent="0.25">
      <c r="A30" s="8"/>
      <c r="B30" s="9"/>
      <c r="C30" s="10"/>
      <c r="D30" s="58"/>
      <c r="E30" s="11"/>
      <c r="F30" s="11"/>
      <c r="G30" s="42" t="s">
        <v>50</v>
      </c>
      <c r="H30" s="43" t="s">
        <v>18</v>
      </c>
      <c r="I30" s="63">
        <f>D28*1.2/3</f>
        <v>152.95523999999995</v>
      </c>
      <c r="J30" s="46"/>
      <c r="K30" s="45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</row>
    <row r="31" spans="1:354" s="2" customFormat="1" ht="18.75" customHeight="1" x14ac:dyDescent="0.25">
      <c r="A31" s="8"/>
      <c r="B31" s="9"/>
      <c r="C31" s="10"/>
      <c r="D31" s="58"/>
      <c r="E31" s="11"/>
      <c r="F31" s="11"/>
      <c r="G31" s="42" t="s">
        <v>22</v>
      </c>
      <c r="H31" s="43" t="s">
        <v>19</v>
      </c>
      <c r="I31" s="63">
        <f>D28*20/1000</f>
        <v>7.6477619999999975</v>
      </c>
      <c r="J31" s="46"/>
      <c r="K31" s="45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</row>
    <row r="32" spans="1:354" s="2" customFormat="1" ht="18.75" customHeight="1" x14ac:dyDescent="0.25">
      <c r="A32" s="8"/>
      <c r="B32" s="9"/>
      <c r="C32" s="10"/>
      <c r="D32" s="58"/>
      <c r="E32" s="11"/>
      <c r="F32" s="11"/>
      <c r="G32" s="42" t="s">
        <v>20</v>
      </c>
      <c r="H32" s="47" t="s">
        <v>19</v>
      </c>
      <c r="I32" s="63">
        <f>D28*10/1000</f>
        <v>3.8238809999999988</v>
      </c>
      <c r="J32" s="46"/>
      <c r="K32" s="45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</row>
    <row r="33" spans="1:354" s="2" customFormat="1" ht="18.75" customHeight="1" x14ac:dyDescent="0.25">
      <c r="A33" s="8"/>
      <c r="B33" s="9"/>
      <c r="C33" s="10"/>
      <c r="D33" s="58"/>
      <c r="E33" s="11"/>
      <c r="F33" s="11"/>
      <c r="G33" s="48" t="s">
        <v>21</v>
      </c>
      <c r="H33" s="43" t="s">
        <v>19</v>
      </c>
      <c r="I33" s="63">
        <f>D28*2/100</f>
        <v>7.6477619999999975</v>
      </c>
      <c r="J33" s="46"/>
      <c r="K33" s="45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</row>
    <row r="34" spans="1:354" s="2" customFormat="1" ht="18.75" customHeight="1" x14ac:dyDescent="0.25">
      <c r="A34" s="8"/>
      <c r="B34" s="9"/>
      <c r="C34" s="10"/>
      <c r="D34" s="58"/>
      <c r="E34" s="11"/>
      <c r="F34" s="11"/>
      <c r="G34" s="48" t="s">
        <v>58</v>
      </c>
      <c r="H34" s="43" t="s">
        <v>18</v>
      </c>
      <c r="I34" s="63">
        <f>2*D28</f>
        <v>764.77619999999979</v>
      </c>
      <c r="J34" s="46"/>
      <c r="K34" s="45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</row>
    <row r="35" spans="1:354" s="2" customFormat="1" ht="18.75" customHeight="1" x14ac:dyDescent="0.25">
      <c r="A35" s="8"/>
      <c r="B35" s="9"/>
      <c r="C35" s="10"/>
      <c r="D35" s="58"/>
      <c r="E35" s="11"/>
      <c r="F35" s="11"/>
      <c r="G35" s="48" t="s">
        <v>59</v>
      </c>
      <c r="H35" s="43" t="s">
        <v>18</v>
      </c>
      <c r="I35" s="63">
        <f>1.7*D28</f>
        <v>650.05976999999984</v>
      </c>
      <c r="J35" s="46"/>
      <c r="K35" s="45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</row>
    <row r="36" spans="1:354" s="2" customFormat="1" ht="18.75" customHeight="1" x14ac:dyDescent="0.25">
      <c r="A36" s="8"/>
      <c r="B36" s="9"/>
      <c r="C36" s="10"/>
      <c r="D36" s="58"/>
      <c r="E36" s="11"/>
      <c r="F36" s="11"/>
      <c r="G36" s="48" t="s">
        <v>60</v>
      </c>
      <c r="H36" s="43" t="s">
        <v>28</v>
      </c>
      <c r="I36" s="63">
        <f>1.05*I29*3</f>
        <v>1164.3717644999997</v>
      </c>
      <c r="J36" s="46"/>
      <c r="K36" s="45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</row>
    <row r="37" spans="1:354" s="2" customFormat="1" ht="18.75" customHeight="1" x14ac:dyDescent="0.25">
      <c r="A37" s="8">
        <v>11</v>
      </c>
      <c r="B37" s="9" t="s">
        <v>211</v>
      </c>
      <c r="C37" s="10" t="s">
        <v>5</v>
      </c>
      <c r="D37" s="58">
        <v>52.14</v>
      </c>
      <c r="E37" s="11">
        <v>170</v>
      </c>
      <c r="F37" s="11">
        <f t="shared" ref="F37" si="3">E37*D37</f>
        <v>8863.7999999999993</v>
      </c>
      <c r="G37" s="42" t="s">
        <v>32</v>
      </c>
      <c r="H37" s="43" t="s">
        <v>5</v>
      </c>
      <c r="I37" s="63">
        <f>D37*1.1</f>
        <v>57.354000000000006</v>
      </c>
      <c r="J37" s="44"/>
      <c r="K37" s="45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</row>
    <row r="38" spans="1:354" s="2" customFormat="1" ht="18.75" customHeight="1" x14ac:dyDescent="0.25">
      <c r="A38" s="8"/>
      <c r="B38" s="9"/>
      <c r="C38" s="10"/>
      <c r="D38" s="58"/>
      <c r="E38" s="11"/>
      <c r="F38" s="11"/>
      <c r="G38" s="42" t="s">
        <v>49</v>
      </c>
      <c r="H38" s="43" t="s">
        <v>18</v>
      </c>
      <c r="I38" s="63">
        <f>D37*2.9/3</f>
        <v>50.401999999999994</v>
      </c>
      <c r="J38" s="46"/>
      <c r="K38" s="45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</row>
    <row r="39" spans="1:354" s="2" customFormat="1" ht="18.75" customHeight="1" x14ac:dyDescent="0.25">
      <c r="A39" s="8"/>
      <c r="B39" s="9"/>
      <c r="C39" s="10"/>
      <c r="D39" s="58"/>
      <c r="E39" s="11"/>
      <c r="F39" s="11"/>
      <c r="G39" s="42" t="s">
        <v>50</v>
      </c>
      <c r="H39" s="43" t="s">
        <v>18</v>
      </c>
      <c r="I39" s="63">
        <f>D37*1.2/3</f>
        <v>20.855999999999998</v>
      </c>
      <c r="J39" s="46"/>
      <c r="K39" s="45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</row>
    <row r="40" spans="1:354" s="2" customFormat="1" ht="18.75" customHeight="1" x14ac:dyDescent="0.25">
      <c r="A40" s="8"/>
      <c r="B40" s="9"/>
      <c r="C40" s="10"/>
      <c r="D40" s="58"/>
      <c r="E40" s="11"/>
      <c r="F40" s="11"/>
      <c r="G40" s="42" t="s">
        <v>22</v>
      </c>
      <c r="H40" s="43" t="s">
        <v>19</v>
      </c>
      <c r="I40" s="63">
        <f>D37*20/1000</f>
        <v>1.0427999999999999</v>
      </c>
      <c r="J40" s="46"/>
      <c r="K40" s="45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</row>
    <row r="41" spans="1:354" s="2" customFormat="1" ht="18.75" customHeight="1" x14ac:dyDescent="0.25">
      <c r="A41" s="8"/>
      <c r="B41" s="9"/>
      <c r="C41" s="10"/>
      <c r="D41" s="58"/>
      <c r="E41" s="11"/>
      <c r="F41" s="11"/>
      <c r="G41" s="42" t="s">
        <v>20</v>
      </c>
      <c r="H41" s="47" t="s">
        <v>19</v>
      </c>
      <c r="I41" s="63">
        <f>D37*10/1000</f>
        <v>0.52139999999999997</v>
      </c>
      <c r="J41" s="46"/>
      <c r="K41" s="45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</row>
    <row r="42" spans="1:354" s="2" customFormat="1" ht="18.75" customHeight="1" x14ac:dyDescent="0.25">
      <c r="A42" s="8"/>
      <c r="B42" s="9"/>
      <c r="C42" s="10"/>
      <c r="D42" s="58"/>
      <c r="E42" s="11"/>
      <c r="F42" s="11"/>
      <c r="G42" s="48" t="s">
        <v>21</v>
      </c>
      <c r="H42" s="43" t="s">
        <v>19</v>
      </c>
      <c r="I42" s="63">
        <f>D37*2/100</f>
        <v>1.0427999999999999</v>
      </c>
      <c r="J42" s="46"/>
      <c r="K42" s="45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</row>
    <row r="43" spans="1:354" s="2" customFormat="1" ht="18.75" customHeight="1" x14ac:dyDescent="0.25">
      <c r="A43" s="8"/>
      <c r="B43" s="9"/>
      <c r="C43" s="10"/>
      <c r="D43" s="58"/>
      <c r="E43" s="11"/>
      <c r="F43" s="11"/>
      <c r="G43" s="48" t="s">
        <v>58</v>
      </c>
      <c r="H43" s="43" t="s">
        <v>18</v>
      </c>
      <c r="I43" s="63">
        <f>2*D37</f>
        <v>104.28</v>
      </c>
      <c r="J43" s="46"/>
      <c r="K43" s="45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</row>
    <row r="44" spans="1:354" s="2" customFormat="1" ht="18.75" customHeight="1" x14ac:dyDescent="0.25">
      <c r="A44" s="8"/>
      <c r="B44" s="9"/>
      <c r="C44" s="10"/>
      <c r="D44" s="58"/>
      <c r="E44" s="11"/>
      <c r="F44" s="11"/>
      <c r="G44" s="48" t="s">
        <v>59</v>
      </c>
      <c r="H44" s="43" t="s">
        <v>18</v>
      </c>
      <c r="I44" s="63">
        <f>1.7*D37</f>
        <v>88.638000000000005</v>
      </c>
      <c r="J44" s="46"/>
      <c r="K44" s="45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</row>
    <row r="45" spans="1:354" s="2" customFormat="1" ht="18.75" customHeight="1" x14ac:dyDescent="0.25">
      <c r="A45" s="8"/>
      <c r="B45" s="9"/>
      <c r="C45" s="10"/>
      <c r="D45" s="58"/>
      <c r="E45" s="11"/>
      <c r="F45" s="11"/>
      <c r="G45" s="48" t="s">
        <v>60</v>
      </c>
      <c r="H45" s="43" t="s">
        <v>28</v>
      </c>
      <c r="I45" s="63">
        <f>1.05*I38*3</f>
        <v>158.76629999999997</v>
      </c>
      <c r="J45" s="46"/>
      <c r="K45" s="45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</row>
    <row r="46" spans="1:354" s="2" customFormat="1" ht="18.75" customHeight="1" x14ac:dyDescent="0.25">
      <c r="A46" s="8">
        <v>12</v>
      </c>
      <c r="B46" s="9" t="s">
        <v>212</v>
      </c>
      <c r="C46" s="10" t="s">
        <v>5</v>
      </c>
      <c r="D46" s="58">
        <v>11.76</v>
      </c>
      <c r="E46" s="11">
        <v>185</v>
      </c>
      <c r="F46" s="11">
        <f t="shared" ref="F46" si="4">D46*E46</f>
        <v>2175.6</v>
      </c>
      <c r="G46" s="119" t="s">
        <v>213</v>
      </c>
      <c r="H46" s="120" t="s">
        <v>5</v>
      </c>
      <c r="I46" s="124">
        <f>1.1*2*D46</f>
        <v>25.872</v>
      </c>
      <c r="J46" s="126"/>
      <c r="K46" s="126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</row>
    <row r="47" spans="1:354" s="2" customFormat="1" ht="18.75" customHeight="1" x14ac:dyDescent="0.25">
      <c r="A47" s="8"/>
      <c r="B47" s="9"/>
      <c r="C47" s="10"/>
      <c r="D47" s="58"/>
      <c r="E47" s="11"/>
      <c r="F47" s="11"/>
      <c r="G47" s="121" t="s">
        <v>214</v>
      </c>
      <c r="H47" s="122" t="s">
        <v>28</v>
      </c>
      <c r="I47" s="125">
        <f>1.3*D46</f>
        <v>15.288</v>
      </c>
      <c r="J47" s="127"/>
      <c r="K47" s="126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</row>
    <row r="48" spans="1:354" s="2" customFormat="1" ht="18.75" customHeight="1" x14ac:dyDescent="0.25">
      <c r="A48" s="8"/>
      <c r="B48" s="9"/>
      <c r="C48" s="10"/>
      <c r="D48" s="58"/>
      <c r="E48" s="11"/>
      <c r="F48" s="11"/>
      <c r="G48" s="123" t="s">
        <v>215</v>
      </c>
      <c r="H48" s="120" t="s">
        <v>28</v>
      </c>
      <c r="I48" s="124">
        <f>3*D46</f>
        <v>35.28</v>
      </c>
      <c r="J48" s="127"/>
      <c r="K48" s="126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</row>
    <row r="49" spans="1:354" s="2" customFormat="1" ht="18.75" customHeight="1" x14ac:dyDescent="0.25">
      <c r="A49" s="8"/>
      <c r="B49" s="9"/>
      <c r="C49" s="10"/>
      <c r="D49" s="58"/>
      <c r="E49" s="11"/>
      <c r="F49" s="11"/>
      <c r="G49" s="123" t="s">
        <v>216</v>
      </c>
      <c r="H49" s="120" t="s">
        <v>24</v>
      </c>
      <c r="I49" s="124">
        <f>1.2*I47</f>
        <v>18.345600000000001</v>
      </c>
      <c r="J49" s="126"/>
      <c r="K49" s="126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</row>
    <row r="50" spans="1:354" s="2" customFormat="1" ht="18.75" customHeight="1" x14ac:dyDescent="0.25">
      <c r="A50" s="8"/>
      <c r="B50" s="9"/>
      <c r="C50" s="10"/>
      <c r="D50" s="58"/>
      <c r="E50" s="11"/>
      <c r="F50" s="11"/>
      <c r="G50" s="42" t="s">
        <v>22</v>
      </c>
      <c r="H50" s="43" t="s">
        <v>19</v>
      </c>
      <c r="I50" s="63">
        <f>D46*20/1000</f>
        <v>0.23519999999999999</v>
      </c>
      <c r="J50" s="46"/>
      <c r="K50" s="45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</row>
    <row r="51" spans="1:354" s="2" customFormat="1" ht="18.75" customHeight="1" x14ac:dyDescent="0.25">
      <c r="A51" s="8"/>
      <c r="B51" s="9"/>
      <c r="C51" s="10"/>
      <c r="D51" s="58"/>
      <c r="E51" s="11"/>
      <c r="F51" s="11"/>
      <c r="G51" s="42" t="s">
        <v>20</v>
      </c>
      <c r="H51" s="47" t="s">
        <v>19</v>
      </c>
      <c r="I51" s="63">
        <f>D46*10/1000</f>
        <v>0.1176</v>
      </c>
      <c r="J51" s="46"/>
      <c r="K51" s="45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</row>
    <row r="52" spans="1:354" s="2" customFormat="1" ht="18.75" customHeight="1" x14ac:dyDescent="0.25">
      <c r="A52" s="8"/>
      <c r="B52" s="9"/>
      <c r="C52" s="10"/>
      <c r="D52" s="58"/>
      <c r="E52" s="11"/>
      <c r="F52" s="11"/>
      <c r="G52" s="48" t="s">
        <v>21</v>
      </c>
      <c r="H52" s="43" t="s">
        <v>19</v>
      </c>
      <c r="I52" s="63">
        <f>D46*2/100</f>
        <v>0.23519999999999999</v>
      </c>
      <c r="J52" s="46"/>
      <c r="K52" s="45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</row>
    <row r="53" spans="1:354" s="2" customFormat="1" ht="18.75" customHeight="1" x14ac:dyDescent="0.25">
      <c r="A53" s="8"/>
      <c r="B53" s="9"/>
      <c r="C53" s="10"/>
      <c r="D53" s="58"/>
      <c r="E53" s="11"/>
      <c r="F53" s="11"/>
      <c r="G53" s="42" t="s">
        <v>23</v>
      </c>
      <c r="H53" s="49" t="s">
        <v>24</v>
      </c>
      <c r="I53" s="63">
        <f>D53*1.2</f>
        <v>0</v>
      </c>
      <c r="J53" s="46"/>
      <c r="K53" s="51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</row>
    <row r="54" spans="1:354" s="2" customFormat="1" ht="18.75" customHeight="1" x14ac:dyDescent="0.25">
      <c r="A54" s="8"/>
      <c r="B54" s="9"/>
      <c r="C54" s="10"/>
      <c r="D54" s="58"/>
      <c r="E54" s="11"/>
      <c r="F54" s="11"/>
      <c r="G54" s="50" t="s">
        <v>25</v>
      </c>
      <c r="H54" s="43" t="s">
        <v>14</v>
      </c>
      <c r="I54" s="63">
        <f>D53*0.45</f>
        <v>0</v>
      </c>
      <c r="J54" s="46"/>
      <c r="K54" s="51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</row>
    <row r="55" spans="1:354" s="2" customFormat="1" ht="18.75" customHeight="1" x14ac:dyDescent="0.25">
      <c r="A55" s="8"/>
      <c r="B55" s="9"/>
      <c r="C55" s="10"/>
      <c r="D55" s="58"/>
      <c r="E55" s="11"/>
      <c r="F55" s="11"/>
      <c r="G55" s="71" t="s">
        <v>26</v>
      </c>
      <c r="H55" s="10" t="s">
        <v>15</v>
      </c>
      <c r="I55" s="58">
        <f>D53*0.2</f>
        <v>0</v>
      </c>
      <c r="J55" s="11"/>
      <c r="K55" s="51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</row>
    <row r="56" spans="1:354" s="2" customFormat="1" ht="18.75" customHeight="1" x14ac:dyDescent="0.25">
      <c r="A56" s="8">
        <v>14</v>
      </c>
      <c r="B56" s="9" t="s">
        <v>51</v>
      </c>
      <c r="C56" s="10" t="s">
        <v>18</v>
      </c>
      <c r="D56" s="58">
        <v>2</v>
      </c>
      <c r="E56" s="11">
        <v>350</v>
      </c>
      <c r="F56" s="11">
        <f t="shared" ref="F56" si="5">D56*E56</f>
        <v>700</v>
      </c>
      <c r="G56" s="42" t="s">
        <v>32</v>
      </c>
      <c r="H56" s="43" t="s">
        <v>5</v>
      </c>
      <c r="I56" s="63">
        <f>D56*4</f>
        <v>8</v>
      </c>
      <c r="J56" s="44"/>
      <c r="K56" s="45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</row>
    <row r="57" spans="1:354" s="2" customFormat="1" ht="18.75" customHeight="1" x14ac:dyDescent="0.25">
      <c r="A57" s="8"/>
      <c r="B57" s="9"/>
      <c r="C57" s="10"/>
      <c r="D57" s="58"/>
      <c r="E57" s="11"/>
      <c r="F57" s="11"/>
      <c r="G57" s="42" t="s">
        <v>49</v>
      </c>
      <c r="H57" s="43" t="s">
        <v>18</v>
      </c>
      <c r="I57" s="63">
        <v>4</v>
      </c>
      <c r="J57" s="46"/>
      <c r="K57" s="45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</row>
    <row r="58" spans="1:354" s="2" customFormat="1" ht="18.75" customHeight="1" x14ac:dyDescent="0.25">
      <c r="A58" s="8"/>
      <c r="B58" s="9"/>
      <c r="C58" s="10"/>
      <c r="D58" s="58"/>
      <c r="E58" s="11"/>
      <c r="F58" s="11"/>
      <c r="G58" s="42" t="s">
        <v>50</v>
      </c>
      <c r="H58" s="43" t="s">
        <v>18</v>
      </c>
      <c r="I58" s="63">
        <v>2</v>
      </c>
      <c r="J58" s="46"/>
      <c r="K58" s="45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</row>
    <row r="59" spans="1:354" s="2" customFormat="1" ht="18.75" customHeight="1" x14ac:dyDescent="0.25">
      <c r="A59" s="8"/>
      <c r="B59" s="9"/>
      <c r="C59" s="10"/>
      <c r="D59" s="58"/>
      <c r="E59" s="11"/>
      <c r="F59" s="11"/>
      <c r="G59" s="42" t="s">
        <v>22</v>
      </c>
      <c r="H59" s="43" t="s">
        <v>19</v>
      </c>
      <c r="I59" s="63">
        <v>0.05</v>
      </c>
      <c r="J59" s="46"/>
      <c r="K59" s="45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</row>
    <row r="60" spans="1:354" s="2" customFormat="1" ht="18.75" customHeight="1" x14ac:dyDescent="0.25">
      <c r="A60" s="8"/>
      <c r="B60" s="9"/>
      <c r="C60" s="10"/>
      <c r="D60" s="58"/>
      <c r="E60" s="11"/>
      <c r="F60" s="11"/>
      <c r="G60" s="42" t="s">
        <v>20</v>
      </c>
      <c r="H60" s="47" t="s">
        <v>19</v>
      </c>
      <c r="I60" s="63">
        <v>0.02</v>
      </c>
      <c r="J60" s="46"/>
      <c r="K60" s="45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</row>
    <row r="61" spans="1:354" s="2" customFormat="1" ht="18.75" customHeight="1" x14ac:dyDescent="0.25">
      <c r="A61" s="8"/>
      <c r="B61" s="9"/>
      <c r="C61" s="10"/>
      <c r="D61" s="58"/>
      <c r="E61" s="11"/>
      <c r="F61" s="11"/>
      <c r="G61" s="48" t="s">
        <v>21</v>
      </c>
      <c r="H61" s="43" t="s">
        <v>19</v>
      </c>
      <c r="I61" s="63">
        <v>0.04</v>
      </c>
      <c r="J61" s="46"/>
      <c r="K61" s="45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</row>
    <row r="62" spans="1:354" s="2" customFormat="1" ht="18.75" customHeight="1" x14ac:dyDescent="0.25">
      <c r="A62" s="8"/>
      <c r="B62" s="55" t="s">
        <v>89</v>
      </c>
      <c r="C62" s="10"/>
      <c r="D62" s="58"/>
      <c r="E62" s="11"/>
      <c r="F62" s="11"/>
      <c r="G62" s="42"/>
      <c r="H62" s="43"/>
      <c r="I62" s="63"/>
      <c r="J62" s="46"/>
      <c r="K62" s="45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</row>
    <row r="63" spans="1:354" s="2" customFormat="1" ht="18.75" customHeight="1" x14ac:dyDescent="0.25">
      <c r="A63" s="8"/>
      <c r="B63" s="9"/>
      <c r="C63" s="10"/>
      <c r="D63" s="58"/>
      <c r="E63" s="11"/>
      <c r="F63" s="11"/>
      <c r="G63" s="71" t="s">
        <v>26</v>
      </c>
      <c r="H63" s="94" t="s">
        <v>15</v>
      </c>
      <c r="I63" s="89">
        <f>0.2*D63</f>
        <v>0</v>
      </c>
      <c r="J63" s="90"/>
      <c r="K63" s="91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</row>
    <row r="64" spans="1:354" s="2" customFormat="1" ht="18.75" customHeight="1" x14ac:dyDescent="0.25">
      <c r="A64" s="8">
        <v>16</v>
      </c>
      <c r="B64" s="9" t="s">
        <v>64</v>
      </c>
      <c r="C64" s="10" t="s">
        <v>5</v>
      </c>
      <c r="D64" s="58">
        <v>636.11</v>
      </c>
      <c r="E64" s="11">
        <v>60</v>
      </c>
      <c r="F64" s="11">
        <f t="shared" ref="F64:F69" si="6">D64*E64</f>
        <v>38166.6</v>
      </c>
      <c r="G64" s="42" t="s">
        <v>63</v>
      </c>
      <c r="H64" s="43" t="s">
        <v>14</v>
      </c>
      <c r="I64" s="63">
        <f>3.6*D64</f>
        <v>2289.9960000000001</v>
      </c>
      <c r="J64" s="46"/>
      <c r="K64" s="91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</row>
    <row r="65" spans="1:354" s="2" customFormat="1" ht="18.75" customHeight="1" x14ac:dyDescent="0.25">
      <c r="A65" s="8"/>
      <c r="B65" s="9"/>
      <c r="C65" s="10"/>
      <c r="D65" s="58"/>
      <c r="E65" s="11"/>
      <c r="F65" s="11"/>
      <c r="G65" s="71" t="s">
        <v>26</v>
      </c>
      <c r="H65" s="94" t="s">
        <v>15</v>
      </c>
      <c r="I65" s="89">
        <f>0.2*D65</f>
        <v>0</v>
      </c>
      <c r="J65" s="90"/>
      <c r="K65" s="91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</row>
    <row r="66" spans="1:354" s="2" customFormat="1" ht="18.75" customHeight="1" x14ac:dyDescent="0.25">
      <c r="A66" s="8">
        <v>18</v>
      </c>
      <c r="B66" s="9" t="s">
        <v>61</v>
      </c>
      <c r="C66" s="10" t="s">
        <v>5</v>
      </c>
      <c r="D66" s="58">
        <v>636.11</v>
      </c>
      <c r="E66" s="11">
        <v>45</v>
      </c>
      <c r="F66" s="11">
        <f t="shared" si="6"/>
        <v>28624.95</v>
      </c>
      <c r="G66" s="42" t="s">
        <v>66</v>
      </c>
      <c r="H66" s="43" t="s">
        <v>5</v>
      </c>
      <c r="I66" s="63">
        <f>1.1*D66</f>
        <v>699.72100000000012</v>
      </c>
      <c r="J66" s="46"/>
      <c r="K66" s="91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</row>
    <row r="67" spans="1:354" s="2" customFormat="1" ht="18.75" customHeight="1" x14ac:dyDescent="0.25">
      <c r="A67" s="8"/>
      <c r="B67" s="9"/>
      <c r="C67" s="10"/>
      <c r="D67" s="58"/>
      <c r="E67" s="11"/>
      <c r="F67" s="11"/>
      <c r="G67" s="42" t="s">
        <v>67</v>
      </c>
      <c r="H67" s="43" t="s">
        <v>15</v>
      </c>
      <c r="I67" s="63">
        <f>0.35*D66</f>
        <v>222.63849999999999</v>
      </c>
      <c r="J67" s="46"/>
      <c r="K67" s="91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</row>
    <row r="68" spans="1:354" s="2" customFormat="1" ht="18.75" customHeight="1" x14ac:dyDescent="0.25">
      <c r="A68" s="8"/>
      <c r="B68" s="9"/>
      <c r="C68" s="10"/>
      <c r="D68" s="58"/>
      <c r="E68" s="11"/>
      <c r="F68" s="11"/>
      <c r="G68" s="71" t="s">
        <v>26</v>
      </c>
      <c r="H68" s="94" t="s">
        <v>15</v>
      </c>
      <c r="I68" s="89">
        <f>0.2*D68</f>
        <v>0</v>
      </c>
      <c r="J68" s="90"/>
      <c r="K68" s="91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</row>
    <row r="69" spans="1:354" s="2" customFormat="1" ht="30.75" customHeight="1" x14ac:dyDescent="0.25">
      <c r="A69" s="8">
        <v>20</v>
      </c>
      <c r="B69" s="9" t="s">
        <v>62</v>
      </c>
      <c r="C69" s="10" t="s">
        <v>5</v>
      </c>
      <c r="D69" s="58">
        <v>636.11</v>
      </c>
      <c r="E69" s="11">
        <v>60</v>
      </c>
      <c r="F69" s="11">
        <f t="shared" si="6"/>
        <v>38166.6</v>
      </c>
      <c r="G69" s="92" t="s">
        <v>65</v>
      </c>
      <c r="H69" s="43" t="s">
        <v>14</v>
      </c>
      <c r="I69" s="63">
        <f>0.5*D69</f>
        <v>318.05500000000001</v>
      </c>
      <c r="J69" s="46"/>
      <c r="K69" s="91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</row>
    <row r="70" spans="1:354" s="2" customFormat="1" ht="18.75" customHeight="1" x14ac:dyDescent="0.25">
      <c r="A70" s="8"/>
      <c r="B70" s="9"/>
      <c r="C70" s="10"/>
      <c r="D70" s="58"/>
      <c r="E70" s="11"/>
      <c r="F70" s="11"/>
      <c r="G70" s="71" t="s">
        <v>26</v>
      </c>
      <c r="H70" s="94" t="s">
        <v>15</v>
      </c>
      <c r="I70" s="89">
        <f>0.2*D70</f>
        <v>0</v>
      </c>
      <c r="J70" s="90"/>
      <c r="K70" s="91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</row>
    <row r="71" spans="1:354" s="2" customFormat="1" ht="18.75" customHeight="1" x14ac:dyDescent="0.25">
      <c r="A71" s="8">
        <v>22</v>
      </c>
      <c r="B71" s="9" t="s">
        <v>70</v>
      </c>
      <c r="C71" s="10" t="s">
        <v>5</v>
      </c>
      <c r="D71" s="58">
        <v>52.14</v>
      </c>
      <c r="E71" s="11">
        <v>85</v>
      </c>
      <c r="F71" s="11">
        <f t="shared" ref="F71:F73" si="7">D71*E71</f>
        <v>4431.8999999999996</v>
      </c>
      <c r="G71" s="42" t="s">
        <v>63</v>
      </c>
      <c r="H71" s="43" t="s">
        <v>14</v>
      </c>
      <c r="I71" s="63">
        <f>3.6*D71</f>
        <v>187.70400000000001</v>
      </c>
      <c r="J71" s="46"/>
      <c r="K71" s="91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</row>
    <row r="72" spans="1:354" s="2" customFormat="1" ht="30.75" customHeight="1" x14ac:dyDescent="0.25">
      <c r="A72" s="8"/>
      <c r="B72" s="52"/>
      <c r="C72" s="10"/>
      <c r="D72" s="58"/>
      <c r="E72" s="11"/>
      <c r="F72" s="11"/>
      <c r="G72" s="71" t="s">
        <v>26</v>
      </c>
      <c r="H72" s="94" t="s">
        <v>15</v>
      </c>
      <c r="I72" s="89">
        <f>0.2*D72</f>
        <v>0</v>
      </c>
      <c r="J72" s="90"/>
      <c r="K72" s="91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</row>
    <row r="73" spans="1:354" s="2" customFormat="1" ht="18.75" customHeight="1" x14ac:dyDescent="0.25">
      <c r="A73" s="8">
        <v>24</v>
      </c>
      <c r="B73" s="9" t="s">
        <v>71</v>
      </c>
      <c r="C73" s="10" t="s">
        <v>5</v>
      </c>
      <c r="D73" s="58">
        <v>52.14</v>
      </c>
      <c r="E73" s="11">
        <v>45</v>
      </c>
      <c r="F73" s="11">
        <f t="shared" si="7"/>
        <v>2346.3000000000002</v>
      </c>
      <c r="G73" s="42" t="s">
        <v>66</v>
      </c>
      <c r="H73" s="43" t="s">
        <v>5</v>
      </c>
      <c r="I73" s="63">
        <f>1.1*D73</f>
        <v>57.354000000000006</v>
      </c>
      <c r="J73" s="46"/>
      <c r="K73" s="91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</row>
    <row r="74" spans="1:354" s="2" customFormat="1" ht="18.75" customHeight="1" x14ac:dyDescent="0.25">
      <c r="A74" s="8"/>
      <c r="B74" s="9"/>
      <c r="C74" s="10"/>
      <c r="D74" s="58"/>
      <c r="E74" s="11"/>
      <c r="F74" s="11"/>
      <c r="G74" s="42" t="s">
        <v>67</v>
      </c>
      <c r="H74" s="43" t="s">
        <v>15</v>
      </c>
      <c r="I74" s="63">
        <f>0.35*D73</f>
        <v>18.248999999999999</v>
      </c>
      <c r="J74" s="46"/>
      <c r="K74" s="91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</row>
    <row r="75" spans="1:354" s="2" customFormat="1" ht="36" customHeight="1" x14ac:dyDescent="0.25">
      <c r="A75" s="8"/>
      <c r="B75" s="52"/>
      <c r="C75" s="10"/>
      <c r="D75" s="58"/>
      <c r="E75" s="11"/>
      <c r="F75" s="11"/>
      <c r="G75" s="71" t="s">
        <v>26</v>
      </c>
      <c r="H75" s="94" t="s">
        <v>15</v>
      </c>
      <c r="I75" s="89">
        <f>0.2*D75</f>
        <v>0</v>
      </c>
      <c r="J75" s="90"/>
      <c r="K75" s="91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</row>
    <row r="76" spans="1:354" s="2" customFormat="1" ht="30.75" customHeight="1" x14ac:dyDescent="0.25">
      <c r="A76" s="8">
        <v>26</v>
      </c>
      <c r="B76" s="9" t="s">
        <v>72</v>
      </c>
      <c r="C76" s="10" t="s">
        <v>5</v>
      </c>
      <c r="D76" s="58">
        <v>52.14</v>
      </c>
      <c r="E76" s="11">
        <v>90</v>
      </c>
      <c r="F76" s="11">
        <f t="shared" ref="F76" si="8">D76*E76</f>
        <v>4692.6000000000004</v>
      </c>
      <c r="G76" s="92" t="s">
        <v>65</v>
      </c>
      <c r="H76" s="43" t="s">
        <v>14</v>
      </c>
      <c r="I76" s="63">
        <f>0.5*D76</f>
        <v>26.07</v>
      </c>
      <c r="J76" s="46"/>
      <c r="K76" s="91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</row>
    <row r="77" spans="1:354" s="2" customFormat="1" ht="18.75" customHeight="1" x14ac:dyDescent="0.25">
      <c r="A77" s="8"/>
      <c r="B77" s="9"/>
      <c r="C77" s="10"/>
      <c r="D77" s="58"/>
      <c r="E77" s="11"/>
      <c r="F77" s="11"/>
      <c r="G77" s="71" t="s">
        <v>26</v>
      </c>
      <c r="H77" s="94" t="s">
        <v>15</v>
      </c>
      <c r="I77" s="89">
        <f>0.2*D77*0.3</f>
        <v>0</v>
      </c>
      <c r="J77" s="90"/>
      <c r="K77" s="91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</row>
    <row r="78" spans="1:354" s="2" customFormat="1" ht="18.75" customHeight="1" x14ac:dyDescent="0.25">
      <c r="A78" s="8">
        <v>28</v>
      </c>
      <c r="B78" s="9" t="s">
        <v>73</v>
      </c>
      <c r="C78" s="10" t="s">
        <v>28</v>
      </c>
      <c r="D78" s="58">
        <v>20</v>
      </c>
      <c r="E78" s="11">
        <v>60</v>
      </c>
      <c r="F78" s="11">
        <f t="shared" ref="F78:F80" si="9">D78*E78</f>
        <v>1200</v>
      </c>
      <c r="G78" s="42" t="s">
        <v>63</v>
      </c>
      <c r="H78" s="43" t="s">
        <v>14</v>
      </c>
      <c r="I78" s="63">
        <f>3.6*D78*0.3</f>
        <v>21.599999999999998</v>
      </c>
      <c r="J78" s="46"/>
      <c r="K78" s="91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</row>
    <row r="79" spans="1:354" s="2" customFormat="1" ht="16.5" customHeight="1" x14ac:dyDescent="0.25">
      <c r="A79" s="8"/>
      <c r="B79" s="52"/>
      <c r="C79" s="10"/>
      <c r="D79" s="58"/>
      <c r="E79" s="11"/>
      <c r="F79" s="11"/>
      <c r="G79" s="71" t="s">
        <v>26</v>
      </c>
      <c r="H79" s="94" t="s">
        <v>15</v>
      </c>
      <c r="I79" s="89">
        <f>0.2*D79*0.3</f>
        <v>0</v>
      </c>
      <c r="J79" s="90"/>
      <c r="K79" s="91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</row>
    <row r="80" spans="1:354" s="2" customFormat="1" ht="18.75" customHeight="1" x14ac:dyDescent="0.25">
      <c r="A80" s="8">
        <v>30</v>
      </c>
      <c r="B80" s="9" t="s">
        <v>74</v>
      </c>
      <c r="C80" s="10" t="s">
        <v>28</v>
      </c>
      <c r="D80" s="58">
        <v>20</v>
      </c>
      <c r="E80" s="11">
        <v>45</v>
      </c>
      <c r="F80" s="11">
        <f t="shared" si="9"/>
        <v>900</v>
      </c>
      <c r="G80" s="42" t="s">
        <v>66</v>
      </c>
      <c r="H80" s="43" t="s">
        <v>5</v>
      </c>
      <c r="I80" s="63">
        <f>1.1*D80*0.3</f>
        <v>6.6</v>
      </c>
      <c r="J80" s="46"/>
      <c r="K80" s="91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</row>
    <row r="81" spans="1:354" s="2" customFormat="1" ht="18.75" customHeight="1" x14ac:dyDescent="0.25">
      <c r="A81" s="8"/>
      <c r="B81" s="9"/>
      <c r="C81" s="10"/>
      <c r="D81" s="58"/>
      <c r="E81" s="11"/>
      <c r="F81" s="11"/>
      <c r="G81" s="42" t="s">
        <v>67</v>
      </c>
      <c r="H81" s="43" t="s">
        <v>15</v>
      </c>
      <c r="I81" s="63">
        <f>0.35*D80*0.3</f>
        <v>2.1</v>
      </c>
      <c r="J81" s="46"/>
      <c r="K81" s="91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</row>
    <row r="82" spans="1:354" s="2" customFormat="1" ht="34.5" customHeight="1" x14ac:dyDescent="0.25">
      <c r="A82" s="8"/>
      <c r="B82" s="52"/>
      <c r="C82" s="10"/>
      <c r="D82" s="58"/>
      <c r="E82" s="11"/>
      <c r="F82" s="11"/>
      <c r="G82" s="71" t="s">
        <v>26</v>
      </c>
      <c r="H82" s="94" t="s">
        <v>15</v>
      </c>
      <c r="I82" s="89">
        <f>0.2*D82*0.3</f>
        <v>0</v>
      </c>
      <c r="J82" s="90"/>
      <c r="K82" s="91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</row>
    <row r="83" spans="1:354" s="2" customFormat="1" ht="32.25" customHeight="1" x14ac:dyDescent="0.25">
      <c r="A83" s="8">
        <v>32</v>
      </c>
      <c r="B83" s="9" t="s">
        <v>75</v>
      </c>
      <c r="C83" s="10" t="s">
        <v>28</v>
      </c>
      <c r="D83" s="58">
        <v>20</v>
      </c>
      <c r="E83" s="11">
        <v>60</v>
      </c>
      <c r="F83" s="11">
        <f t="shared" ref="F83" si="10">D83*E83</f>
        <v>1200</v>
      </c>
      <c r="G83" s="92" t="s">
        <v>65</v>
      </c>
      <c r="H83" s="43" t="s">
        <v>14</v>
      </c>
      <c r="I83" s="63">
        <f>0.5*D83*0.3</f>
        <v>3</v>
      </c>
      <c r="J83" s="46"/>
      <c r="K83" s="91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</row>
    <row r="84" spans="1:354" s="2" customFormat="1" ht="18.75" customHeight="1" x14ac:dyDescent="0.25">
      <c r="A84" s="8">
        <v>33</v>
      </c>
      <c r="B84" s="9" t="s">
        <v>68</v>
      </c>
      <c r="C84" s="10" t="s">
        <v>28</v>
      </c>
      <c r="D84" s="58">
        <f>D83</f>
        <v>20</v>
      </c>
      <c r="E84" s="11">
        <v>15</v>
      </c>
      <c r="F84" s="11">
        <f>D84*E84</f>
        <v>300</v>
      </c>
      <c r="G84" s="42" t="s">
        <v>69</v>
      </c>
      <c r="H84" s="43" t="s">
        <v>28</v>
      </c>
      <c r="I84" s="63">
        <f>1.1*D84</f>
        <v>22</v>
      </c>
      <c r="J84" s="46"/>
      <c r="K84" s="91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</row>
    <row r="85" spans="1:354" s="2" customFormat="1" ht="18.75" customHeight="1" x14ac:dyDescent="0.25">
      <c r="A85" s="8"/>
      <c r="B85" s="55" t="s">
        <v>90</v>
      </c>
      <c r="C85" s="10"/>
      <c r="D85" s="58"/>
      <c r="E85" s="11"/>
      <c r="F85" s="11"/>
      <c r="G85" s="42"/>
      <c r="H85" s="43"/>
      <c r="I85" s="63"/>
      <c r="J85" s="46"/>
      <c r="K85" s="45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</row>
    <row r="86" spans="1:354" s="2" customFormat="1" ht="18.75" customHeight="1" x14ac:dyDescent="0.25">
      <c r="A86" s="8"/>
      <c r="B86" s="9"/>
      <c r="C86" s="10"/>
      <c r="D86" s="58"/>
      <c r="E86" s="11"/>
      <c r="F86" s="11"/>
      <c r="G86" s="71" t="s">
        <v>26</v>
      </c>
      <c r="H86" s="94" t="s">
        <v>15</v>
      </c>
      <c r="I86" s="89">
        <f>0.2*D86*0.3</f>
        <v>0</v>
      </c>
      <c r="J86" s="90"/>
      <c r="K86" s="91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</row>
    <row r="87" spans="1:354" s="2" customFormat="1" ht="18.75" customHeight="1" x14ac:dyDescent="0.25">
      <c r="A87" s="8">
        <v>35</v>
      </c>
      <c r="B87" s="9" t="s">
        <v>178</v>
      </c>
      <c r="C87" s="10" t="s">
        <v>5</v>
      </c>
      <c r="D87" s="58">
        <v>403.4</v>
      </c>
      <c r="E87" s="11">
        <v>30</v>
      </c>
      <c r="F87" s="11">
        <f t="shared" ref="F87" si="11">D87*E87</f>
        <v>12102</v>
      </c>
      <c r="G87" s="42" t="s">
        <v>179</v>
      </c>
      <c r="H87" s="43" t="s">
        <v>15</v>
      </c>
      <c r="I87" s="63">
        <f>0.4*D87</f>
        <v>161.36000000000001</v>
      </c>
      <c r="J87" s="46"/>
      <c r="K87" s="91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</row>
    <row r="88" spans="1:354" s="2" customFormat="1" ht="18.75" customHeight="1" x14ac:dyDescent="0.25">
      <c r="A88" s="8"/>
      <c r="B88" s="9"/>
      <c r="C88" s="10"/>
      <c r="D88" s="58"/>
      <c r="E88" s="11"/>
      <c r="F88" s="11"/>
      <c r="G88" s="71" t="s">
        <v>26</v>
      </c>
      <c r="H88" s="94" t="s">
        <v>15</v>
      </c>
      <c r="I88" s="89">
        <f>0.2*D88</f>
        <v>0</v>
      </c>
      <c r="J88" s="90"/>
      <c r="K88" s="91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</row>
    <row r="89" spans="1:354" s="2" customFormat="1" ht="18.75" customHeight="1" x14ac:dyDescent="0.25">
      <c r="A89" s="8">
        <v>37</v>
      </c>
      <c r="B89" s="9" t="s">
        <v>180</v>
      </c>
      <c r="C89" s="10" t="s">
        <v>5</v>
      </c>
      <c r="D89" s="58">
        <v>52.14</v>
      </c>
      <c r="E89" s="11">
        <v>30</v>
      </c>
      <c r="F89" s="11">
        <f t="shared" ref="F89" si="12">D89*E89</f>
        <v>1564.2</v>
      </c>
      <c r="G89" s="42" t="s">
        <v>179</v>
      </c>
      <c r="H89" s="43" t="s">
        <v>15</v>
      </c>
      <c r="I89" s="63">
        <f>0.4*D89</f>
        <v>20.856000000000002</v>
      </c>
      <c r="J89" s="46"/>
      <c r="K89" s="91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</row>
    <row r="90" spans="1:354" s="2" customFormat="1" ht="18.75" customHeight="1" x14ac:dyDescent="0.25">
      <c r="A90" s="8"/>
      <c r="B90" s="9"/>
      <c r="C90" s="10"/>
      <c r="D90" s="58"/>
      <c r="E90" s="11"/>
      <c r="F90" s="11"/>
      <c r="G90" s="71" t="s">
        <v>26</v>
      </c>
      <c r="H90" s="94" t="s">
        <v>15</v>
      </c>
      <c r="I90" s="89">
        <f>0.2*D90*0.3</f>
        <v>0</v>
      </c>
      <c r="J90" s="90"/>
      <c r="K90" s="91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</row>
    <row r="91" spans="1:354" s="2" customFormat="1" ht="18.75" customHeight="1" x14ac:dyDescent="0.25">
      <c r="A91" s="8">
        <v>39</v>
      </c>
      <c r="B91" s="9" t="s">
        <v>181</v>
      </c>
      <c r="C91" s="10" t="s">
        <v>28</v>
      </c>
      <c r="D91" s="58">
        <v>20</v>
      </c>
      <c r="E91" s="11">
        <v>30</v>
      </c>
      <c r="F91" s="11">
        <f t="shared" ref="F91" si="13">D91*E91</f>
        <v>600</v>
      </c>
      <c r="G91" s="42" t="s">
        <v>179</v>
      </c>
      <c r="H91" s="43" t="s">
        <v>15</v>
      </c>
      <c r="I91" s="63">
        <f>0.4*D91</f>
        <v>8</v>
      </c>
      <c r="J91" s="46"/>
      <c r="K91" s="91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</row>
    <row r="92" spans="1:354" s="2" customFormat="1" ht="18.75" customHeight="1" x14ac:dyDescent="0.25">
      <c r="A92" s="8">
        <v>40</v>
      </c>
      <c r="B92" s="9" t="s">
        <v>242</v>
      </c>
      <c r="C92" s="10" t="s">
        <v>18</v>
      </c>
      <c r="D92" s="58">
        <v>7</v>
      </c>
      <c r="E92" s="11">
        <v>2000</v>
      </c>
      <c r="F92" s="11">
        <f t="shared" ref="F92" si="14">D92*E92</f>
        <v>14000</v>
      </c>
      <c r="G92" s="42" t="s">
        <v>243</v>
      </c>
      <c r="H92" s="43" t="s">
        <v>18</v>
      </c>
      <c r="I92" s="63">
        <v>7</v>
      </c>
      <c r="J92" s="46"/>
      <c r="K92" s="91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</row>
    <row r="93" spans="1:354" s="2" customFormat="1" ht="18.75" customHeight="1" x14ac:dyDescent="0.25">
      <c r="A93" s="153" t="s">
        <v>31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5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</row>
    <row r="94" spans="1:354" s="2" customFormat="1" ht="18.75" customHeight="1" x14ac:dyDescent="0.25">
      <c r="A94" s="8"/>
      <c r="B94" s="55" t="s">
        <v>47</v>
      </c>
      <c r="C94" s="10"/>
      <c r="D94" s="58"/>
      <c r="E94" s="11"/>
      <c r="F94" s="11"/>
      <c r="G94" s="42"/>
      <c r="H94" s="43"/>
      <c r="I94" s="63"/>
      <c r="J94" s="46"/>
      <c r="K94" s="45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</row>
    <row r="95" spans="1:354" s="2" customFormat="1" ht="18.75" customHeight="1" x14ac:dyDescent="0.25">
      <c r="A95" s="8">
        <v>1</v>
      </c>
      <c r="B95" s="9" t="s">
        <v>52</v>
      </c>
      <c r="C95" s="10" t="s">
        <v>5</v>
      </c>
      <c r="D95" s="58">
        <f>50.67+108.47+1.64</f>
        <v>160.77999999999997</v>
      </c>
      <c r="E95" s="11">
        <v>115</v>
      </c>
      <c r="F95" s="11">
        <f t="shared" ref="F95" si="15">E95*D95</f>
        <v>18489.699999999997</v>
      </c>
      <c r="G95" s="42" t="s">
        <v>32</v>
      </c>
      <c r="H95" s="43" t="s">
        <v>5</v>
      </c>
      <c r="I95" s="63">
        <f>D95*1.1</f>
        <v>176.85799999999998</v>
      </c>
      <c r="J95" s="44"/>
      <c r="K95" s="45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</row>
    <row r="96" spans="1:354" s="2" customFormat="1" ht="18.75" customHeight="1" x14ac:dyDescent="0.25">
      <c r="A96" s="8"/>
      <c r="B96" s="9"/>
      <c r="C96" s="10"/>
      <c r="D96" s="58"/>
      <c r="E96" s="11"/>
      <c r="F96" s="11"/>
      <c r="G96" s="42" t="s">
        <v>49</v>
      </c>
      <c r="H96" s="43" t="s">
        <v>18</v>
      </c>
      <c r="I96" s="63">
        <f>D95*2.9/3</f>
        <v>155.42066666666662</v>
      </c>
      <c r="J96" s="46"/>
      <c r="K96" s="45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</row>
    <row r="97" spans="1:354" s="2" customFormat="1" ht="18.75" customHeight="1" x14ac:dyDescent="0.25">
      <c r="A97" s="8"/>
      <c r="B97" s="9"/>
      <c r="C97" s="10"/>
      <c r="D97" s="58"/>
      <c r="E97" s="11"/>
      <c r="F97" s="11"/>
      <c r="G97" s="42" t="s">
        <v>50</v>
      </c>
      <c r="H97" s="43" t="s">
        <v>18</v>
      </c>
      <c r="I97" s="63">
        <f>D95*1.2/3</f>
        <v>64.311999999999983</v>
      </c>
      <c r="J97" s="46"/>
      <c r="K97" s="45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</row>
    <row r="98" spans="1:354" s="2" customFormat="1" ht="18.75" customHeight="1" x14ac:dyDescent="0.25">
      <c r="A98" s="8"/>
      <c r="B98" s="9"/>
      <c r="C98" s="10"/>
      <c r="D98" s="58"/>
      <c r="E98" s="11"/>
      <c r="F98" s="11"/>
      <c r="G98" s="42" t="s">
        <v>22</v>
      </c>
      <c r="H98" s="43" t="s">
        <v>19</v>
      </c>
      <c r="I98" s="63">
        <f>D95*20/1000</f>
        <v>3.2155999999999993</v>
      </c>
      <c r="J98" s="46"/>
      <c r="K98" s="45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</row>
    <row r="99" spans="1:354" s="2" customFormat="1" ht="18.75" customHeight="1" x14ac:dyDescent="0.25">
      <c r="A99" s="8"/>
      <c r="B99" s="9"/>
      <c r="C99" s="10"/>
      <c r="D99" s="58"/>
      <c r="E99" s="11"/>
      <c r="F99" s="11"/>
      <c r="G99" s="42" t="s">
        <v>20</v>
      </c>
      <c r="H99" s="47" t="s">
        <v>19</v>
      </c>
      <c r="I99" s="63">
        <f>D95*10/1000</f>
        <v>1.6077999999999997</v>
      </c>
      <c r="J99" s="46"/>
      <c r="K99" s="45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</row>
    <row r="100" spans="1:354" s="2" customFormat="1" ht="18.75" customHeight="1" x14ac:dyDescent="0.25">
      <c r="A100" s="8"/>
      <c r="B100" s="9"/>
      <c r="C100" s="10"/>
      <c r="D100" s="58"/>
      <c r="E100" s="11"/>
      <c r="F100" s="11"/>
      <c r="G100" s="48" t="s">
        <v>21</v>
      </c>
      <c r="H100" s="43" t="s">
        <v>19</v>
      </c>
      <c r="I100" s="63">
        <f>D95*2/100</f>
        <v>3.2155999999999993</v>
      </c>
      <c r="J100" s="46"/>
      <c r="K100" s="45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</row>
    <row r="101" spans="1:354" s="2" customFormat="1" ht="18.75" customHeight="1" x14ac:dyDescent="0.25">
      <c r="A101" s="8"/>
      <c r="B101" s="9"/>
      <c r="C101" s="10"/>
      <c r="D101" s="58"/>
      <c r="E101" s="11"/>
      <c r="F101" s="11"/>
      <c r="G101" s="48" t="s">
        <v>58</v>
      </c>
      <c r="H101" s="43" t="s">
        <v>18</v>
      </c>
      <c r="I101" s="63">
        <f>2*D95</f>
        <v>321.55999999999995</v>
      </c>
      <c r="J101" s="46"/>
      <c r="K101" s="45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</row>
    <row r="102" spans="1:354" s="2" customFormat="1" ht="18.75" customHeight="1" x14ac:dyDescent="0.25">
      <c r="A102" s="8"/>
      <c r="B102" s="9"/>
      <c r="C102" s="10"/>
      <c r="D102" s="58"/>
      <c r="E102" s="11"/>
      <c r="F102" s="11"/>
      <c r="G102" s="48" t="s">
        <v>59</v>
      </c>
      <c r="H102" s="43" t="s">
        <v>18</v>
      </c>
      <c r="I102" s="63">
        <f>1.7*D95</f>
        <v>273.32599999999996</v>
      </c>
      <c r="J102" s="46"/>
      <c r="K102" s="45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</row>
    <row r="103" spans="1:354" s="2" customFormat="1" ht="18.75" customHeight="1" x14ac:dyDescent="0.25">
      <c r="A103" s="8"/>
      <c r="B103" s="9"/>
      <c r="C103" s="10"/>
      <c r="D103" s="58"/>
      <c r="E103" s="11"/>
      <c r="F103" s="11"/>
      <c r="G103" s="48" t="s">
        <v>60</v>
      </c>
      <c r="H103" s="43" t="s">
        <v>28</v>
      </c>
      <c r="I103" s="63">
        <f>1.05*I96*3</f>
        <v>489.57509999999991</v>
      </c>
      <c r="J103" s="46"/>
      <c r="K103" s="45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</row>
    <row r="104" spans="1:354" s="2" customFormat="1" ht="18.75" customHeight="1" x14ac:dyDescent="0.25">
      <c r="A104" s="8">
        <v>2</v>
      </c>
      <c r="B104" s="9" t="s">
        <v>53</v>
      </c>
      <c r="C104" s="10" t="s">
        <v>28</v>
      </c>
      <c r="D104" s="135">
        <v>100</v>
      </c>
      <c r="E104" s="11">
        <v>95</v>
      </c>
      <c r="F104" s="11">
        <f t="shared" ref="F104" si="16">E104*D104</f>
        <v>9500</v>
      </c>
      <c r="G104" s="42" t="s">
        <v>32</v>
      </c>
      <c r="H104" s="43" t="s">
        <v>5</v>
      </c>
      <c r="I104" s="63">
        <f>D104*1.1*0.3</f>
        <v>33</v>
      </c>
      <c r="J104" s="44"/>
      <c r="K104" s="45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</row>
    <row r="105" spans="1:354" s="2" customFormat="1" ht="18.75" customHeight="1" x14ac:dyDescent="0.25">
      <c r="A105" s="8"/>
      <c r="B105" s="9"/>
      <c r="C105" s="10"/>
      <c r="D105" s="58"/>
      <c r="E105" s="11"/>
      <c r="F105" s="11"/>
      <c r="G105" s="42" t="s">
        <v>49</v>
      </c>
      <c r="H105" s="43" t="s">
        <v>18</v>
      </c>
      <c r="I105" s="63">
        <f>D104*2.9*0.3/3</f>
        <v>29</v>
      </c>
      <c r="J105" s="46"/>
      <c r="K105" s="45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</row>
    <row r="106" spans="1:354" s="2" customFormat="1" ht="18.75" customHeight="1" x14ac:dyDescent="0.25">
      <c r="A106" s="8"/>
      <c r="B106" s="9"/>
      <c r="C106" s="10"/>
      <c r="D106" s="58"/>
      <c r="E106" s="11"/>
      <c r="F106" s="11"/>
      <c r="G106" s="42" t="s">
        <v>50</v>
      </c>
      <c r="H106" s="43" t="s">
        <v>18</v>
      </c>
      <c r="I106" s="63">
        <f>D104*1.2*0.3/3</f>
        <v>12</v>
      </c>
      <c r="J106" s="46"/>
      <c r="K106" s="45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</row>
    <row r="107" spans="1:354" s="2" customFormat="1" ht="18.75" customHeight="1" x14ac:dyDescent="0.25">
      <c r="A107" s="8"/>
      <c r="B107" s="9"/>
      <c r="C107" s="10"/>
      <c r="D107" s="58"/>
      <c r="E107" s="11"/>
      <c r="F107" s="11"/>
      <c r="G107" s="42" t="s">
        <v>22</v>
      </c>
      <c r="H107" s="43" t="s">
        <v>19</v>
      </c>
      <c r="I107" s="63">
        <f>D104*20*0.3/1000</f>
        <v>0.6</v>
      </c>
      <c r="J107" s="46"/>
      <c r="K107" s="45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</row>
    <row r="108" spans="1:354" s="2" customFormat="1" ht="18.75" customHeight="1" x14ac:dyDescent="0.25">
      <c r="A108" s="8"/>
      <c r="B108" s="9"/>
      <c r="C108" s="10"/>
      <c r="D108" s="58"/>
      <c r="E108" s="11"/>
      <c r="F108" s="11"/>
      <c r="G108" s="42" t="s">
        <v>20</v>
      </c>
      <c r="H108" s="47" t="s">
        <v>19</v>
      </c>
      <c r="I108" s="63">
        <f>D104*10*0.3/1000</f>
        <v>0.3</v>
      </c>
      <c r="J108" s="46"/>
      <c r="K108" s="45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</row>
    <row r="109" spans="1:354" s="2" customFormat="1" ht="18.75" customHeight="1" x14ac:dyDescent="0.25">
      <c r="A109" s="8"/>
      <c r="B109" s="9"/>
      <c r="C109" s="10"/>
      <c r="D109" s="58"/>
      <c r="E109" s="11"/>
      <c r="F109" s="11"/>
      <c r="G109" s="48" t="s">
        <v>21</v>
      </c>
      <c r="H109" s="43" t="s">
        <v>19</v>
      </c>
      <c r="I109" s="63">
        <f>D104*2*0.3/100</f>
        <v>0.6</v>
      </c>
      <c r="J109" s="46"/>
      <c r="K109" s="45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</row>
    <row r="110" spans="1:354" s="2" customFormat="1" ht="18.75" customHeight="1" x14ac:dyDescent="0.25">
      <c r="A110" s="8"/>
      <c r="B110" s="9"/>
      <c r="C110" s="10"/>
      <c r="D110" s="58"/>
      <c r="E110" s="11"/>
      <c r="F110" s="11"/>
      <c r="G110" s="48" t="s">
        <v>58</v>
      </c>
      <c r="H110" s="43" t="s">
        <v>18</v>
      </c>
      <c r="I110" s="63">
        <f>2*D104*0.3</f>
        <v>60</v>
      </c>
      <c r="J110" s="46"/>
      <c r="K110" s="45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</row>
    <row r="111" spans="1:354" s="2" customFormat="1" ht="18.75" customHeight="1" x14ac:dyDescent="0.25">
      <c r="A111" s="8"/>
      <c r="B111" s="9"/>
      <c r="C111" s="10"/>
      <c r="D111" s="58"/>
      <c r="E111" s="11"/>
      <c r="F111" s="11"/>
      <c r="G111" s="48" t="s">
        <v>59</v>
      </c>
      <c r="H111" s="43" t="s">
        <v>18</v>
      </c>
      <c r="I111" s="63">
        <f>1.7*D104*0.3</f>
        <v>51</v>
      </c>
      <c r="J111" s="46"/>
      <c r="K111" s="45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</row>
    <row r="112" spans="1:354" s="2" customFormat="1" ht="18.75" customHeight="1" x14ac:dyDescent="0.25">
      <c r="A112" s="8"/>
      <c r="B112" s="9"/>
      <c r="C112" s="10"/>
      <c r="D112" s="58"/>
      <c r="E112" s="11"/>
      <c r="F112" s="11"/>
      <c r="G112" s="48" t="s">
        <v>60</v>
      </c>
      <c r="H112" s="43" t="s">
        <v>28</v>
      </c>
      <c r="I112" s="63">
        <f>1.05*I105*3</f>
        <v>91.350000000000009</v>
      </c>
      <c r="J112" s="46"/>
      <c r="K112" s="45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</row>
    <row r="113" spans="1:354" s="2" customFormat="1" ht="18.75" customHeight="1" x14ac:dyDescent="0.25">
      <c r="A113" s="8">
        <v>3</v>
      </c>
      <c r="B113" s="9" t="s">
        <v>54</v>
      </c>
      <c r="C113" s="10" t="s">
        <v>28</v>
      </c>
      <c r="D113" s="58">
        <v>35</v>
      </c>
      <c r="E113" s="11">
        <v>140</v>
      </c>
      <c r="F113" s="11">
        <f t="shared" ref="F113" si="17">E113*D113</f>
        <v>4900</v>
      </c>
      <c r="G113" s="42" t="s">
        <v>57</v>
      </c>
      <c r="H113" s="43" t="s">
        <v>5</v>
      </c>
      <c r="I113" s="63">
        <f>D113*1.1*0.3</f>
        <v>11.549999999999999</v>
      </c>
      <c r="J113" s="44"/>
      <c r="K113" s="45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</row>
    <row r="114" spans="1:354" s="2" customFormat="1" ht="18.75" customHeight="1" x14ac:dyDescent="0.25">
      <c r="A114" s="8"/>
      <c r="B114" s="9"/>
      <c r="C114" s="10"/>
      <c r="D114" s="58"/>
      <c r="E114" s="11"/>
      <c r="F114" s="11"/>
      <c r="G114" s="42" t="s">
        <v>49</v>
      </c>
      <c r="H114" s="43" t="s">
        <v>18</v>
      </c>
      <c r="I114" s="63">
        <f>D113*2.9*0.3/3</f>
        <v>10.15</v>
      </c>
      <c r="J114" s="46"/>
      <c r="K114" s="45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</row>
    <row r="115" spans="1:354" s="2" customFormat="1" ht="18.75" customHeight="1" x14ac:dyDescent="0.25">
      <c r="A115" s="8"/>
      <c r="B115" s="9"/>
      <c r="C115" s="10"/>
      <c r="D115" s="58"/>
      <c r="E115" s="11"/>
      <c r="F115" s="11"/>
      <c r="G115" s="42" t="s">
        <v>50</v>
      </c>
      <c r="H115" s="43" t="s">
        <v>18</v>
      </c>
      <c r="I115" s="63">
        <f>D113*1.2*0.3/3</f>
        <v>4.2</v>
      </c>
      <c r="J115" s="46"/>
      <c r="K115" s="45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</row>
    <row r="116" spans="1:354" s="2" customFormat="1" ht="18.75" customHeight="1" x14ac:dyDescent="0.25">
      <c r="A116" s="8"/>
      <c r="B116" s="9"/>
      <c r="C116" s="10"/>
      <c r="D116" s="58"/>
      <c r="E116" s="11"/>
      <c r="F116" s="11"/>
      <c r="G116" s="42" t="s">
        <v>22</v>
      </c>
      <c r="H116" s="43" t="s">
        <v>19</v>
      </c>
      <c r="I116" s="63">
        <f>D113*20*0.3/1000</f>
        <v>0.21</v>
      </c>
      <c r="J116" s="46"/>
      <c r="K116" s="45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</row>
    <row r="117" spans="1:354" s="2" customFormat="1" ht="18.75" customHeight="1" x14ac:dyDescent="0.25">
      <c r="A117" s="8"/>
      <c r="B117" s="9"/>
      <c r="C117" s="10"/>
      <c r="D117" s="58"/>
      <c r="E117" s="11"/>
      <c r="F117" s="11"/>
      <c r="G117" s="42" t="s">
        <v>20</v>
      </c>
      <c r="H117" s="47" t="s">
        <v>19</v>
      </c>
      <c r="I117" s="63">
        <f>D113*10*0.3/1000</f>
        <v>0.105</v>
      </c>
      <c r="J117" s="46"/>
      <c r="K117" s="45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</row>
    <row r="118" spans="1:354" s="2" customFormat="1" ht="18.75" customHeight="1" x14ac:dyDescent="0.25">
      <c r="A118" s="8"/>
      <c r="B118" s="9"/>
      <c r="C118" s="10"/>
      <c r="D118" s="58"/>
      <c r="E118" s="11"/>
      <c r="F118" s="11"/>
      <c r="G118" s="48" t="s">
        <v>21</v>
      </c>
      <c r="H118" s="43" t="s">
        <v>19</v>
      </c>
      <c r="I118" s="63">
        <f>D113*2*0.3/100</f>
        <v>0.21</v>
      </c>
      <c r="J118" s="46"/>
      <c r="K118" s="45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</row>
    <row r="119" spans="1:354" s="2" customFormat="1" ht="18.75" customHeight="1" x14ac:dyDescent="0.25">
      <c r="A119" s="8"/>
      <c r="B119" s="9"/>
      <c r="C119" s="10"/>
      <c r="D119" s="58"/>
      <c r="E119" s="11"/>
      <c r="F119" s="11"/>
      <c r="G119" s="48" t="s">
        <v>58</v>
      </c>
      <c r="H119" s="43" t="s">
        <v>18</v>
      </c>
      <c r="I119" s="63">
        <f>2*D113*0.3</f>
        <v>21</v>
      </c>
      <c r="J119" s="46"/>
      <c r="K119" s="45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</row>
    <row r="120" spans="1:354" s="2" customFormat="1" ht="18.75" customHeight="1" x14ac:dyDescent="0.25">
      <c r="A120" s="8"/>
      <c r="B120" s="9"/>
      <c r="C120" s="10"/>
      <c r="D120" s="58"/>
      <c r="E120" s="11"/>
      <c r="F120" s="11"/>
      <c r="G120" s="48" t="s">
        <v>59</v>
      </c>
      <c r="H120" s="43" t="s">
        <v>18</v>
      </c>
      <c r="I120" s="63">
        <f>1.7*D113*0.3</f>
        <v>17.849999999999998</v>
      </c>
      <c r="J120" s="46"/>
      <c r="K120" s="45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</row>
    <row r="121" spans="1:354" s="2" customFormat="1" ht="18.75" customHeight="1" x14ac:dyDescent="0.25">
      <c r="A121" s="8"/>
      <c r="B121" s="9"/>
      <c r="C121" s="10"/>
      <c r="D121" s="58"/>
      <c r="E121" s="11"/>
      <c r="F121" s="11"/>
      <c r="G121" s="48" t="s">
        <v>60</v>
      </c>
      <c r="H121" s="43" t="s">
        <v>28</v>
      </c>
      <c r="I121" s="63">
        <f>1.05*I114*3</f>
        <v>31.972500000000004</v>
      </c>
      <c r="J121" s="46"/>
      <c r="K121" s="45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</row>
    <row r="122" spans="1:354" s="2" customFormat="1" ht="18.75" customHeight="1" x14ac:dyDescent="0.25">
      <c r="A122" s="8">
        <v>4</v>
      </c>
      <c r="B122" s="9" t="s">
        <v>55</v>
      </c>
      <c r="C122" s="10" t="s">
        <v>28</v>
      </c>
      <c r="D122" s="58">
        <v>23.3</v>
      </c>
      <c r="E122" s="11">
        <v>140</v>
      </c>
      <c r="F122" s="11">
        <f t="shared" ref="F122" si="18">E122*D122</f>
        <v>3262</v>
      </c>
      <c r="G122" s="42" t="s">
        <v>57</v>
      </c>
      <c r="H122" s="43" t="s">
        <v>5</v>
      </c>
      <c r="I122" s="63">
        <f>(D122+D123)*1.1*0.3</f>
        <v>12.639000000000001</v>
      </c>
      <c r="J122" s="44"/>
      <c r="K122" s="45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</row>
    <row r="123" spans="1:354" s="2" customFormat="1" ht="18.75" customHeight="1" x14ac:dyDescent="0.25">
      <c r="A123" s="8">
        <v>5</v>
      </c>
      <c r="B123" s="9" t="s">
        <v>56</v>
      </c>
      <c r="C123" s="10" t="s">
        <v>28</v>
      </c>
      <c r="D123" s="58">
        <v>15</v>
      </c>
      <c r="E123" s="11">
        <v>140</v>
      </c>
      <c r="F123" s="11">
        <f t="shared" ref="F123" si="19">E123*D123</f>
        <v>2100</v>
      </c>
      <c r="G123" s="42" t="s">
        <v>49</v>
      </c>
      <c r="H123" s="43" t="s">
        <v>18</v>
      </c>
      <c r="I123" s="63">
        <f>(D122+D123)*2.9*0.3/3</f>
        <v>11.106999999999999</v>
      </c>
      <c r="J123" s="46"/>
      <c r="K123" s="45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</row>
    <row r="124" spans="1:354" s="2" customFormat="1" ht="18.75" customHeight="1" x14ac:dyDescent="0.25">
      <c r="A124" s="8"/>
      <c r="B124" s="9"/>
      <c r="C124" s="10"/>
      <c r="D124" s="58"/>
      <c r="E124" s="11"/>
      <c r="F124" s="11"/>
      <c r="G124" s="42" t="s">
        <v>50</v>
      </c>
      <c r="H124" s="43" t="s">
        <v>18</v>
      </c>
      <c r="I124" s="63">
        <f>(D122+D123)*1.2*0.3/3</f>
        <v>4.5959999999999992</v>
      </c>
      <c r="J124" s="46"/>
      <c r="K124" s="45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</row>
    <row r="125" spans="1:354" s="2" customFormat="1" ht="18.75" customHeight="1" x14ac:dyDescent="0.25">
      <c r="A125" s="8"/>
      <c r="B125" s="9"/>
      <c r="C125" s="10"/>
      <c r="D125" s="58"/>
      <c r="E125" s="11"/>
      <c r="F125" s="11"/>
      <c r="G125" s="42" t="s">
        <v>22</v>
      </c>
      <c r="H125" s="43" t="s">
        <v>19</v>
      </c>
      <c r="I125" s="63">
        <f>(D122+D123)*20*0.3/1000</f>
        <v>0.22979999999999998</v>
      </c>
      <c r="J125" s="46"/>
      <c r="K125" s="45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</row>
    <row r="126" spans="1:354" s="2" customFormat="1" ht="18.75" customHeight="1" x14ac:dyDescent="0.25">
      <c r="A126" s="8"/>
      <c r="B126" s="9"/>
      <c r="C126" s="10"/>
      <c r="D126" s="58"/>
      <c r="E126" s="11"/>
      <c r="F126" s="11"/>
      <c r="G126" s="42" t="s">
        <v>20</v>
      </c>
      <c r="H126" s="47" t="s">
        <v>19</v>
      </c>
      <c r="I126" s="63">
        <f>(D122+D123)*10*0.3/1000</f>
        <v>0.11489999999999999</v>
      </c>
      <c r="J126" s="46"/>
      <c r="K126" s="45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</row>
    <row r="127" spans="1:354" s="2" customFormat="1" ht="18.75" customHeight="1" x14ac:dyDescent="0.25">
      <c r="A127" s="8"/>
      <c r="B127" s="9"/>
      <c r="C127" s="10"/>
      <c r="D127" s="58"/>
      <c r="E127" s="11"/>
      <c r="F127" s="11"/>
      <c r="G127" s="48" t="s">
        <v>21</v>
      </c>
      <c r="H127" s="43" t="s">
        <v>19</v>
      </c>
      <c r="I127" s="63">
        <f>(D122+D123)*2*0.3/100</f>
        <v>0.22979999999999998</v>
      </c>
      <c r="J127" s="46"/>
      <c r="K127" s="45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</row>
    <row r="128" spans="1:354" s="2" customFormat="1" ht="18.75" customHeight="1" x14ac:dyDescent="0.25">
      <c r="A128" s="8"/>
      <c r="B128" s="55" t="s">
        <v>88</v>
      </c>
      <c r="C128" s="10"/>
      <c r="D128" s="58"/>
      <c r="E128" s="98"/>
      <c r="F128" s="98"/>
      <c r="G128" s="42"/>
      <c r="H128" s="43"/>
      <c r="I128" s="63"/>
      <c r="J128" s="46"/>
      <c r="K128" s="51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</row>
    <row r="129" spans="1:354" s="2" customFormat="1" ht="18.75" customHeight="1" x14ac:dyDescent="0.25">
      <c r="A129" s="8"/>
      <c r="B129" s="9"/>
      <c r="C129" s="10"/>
      <c r="D129" s="58"/>
      <c r="E129" s="11"/>
      <c r="F129" s="11"/>
      <c r="G129" s="71" t="s">
        <v>26</v>
      </c>
      <c r="H129" s="94" t="s">
        <v>15</v>
      </c>
      <c r="I129" s="89">
        <f>0.2*D129</f>
        <v>0</v>
      </c>
      <c r="J129" s="90"/>
      <c r="K129" s="91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</row>
    <row r="130" spans="1:354" s="2" customFormat="1" ht="18.75" customHeight="1" x14ac:dyDescent="0.25">
      <c r="A130" s="8">
        <v>7</v>
      </c>
      <c r="B130" s="9" t="s">
        <v>76</v>
      </c>
      <c r="C130" s="10" t="s">
        <v>5</v>
      </c>
      <c r="D130" s="58">
        <v>160.78</v>
      </c>
      <c r="E130" s="11">
        <v>60</v>
      </c>
      <c r="F130" s="11">
        <f t="shared" ref="F130:F132" si="20">D130*E130</f>
        <v>9646.7999999999993</v>
      </c>
      <c r="G130" s="42" t="s">
        <v>63</v>
      </c>
      <c r="H130" s="43" t="s">
        <v>14</v>
      </c>
      <c r="I130" s="63">
        <f>3.6*D130</f>
        <v>578.80799999999999</v>
      </c>
      <c r="J130" s="46"/>
      <c r="K130" s="91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</row>
    <row r="131" spans="1:354" s="2" customFormat="1" ht="18.75" customHeight="1" x14ac:dyDescent="0.25">
      <c r="A131" s="8"/>
      <c r="B131" s="9"/>
      <c r="C131" s="10"/>
      <c r="D131" s="58"/>
      <c r="E131" s="11"/>
      <c r="F131" s="11"/>
      <c r="G131" s="71" t="s">
        <v>26</v>
      </c>
      <c r="H131" s="94" t="s">
        <v>15</v>
      </c>
      <c r="I131" s="89">
        <f>0.2*D131</f>
        <v>0</v>
      </c>
      <c r="J131" s="90"/>
      <c r="K131" s="91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</row>
    <row r="132" spans="1:354" s="2" customFormat="1" ht="18.75" customHeight="1" x14ac:dyDescent="0.25">
      <c r="A132" s="8">
        <v>9</v>
      </c>
      <c r="B132" s="9" t="s">
        <v>77</v>
      </c>
      <c r="C132" s="10" t="s">
        <v>5</v>
      </c>
      <c r="D132" s="58">
        <v>160.78</v>
      </c>
      <c r="E132" s="11">
        <v>45</v>
      </c>
      <c r="F132" s="11">
        <f t="shared" si="20"/>
        <v>7235.1</v>
      </c>
      <c r="G132" s="42" t="s">
        <v>66</v>
      </c>
      <c r="H132" s="43" t="s">
        <v>5</v>
      </c>
      <c r="I132" s="63">
        <f>1.1*D132</f>
        <v>176.858</v>
      </c>
      <c r="J132" s="46"/>
      <c r="K132" s="91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</row>
    <row r="133" spans="1:354" s="2" customFormat="1" ht="18.75" customHeight="1" x14ac:dyDescent="0.25">
      <c r="A133" s="8"/>
      <c r="B133" s="9"/>
      <c r="C133" s="10"/>
      <c r="D133" s="58"/>
      <c r="E133" s="11"/>
      <c r="F133" s="11"/>
      <c r="G133" s="42" t="s">
        <v>67</v>
      </c>
      <c r="H133" s="43" t="s">
        <v>15</v>
      </c>
      <c r="I133" s="63">
        <f>0.35*D132</f>
        <v>56.272999999999996</v>
      </c>
      <c r="J133" s="46"/>
      <c r="K133" s="91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</row>
    <row r="134" spans="1:354" s="2" customFormat="1" ht="18.75" customHeight="1" x14ac:dyDescent="0.25">
      <c r="A134" s="8"/>
      <c r="B134" s="9"/>
      <c r="C134" s="10"/>
      <c r="D134" s="58"/>
      <c r="E134" s="11"/>
      <c r="F134" s="11"/>
      <c r="G134" s="71" t="s">
        <v>26</v>
      </c>
      <c r="H134" s="94" t="s">
        <v>15</v>
      </c>
      <c r="I134" s="89">
        <f>0.2*D134</f>
        <v>0</v>
      </c>
      <c r="J134" s="90"/>
      <c r="K134" s="91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</row>
    <row r="135" spans="1:354" s="2" customFormat="1" ht="30.75" customHeight="1" x14ac:dyDescent="0.25">
      <c r="A135" s="8">
        <v>11</v>
      </c>
      <c r="B135" s="9" t="s">
        <v>78</v>
      </c>
      <c r="C135" s="10" t="s">
        <v>5</v>
      </c>
      <c r="D135" s="58">
        <v>168.78</v>
      </c>
      <c r="E135" s="11">
        <v>70</v>
      </c>
      <c r="F135" s="11">
        <f t="shared" ref="F135" si="21">D135*E135</f>
        <v>11814.6</v>
      </c>
      <c r="G135" s="92" t="s">
        <v>65</v>
      </c>
      <c r="H135" s="43" t="s">
        <v>14</v>
      </c>
      <c r="I135" s="63">
        <f>0.5*D135</f>
        <v>84.39</v>
      </c>
      <c r="J135" s="46"/>
      <c r="K135" s="91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</row>
    <row r="136" spans="1:354" s="2" customFormat="1" ht="18.75" customHeight="1" x14ac:dyDescent="0.25">
      <c r="A136" s="8"/>
      <c r="B136" s="9"/>
      <c r="C136" s="10"/>
      <c r="D136" s="58"/>
      <c r="E136" s="11"/>
      <c r="F136" s="11"/>
      <c r="G136" s="71" t="s">
        <v>26</v>
      </c>
      <c r="H136" s="94" t="s">
        <v>15</v>
      </c>
      <c r="I136" s="89">
        <f>0.2*D136*0.3</f>
        <v>0</v>
      </c>
      <c r="J136" s="90"/>
      <c r="K136" s="91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</row>
    <row r="137" spans="1:354" s="2" customFormat="1" ht="18.75" customHeight="1" x14ac:dyDescent="0.25">
      <c r="A137" s="8">
        <v>13</v>
      </c>
      <c r="B137" s="9" t="s">
        <v>79</v>
      </c>
      <c r="C137" s="10" t="s">
        <v>28</v>
      </c>
      <c r="D137" s="58">
        <v>100</v>
      </c>
      <c r="E137" s="11">
        <v>60</v>
      </c>
      <c r="F137" s="11">
        <f t="shared" ref="F137:F139" si="22">D137*E137</f>
        <v>6000</v>
      </c>
      <c r="G137" s="42" t="s">
        <v>63</v>
      </c>
      <c r="H137" s="43" t="s">
        <v>14</v>
      </c>
      <c r="I137" s="63">
        <f>3.6*D137*0.3</f>
        <v>108</v>
      </c>
      <c r="J137" s="46"/>
      <c r="K137" s="91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</row>
    <row r="138" spans="1:354" s="2" customFormat="1" ht="27" customHeight="1" x14ac:dyDescent="0.25">
      <c r="A138" s="8"/>
      <c r="B138" s="52"/>
      <c r="C138" s="10"/>
      <c r="D138" s="58"/>
      <c r="E138" s="11"/>
      <c r="F138" s="11"/>
      <c r="G138" s="71" t="s">
        <v>26</v>
      </c>
      <c r="H138" s="94" t="s">
        <v>15</v>
      </c>
      <c r="I138" s="89">
        <f>0.2*D138*0.3</f>
        <v>0</v>
      </c>
      <c r="J138" s="90"/>
      <c r="K138" s="91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</row>
    <row r="139" spans="1:354" s="2" customFormat="1" ht="18.75" customHeight="1" x14ac:dyDescent="0.25">
      <c r="A139" s="8">
        <v>15</v>
      </c>
      <c r="B139" s="9" t="s">
        <v>80</v>
      </c>
      <c r="C139" s="10" t="s">
        <v>28</v>
      </c>
      <c r="D139" s="58">
        <v>100</v>
      </c>
      <c r="E139" s="11">
        <v>45</v>
      </c>
      <c r="F139" s="11">
        <f t="shared" si="22"/>
        <v>4500</v>
      </c>
      <c r="G139" s="42" t="s">
        <v>66</v>
      </c>
      <c r="H139" s="43" t="s">
        <v>5</v>
      </c>
      <c r="I139" s="63">
        <f>1.1*D139*0.3</f>
        <v>33</v>
      </c>
      <c r="J139" s="46"/>
      <c r="K139" s="91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</row>
    <row r="140" spans="1:354" s="2" customFormat="1" ht="18.75" customHeight="1" x14ac:dyDescent="0.25">
      <c r="A140" s="8"/>
      <c r="B140" s="9"/>
      <c r="C140" s="10"/>
      <c r="D140" s="58"/>
      <c r="E140" s="11"/>
      <c r="F140" s="11"/>
      <c r="G140" s="42" t="s">
        <v>67</v>
      </c>
      <c r="H140" s="43" t="s">
        <v>15</v>
      </c>
      <c r="I140" s="63">
        <f>0.35*D139*0.3</f>
        <v>10.5</v>
      </c>
      <c r="J140" s="46"/>
      <c r="K140" s="91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</row>
    <row r="141" spans="1:354" s="2" customFormat="1" ht="28.5" customHeight="1" x14ac:dyDescent="0.25">
      <c r="A141" s="8"/>
      <c r="B141" s="52"/>
      <c r="C141" s="10"/>
      <c r="D141" s="58"/>
      <c r="E141" s="11"/>
      <c r="F141" s="11"/>
      <c r="G141" s="71" t="s">
        <v>26</v>
      </c>
      <c r="H141" s="94" t="s">
        <v>15</v>
      </c>
      <c r="I141" s="89">
        <f>0.2*D141*0.3</f>
        <v>0</v>
      </c>
      <c r="J141" s="90"/>
      <c r="K141" s="91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</row>
    <row r="142" spans="1:354" s="2" customFormat="1" ht="32.25" customHeight="1" x14ac:dyDescent="0.25">
      <c r="A142" s="8">
        <v>17</v>
      </c>
      <c r="B142" s="9" t="s">
        <v>81</v>
      </c>
      <c r="C142" s="10" t="s">
        <v>28</v>
      </c>
      <c r="D142" s="58">
        <v>100</v>
      </c>
      <c r="E142" s="11">
        <v>70</v>
      </c>
      <c r="F142" s="11">
        <f t="shared" ref="F142" si="23">D142*E142</f>
        <v>7000</v>
      </c>
      <c r="G142" s="92" t="s">
        <v>65</v>
      </c>
      <c r="H142" s="43" t="s">
        <v>14</v>
      </c>
      <c r="I142" s="63">
        <f>0.5*D142*0.3</f>
        <v>15</v>
      </c>
      <c r="J142" s="46"/>
      <c r="K142" s="91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</row>
    <row r="143" spans="1:354" s="2" customFormat="1" ht="14.25" customHeight="1" x14ac:dyDescent="0.25">
      <c r="A143" s="8"/>
      <c r="B143" s="9"/>
      <c r="C143" s="10"/>
      <c r="D143" s="58"/>
      <c r="E143" s="11"/>
      <c r="F143" s="11"/>
      <c r="G143" s="92"/>
      <c r="H143" s="43"/>
      <c r="I143" s="63"/>
      <c r="J143" s="46"/>
      <c r="K143" s="91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</row>
    <row r="144" spans="1:354" s="2" customFormat="1" ht="18.75" customHeight="1" x14ac:dyDescent="0.25">
      <c r="A144" s="8"/>
      <c r="B144" s="9"/>
      <c r="C144" s="10"/>
      <c r="D144" s="58"/>
      <c r="E144" s="11"/>
      <c r="F144" s="11"/>
      <c r="G144" s="71" t="s">
        <v>26</v>
      </c>
      <c r="H144" s="94" t="s">
        <v>15</v>
      </c>
      <c r="I144" s="89">
        <f>0.2*D144*0.3</f>
        <v>0</v>
      </c>
      <c r="J144" s="90"/>
      <c r="K144" s="91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</row>
    <row r="145" spans="1:354" s="2" customFormat="1" ht="18.75" customHeight="1" x14ac:dyDescent="0.25">
      <c r="A145" s="8">
        <v>19</v>
      </c>
      <c r="B145" s="9" t="s">
        <v>70</v>
      </c>
      <c r="C145" s="10" t="s">
        <v>28</v>
      </c>
      <c r="D145" s="58">
        <v>35</v>
      </c>
      <c r="E145" s="11">
        <v>65</v>
      </c>
      <c r="F145" s="11">
        <f t="shared" ref="F145:F147" si="24">D145*E145</f>
        <v>2275</v>
      </c>
      <c r="G145" s="42" t="s">
        <v>63</v>
      </c>
      <c r="H145" s="43" t="s">
        <v>14</v>
      </c>
      <c r="I145" s="63">
        <f>3.6*D145*0.3</f>
        <v>37.799999999999997</v>
      </c>
      <c r="J145" s="46"/>
      <c r="K145" s="91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</row>
    <row r="146" spans="1:354" s="2" customFormat="1" ht="30.75" customHeight="1" x14ac:dyDescent="0.25">
      <c r="A146" s="8"/>
      <c r="B146" s="52"/>
      <c r="C146" s="10"/>
      <c r="D146" s="58"/>
      <c r="E146" s="11"/>
      <c r="F146" s="11"/>
      <c r="G146" s="71" t="s">
        <v>26</v>
      </c>
      <c r="H146" s="94" t="s">
        <v>15</v>
      </c>
      <c r="I146" s="89">
        <f>0.2*D146*0.3</f>
        <v>0</v>
      </c>
      <c r="J146" s="90"/>
      <c r="K146" s="91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</row>
    <row r="147" spans="1:354" s="2" customFormat="1" ht="18.75" customHeight="1" x14ac:dyDescent="0.25">
      <c r="A147" s="8">
        <v>21</v>
      </c>
      <c r="B147" s="9" t="s">
        <v>71</v>
      </c>
      <c r="C147" s="10" t="s">
        <v>28</v>
      </c>
      <c r="D147" s="58">
        <v>35</v>
      </c>
      <c r="E147" s="11">
        <v>45</v>
      </c>
      <c r="F147" s="11">
        <f t="shared" si="24"/>
        <v>1575</v>
      </c>
      <c r="G147" s="42" t="s">
        <v>66</v>
      </c>
      <c r="H147" s="43" t="s">
        <v>5</v>
      </c>
      <c r="I147" s="63">
        <f>1.1*D147*0.3</f>
        <v>11.549999999999999</v>
      </c>
      <c r="J147" s="46"/>
      <c r="K147" s="91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</row>
    <row r="148" spans="1:354" s="2" customFormat="1" ht="18.75" customHeight="1" x14ac:dyDescent="0.25">
      <c r="A148" s="8"/>
      <c r="B148" s="9"/>
      <c r="C148" s="10"/>
      <c r="D148" s="58"/>
      <c r="E148" s="11"/>
      <c r="F148" s="11"/>
      <c r="G148" s="42" t="s">
        <v>67</v>
      </c>
      <c r="H148" s="43" t="s">
        <v>15</v>
      </c>
      <c r="I148" s="63">
        <f>0.35*D147*0.3</f>
        <v>3.6749999999999998</v>
      </c>
      <c r="J148" s="46"/>
      <c r="K148" s="91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</row>
    <row r="149" spans="1:354" s="2" customFormat="1" ht="36" customHeight="1" x14ac:dyDescent="0.25">
      <c r="A149" s="8"/>
      <c r="B149" s="52"/>
      <c r="C149" s="10"/>
      <c r="D149" s="58"/>
      <c r="E149" s="11"/>
      <c r="F149" s="11"/>
      <c r="G149" s="71" t="s">
        <v>26</v>
      </c>
      <c r="H149" s="94" t="s">
        <v>15</v>
      </c>
      <c r="I149" s="89">
        <f>0.2*D149*0.3</f>
        <v>0</v>
      </c>
      <c r="J149" s="90"/>
      <c r="K149" s="91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</row>
    <row r="150" spans="1:354" s="2" customFormat="1" ht="30.75" customHeight="1" x14ac:dyDescent="0.25">
      <c r="A150" s="8">
        <v>23</v>
      </c>
      <c r="B150" s="9" t="s">
        <v>72</v>
      </c>
      <c r="C150" s="10" t="s">
        <v>28</v>
      </c>
      <c r="D150" s="58">
        <v>35</v>
      </c>
      <c r="E150" s="11">
        <v>70</v>
      </c>
      <c r="F150" s="11">
        <f t="shared" ref="F150" si="25">D150*E150</f>
        <v>2450</v>
      </c>
      <c r="G150" s="92" t="s">
        <v>65</v>
      </c>
      <c r="H150" s="43" t="s">
        <v>14</v>
      </c>
      <c r="I150" s="63">
        <f>0.5*D150*0.3</f>
        <v>5.25</v>
      </c>
      <c r="J150" s="46"/>
      <c r="K150" s="91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</row>
    <row r="151" spans="1:354" s="2" customFormat="1" ht="18.75" customHeight="1" x14ac:dyDescent="0.25">
      <c r="A151" s="8"/>
      <c r="B151" s="9"/>
      <c r="C151" s="10"/>
      <c r="D151" s="58"/>
      <c r="E151" s="11"/>
      <c r="F151" s="11"/>
      <c r="G151" s="71" t="s">
        <v>26</v>
      </c>
      <c r="H151" s="94" t="s">
        <v>15</v>
      </c>
      <c r="I151" s="89">
        <f>0.2*D151*0.3</f>
        <v>0</v>
      </c>
      <c r="J151" s="90"/>
      <c r="K151" s="91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3"/>
      <c r="LZ151" s="3"/>
      <c r="MA151" s="3"/>
      <c r="MB151" s="3"/>
      <c r="MC151" s="3"/>
      <c r="MD151" s="3"/>
      <c r="ME151" s="3"/>
      <c r="MF151" s="3"/>
      <c r="MG151" s="3"/>
      <c r="MH151" s="3"/>
      <c r="MI151" s="3"/>
      <c r="MJ151" s="3"/>
      <c r="MK151" s="3"/>
      <c r="ML151" s="3"/>
      <c r="MM151" s="3"/>
      <c r="MN151" s="3"/>
      <c r="MO151" s="3"/>
      <c r="MP151" s="3"/>
    </row>
    <row r="152" spans="1:354" s="2" customFormat="1" ht="18.75" customHeight="1" x14ac:dyDescent="0.25">
      <c r="A152" s="8">
        <v>25</v>
      </c>
      <c r="B152" s="9" t="s">
        <v>82</v>
      </c>
      <c r="C152" s="10" t="s">
        <v>28</v>
      </c>
      <c r="D152" s="58">
        <v>23.3</v>
      </c>
      <c r="E152" s="11">
        <v>65</v>
      </c>
      <c r="F152" s="11">
        <f t="shared" ref="F152:F154" si="26">D152*E152</f>
        <v>1514.5</v>
      </c>
      <c r="G152" s="42" t="s">
        <v>63</v>
      </c>
      <c r="H152" s="43" t="s">
        <v>14</v>
      </c>
      <c r="I152" s="63">
        <f>3.6*D152*0.3</f>
        <v>25.164000000000001</v>
      </c>
      <c r="J152" s="46"/>
      <c r="K152" s="91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3"/>
      <c r="LZ152" s="3"/>
      <c r="MA152" s="3"/>
      <c r="MB152" s="3"/>
      <c r="MC152" s="3"/>
      <c r="MD152" s="3"/>
      <c r="ME152" s="3"/>
      <c r="MF152" s="3"/>
      <c r="MG152" s="3"/>
      <c r="MH152" s="3"/>
      <c r="MI152" s="3"/>
      <c r="MJ152" s="3"/>
      <c r="MK152" s="3"/>
      <c r="ML152" s="3"/>
      <c r="MM152" s="3"/>
      <c r="MN152" s="3"/>
      <c r="MO152" s="3"/>
      <c r="MP152" s="3"/>
    </row>
    <row r="153" spans="1:354" s="2" customFormat="1" ht="30.75" customHeight="1" x14ac:dyDescent="0.25">
      <c r="A153" s="8"/>
      <c r="B153" s="52"/>
      <c r="C153" s="10"/>
      <c r="D153" s="58"/>
      <c r="E153" s="11"/>
      <c r="F153" s="11"/>
      <c r="G153" s="71" t="s">
        <v>26</v>
      </c>
      <c r="H153" s="94" t="s">
        <v>15</v>
      </c>
      <c r="I153" s="89">
        <f>0.2*D153*0.3</f>
        <v>0</v>
      </c>
      <c r="J153" s="90"/>
      <c r="K153" s="91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</row>
    <row r="154" spans="1:354" s="2" customFormat="1" ht="18.75" customHeight="1" x14ac:dyDescent="0.25">
      <c r="A154" s="8">
        <v>27</v>
      </c>
      <c r="B154" s="9" t="s">
        <v>83</v>
      </c>
      <c r="C154" s="10" t="s">
        <v>28</v>
      </c>
      <c r="D154" s="58">
        <v>23.3</v>
      </c>
      <c r="E154" s="11">
        <v>45</v>
      </c>
      <c r="F154" s="11">
        <f t="shared" si="26"/>
        <v>1048.5</v>
      </c>
      <c r="G154" s="42" t="s">
        <v>66</v>
      </c>
      <c r="H154" s="43" t="s">
        <v>5</v>
      </c>
      <c r="I154" s="63">
        <f>1.1*D154*0.3</f>
        <v>7.6890000000000001</v>
      </c>
      <c r="J154" s="46"/>
      <c r="K154" s="91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</row>
    <row r="155" spans="1:354" s="2" customFormat="1" ht="18.75" customHeight="1" x14ac:dyDescent="0.25">
      <c r="A155" s="8"/>
      <c r="B155" s="9"/>
      <c r="C155" s="10"/>
      <c r="D155" s="58"/>
      <c r="E155" s="11"/>
      <c r="F155" s="11"/>
      <c r="G155" s="42" t="s">
        <v>67</v>
      </c>
      <c r="H155" s="43" t="s">
        <v>15</v>
      </c>
      <c r="I155" s="63">
        <f>0.35*D154*0.3</f>
        <v>2.4464999999999999</v>
      </c>
      <c r="J155" s="46"/>
      <c r="K155" s="91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</row>
    <row r="156" spans="1:354" s="2" customFormat="1" ht="36" customHeight="1" x14ac:dyDescent="0.25">
      <c r="A156" s="8"/>
      <c r="B156" s="52"/>
      <c r="C156" s="10"/>
      <c r="D156" s="58"/>
      <c r="E156" s="11"/>
      <c r="F156" s="11"/>
      <c r="G156" s="71" t="s">
        <v>26</v>
      </c>
      <c r="H156" s="94" t="s">
        <v>15</v>
      </c>
      <c r="I156" s="89">
        <f>0.2*D156*0.3</f>
        <v>0</v>
      </c>
      <c r="J156" s="90"/>
      <c r="K156" s="91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</row>
    <row r="157" spans="1:354" s="2" customFormat="1" ht="28.5" customHeight="1" x14ac:dyDescent="0.25">
      <c r="A157" s="8">
        <v>29</v>
      </c>
      <c r="B157" s="9" t="s">
        <v>86</v>
      </c>
      <c r="C157" s="10" t="s">
        <v>28</v>
      </c>
      <c r="D157" s="58">
        <v>23.3</v>
      </c>
      <c r="E157" s="11">
        <v>70</v>
      </c>
      <c r="F157" s="11">
        <f t="shared" ref="F157" si="27">D157*E157</f>
        <v>1631</v>
      </c>
      <c r="G157" s="92" t="s">
        <v>65</v>
      </c>
      <c r="H157" s="43" t="s">
        <v>14</v>
      </c>
      <c r="I157" s="63">
        <f>0.5*D157*0.3</f>
        <v>3.4950000000000001</v>
      </c>
      <c r="J157" s="46"/>
      <c r="K157" s="91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</row>
    <row r="158" spans="1:354" s="2" customFormat="1" ht="18.75" customHeight="1" x14ac:dyDescent="0.25">
      <c r="A158" s="8"/>
      <c r="B158" s="9"/>
      <c r="C158" s="10"/>
      <c r="D158" s="58"/>
      <c r="E158" s="11"/>
      <c r="F158" s="11"/>
      <c r="G158" s="71" t="s">
        <v>26</v>
      </c>
      <c r="H158" s="94" t="s">
        <v>15</v>
      </c>
      <c r="I158" s="89">
        <f>0.2*D158*0.3</f>
        <v>0</v>
      </c>
      <c r="J158" s="90"/>
      <c r="K158" s="91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</row>
    <row r="159" spans="1:354" s="2" customFormat="1" ht="18.75" customHeight="1" x14ac:dyDescent="0.25">
      <c r="A159" s="8">
        <v>31</v>
      </c>
      <c r="B159" s="9" t="s">
        <v>84</v>
      </c>
      <c r="C159" s="10" t="s">
        <v>28</v>
      </c>
      <c r="D159" s="58">
        <v>15</v>
      </c>
      <c r="E159" s="11">
        <v>60</v>
      </c>
      <c r="F159" s="11">
        <f t="shared" ref="F159:F161" si="28">D159*E159</f>
        <v>900</v>
      </c>
      <c r="G159" s="42" t="s">
        <v>63</v>
      </c>
      <c r="H159" s="43" t="s">
        <v>14</v>
      </c>
      <c r="I159" s="63">
        <f>3.6*D159*0.3</f>
        <v>16.2</v>
      </c>
      <c r="J159" s="46"/>
      <c r="K159" s="91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</row>
    <row r="160" spans="1:354" s="2" customFormat="1" ht="30.75" customHeight="1" x14ac:dyDescent="0.25">
      <c r="A160" s="8"/>
      <c r="B160" s="52"/>
      <c r="C160" s="10"/>
      <c r="D160" s="58"/>
      <c r="E160" s="11"/>
      <c r="F160" s="11"/>
      <c r="G160" s="71" t="s">
        <v>26</v>
      </c>
      <c r="H160" s="94" t="s">
        <v>15</v>
      </c>
      <c r="I160" s="89">
        <f>0.2*D160*0.3</f>
        <v>0</v>
      </c>
      <c r="J160" s="90"/>
      <c r="K160" s="91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</row>
    <row r="161" spans="1:354" s="2" customFormat="1" ht="18.75" customHeight="1" x14ac:dyDescent="0.25">
      <c r="A161" s="8">
        <v>33</v>
      </c>
      <c r="B161" s="9" t="s">
        <v>85</v>
      </c>
      <c r="C161" s="10" t="s">
        <v>28</v>
      </c>
      <c r="D161" s="58">
        <v>15</v>
      </c>
      <c r="E161" s="11">
        <v>45</v>
      </c>
      <c r="F161" s="11">
        <f t="shared" si="28"/>
        <v>675</v>
      </c>
      <c r="G161" s="42" t="s">
        <v>66</v>
      </c>
      <c r="H161" s="43" t="s">
        <v>5</v>
      </c>
      <c r="I161" s="63">
        <f>1.1*D161*0.3</f>
        <v>4.95</v>
      </c>
      <c r="J161" s="46"/>
      <c r="K161" s="91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</row>
    <row r="162" spans="1:354" s="2" customFormat="1" ht="18.75" customHeight="1" x14ac:dyDescent="0.25">
      <c r="A162" s="8"/>
      <c r="B162" s="9"/>
      <c r="C162" s="10"/>
      <c r="D162" s="58"/>
      <c r="E162" s="11"/>
      <c r="F162" s="11"/>
      <c r="G162" s="42" t="s">
        <v>67</v>
      </c>
      <c r="H162" s="43" t="s">
        <v>15</v>
      </c>
      <c r="I162" s="63">
        <f>0.35*D161*0.3</f>
        <v>1.575</v>
      </c>
      <c r="J162" s="46"/>
      <c r="K162" s="91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</row>
    <row r="163" spans="1:354" s="2" customFormat="1" ht="36" customHeight="1" x14ac:dyDescent="0.25">
      <c r="A163" s="8"/>
      <c r="B163" s="52"/>
      <c r="C163" s="10"/>
      <c r="D163" s="58"/>
      <c r="E163" s="11"/>
      <c r="F163" s="11"/>
      <c r="G163" s="71" t="s">
        <v>26</v>
      </c>
      <c r="H163" s="94" t="s">
        <v>15</v>
      </c>
      <c r="I163" s="89">
        <f>0.2*D163*0.3</f>
        <v>0</v>
      </c>
      <c r="J163" s="90"/>
      <c r="K163" s="91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</row>
    <row r="164" spans="1:354" s="2" customFormat="1" ht="28.5" customHeight="1" x14ac:dyDescent="0.25">
      <c r="A164" s="8">
        <v>35</v>
      </c>
      <c r="B164" s="9" t="s">
        <v>87</v>
      </c>
      <c r="C164" s="10" t="s">
        <v>28</v>
      </c>
      <c r="D164" s="58">
        <v>15</v>
      </c>
      <c r="E164" s="11">
        <v>70</v>
      </c>
      <c r="F164" s="11">
        <f t="shared" ref="F164" si="29">D164*E164</f>
        <v>1050</v>
      </c>
      <c r="G164" s="92" t="s">
        <v>65</v>
      </c>
      <c r="H164" s="43" t="s">
        <v>14</v>
      </c>
      <c r="I164" s="63">
        <f>0.5*D164*0.3</f>
        <v>2.25</v>
      </c>
      <c r="J164" s="46"/>
      <c r="K164" s="91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</row>
    <row r="165" spans="1:354" s="2" customFormat="1" ht="18.75" customHeight="1" x14ac:dyDescent="0.25">
      <c r="A165" s="8"/>
      <c r="B165" s="9"/>
      <c r="C165" s="10"/>
      <c r="D165" s="58"/>
      <c r="E165" s="11"/>
      <c r="F165" s="11"/>
      <c r="G165" s="71" t="s">
        <v>26</v>
      </c>
      <c r="H165" s="94" t="s">
        <v>15</v>
      </c>
      <c r="I165" s="89">
        <f>0.2*D165*0.3</f>
        <v>0</v>
      </c>
      <c r="J165" s="90"/>
      <c r="K165" s="91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</row>
    <row r="166" spans="1:354" s="2" customFormat="1" ht="18.75" customHeight="1" x14ac:dyDescent="0.25">
      <c r="A166" s="8">
        <v>37</v>
      </c>
      <c r="B166" s="9" t="s">
        <v>182</v>
      </c>
      <c r="C166" s="10" t="s">
        <v>5</v>
      </c>
      <c r="D166" s="58">
        <v>160.78</v>
      </c>
      <c r="E166" s="11">
        <v>30</v>
      </c>
      <c r="F166" s="11">
        <f t="shared" ref="F166" si="30">D166*E166</f>
        <v>4823.3999999999996</v>
      </c>
      <c r="G166" s="42" t="s">
        <v>179</v>
      </c>
      <c r="H166" s="43" t="s">
        <v>15</v>
      </c>
      <c r="I166" s="63">
        <f>0.4*D166</f>
        <v>64.311999999999998</v>
      </c>
      <c r="J166" s="46"/>
      <c r="K166" s="91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</row>
    <row r="167" spans="1:354" s="2" customFormat="1" ht="18.75" customHeight="1" x14ac:dyDescent="0.25">
      <c r="A167" s="8"/>
      <c r="B167" s="9"/>
      <c r="C167" s="10"/>
      <c r="D167" s="58"/>
      <c r="E167" s="11"/>
      <c r="F167" s="11"/>
      <c r="G167" s="71" t="s">
        <v>26</v>
      </c>
      <c r="H167" s="94" t="s">
        <v>15</v>
      </c>
      <c r="I167" s="89">
        <f>0.2*D167*0.3</f>
        <v>0</v>
      </c>
      <c r="J167" s="90"/>
      <c r="K167" s="91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</row>
    <row r="168" spans="1:354" s="2" customFormat="1" ht="18.75" customHeight="1" x14ac:dyDescent="0.25">
      <c r="A168" s="8">
        <v>39</v>
      </c>
      <c r="B168" s="9" t="s">
        <v>180</v>
      </c>
      <c r="C168" s="10" t="s">
        <v>28</v>
      </c>
      <c r="D168" s="58">
        <v>100</v>
      </c>
      <c r="E168" s="11">
        <v>30</v>
      </c>
      <c r="F168" s="11">
        <f t="shared" ref="F168" si="31">D168*E168</f>
        <v>3000</v>
      </c>
      <c r="G168" s="42" t="s">
        <v>179</v>
      </c>
      <c r="H168" s="43" t="s">
        <v>15</v>
      </c>
      <c r="I168" s="63">
        <f>0.4*D168</f>
        <v>40</v>
      </c>
      <c r="J168" s="46"/>
      <c r="K168" s="91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</row>
    <row r="169" spans="1:354" s="2" customFormat="1" ht="18.75" customHeight="1" x14ac:dyDescent="0.25">
      <c r="A169" s="8"/>
      <c r="B169" s="9"/>
      <c r="C169" s="10"/>
      <c r="D169" s="58"/>
      <c r="E169" s="11"/>
      <c r="F169" s="11"/>
      <c r="G169" s="71" t="s">
        <v>26</v>
      </c>
      <c r="H169" s="94" t="s">
        <v>15</v>
      </c>
      <c r="I169" s="89">
        <f>0.2*D169*0.3</f>
        <v>0</v>
      </c>
      <c r="J169" s="90"/>
      <c r="K169" s="91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</row>
    <row r="170" spans="1:354" s="2" customFormat="1" ht="18.75" customHeight="1" x14ac:dyDescent="0.25">
      <c r="A170" s="8">
        <v>41</v>
      </c>
      <c r="B170" s="9" t="s">
        <v>183</v>
      </c>
      <c r="C170" s="10" t="s">
        <v>28</v>
      </c>
      <c r="D170" s="58">
        <v>100</v>
      </c>
      <c r="E170" s="11">
        <v>30</v>
      </c>
      <c r="F170" s="11">
        <f t="shared" ref="F170" si="32">D170*E170</f>
        <v>3000</v>
      </c>
      <c r="G170" s="42" t="s">
        <v>179</v>
      </c>
      <c r="H170" s="43" t="s">
        <v>15</v>
      </c>
      <c r="I170" s="63">
        <f>0.4*D170</f>
        <v>40</v>
      </c>
      <c r="J170" s="46"/>
      <c r="K170" s="91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</row>
    <row r="171" spans="1:354" s="2" customFormat="1" ht="21.75" customHeight="1" x14ac:dyDescent="0.25">
      <c r="A171" s="8"/>
      <c r="B171" s="9"/>
      <c r="C171" s="10"/>
      <c r="D171" s="58"/>
      <c r="E171" s="11"/>
      <c r="F171" s="11"/>
      <c r="G171" s="71" t="s">
        <v>26</v>
      </c>
      <c r="H171" s="94" t="s">
        <v>15</v>
      </c>
      <c r="I171" s="89">
        <f>0.2*D171*0.3</f>
        <v>0</v>
      </c>
      <c r="J171" s="90"/>
      <c r="K171" s="91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</row>
    <row r="172" spans="1:354" s="2" customFormat="1" ht="21.75" customHeight="1" x14ac:dyDescent="0.25">
      <c r="A172" s="8">
        <v>43</v>
      </c>
      <c r="B172" s="9" t="s">
        <v>184</v>
      </c>
      <c r="C172" s="10" t="s">
        <v>28</v>
      </c>
      <c r="D172" s="58">
        <v>23.3</v>
      </c>
      <c r="E172" s="11">
        <v>30</v>
      </c>
      <c r="F172" s="11">
        <f t="shared" ref="F172" si="33">D172*E172</f>
        <v>699</v>
      </c>
      <c r="G172" s="42" t="s">
        <v>179</v>
      </c>
      <c r="H172" s="43" t="s">
        <v>15</v>
      </c>
      <c r="I172" s="63">
        <f>0.4*D172</f>
        <v>9.32</v>
      </c>
      <c r="J172" s="46"/>
      <c r="K172" s="91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</row>
    <row r="173" spans="1:354" s="2" customFormat="1" ht="21.75" customHeight="1" x14ac:dyDescent="0.25">
      <c r="A173" s="8"/>
      <c r="B173" s="9"/>
      <c r="C173" s="10"/>
      <c r="D173" s="58"/>
      <c r="E173" s="11"/>
      <c r="F173" s="11"/>
      <c r="G173" s="71" t="s">
        <v>26</v>
      </c>
      <c r="H173" s="94" t="s">
        <v>15</v>
      </c>
      <c r="I173" s="89">
        <f>0.2*D173*0.3</f>
        <v>0</v>
      </c>
      <c r="J173" s="90"/>
      <c r="K173" s="91"/>
      <c r="M173" s="137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</row>
    <row r="174" spans="1:354" s="2" customFormat="1" ht="21.75" customHeight="1" x14ac:dyDescent="0.25">
      <c r="A174" s="8">
        <v>45</v>
      </c>
      <c r="B174" s="9" t="s">
        <v>185</v>
      </c>
      <c r="C174" s="10" t="s">
        <v>28</v>
      </c>
      <c r="D174" s="58">
        <v>23.3</v>
      </c>
      <c r="E174" s="11">
        <v>30</v>
      </c>
      <c r="F174" s="11">
        <f t="shared" ref="F174" si="34">D174*E174</f>
        <v>699</v>
      </c>
      <c r="G174" s="42" t="s">
        <v>179</v>
      </c>
      <c r="H174" s="43" t="s">
        <v>15</v>
      </c>
      <c r="I174" s="63">
        <f>0.4*D174</f>
        <v>9.32</v>
      </c>
      <c r="J174" s="46"/>
      <c r="K174" s="91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</row>
    <row r="175" spans="1:354" s="2" customFormat="1" ht="21.75" customHeight="1" x14ac:dyDescent="0.25">
      <c r="A175" s="8"/>
      <c r="B175" s="9"/>
      <c r="C175" s="10"/>
      <c r="D175" s="58"/>
      <c r="E175" s="11"/>
      <c r="F175" s="11"/>
      <c r="G175" s="92"/>
      <c r="H175" s="43"/>
      <c r="I175" s="63"/>
      <c r="J175" s="46"/>
      <c r="K175" s="91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</row>
    <row r="176" spans="1:354" s="2" customFormat="1" ht="31.5" customHeight="1" x14ac:dyDescent="0.25">
      <c r="A176" s="8"/>
      <c r="B176" s="138"/>
      <c r="C176" s="139"/>
      <c r="D176" s="135"/>
      <c r="E176" s="11"/>
      <c r="F176" s="11"/>
      <c r="G176" s="140"/>
      <c r="H176" s="141"/>
      <c r="I176" s="142"/>
      <c r="J176" s="44"/>
      <c r="K176" s="14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</row>
    <row r="177" spans="1:354" s="2" customFormat="1" ht="18.75" customHeight="1" x14ac:dyDescent="0.25">
      <c r="A177" s="153" t="s">
        <v>30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5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</row>
    <row r="178" spans="1:354" s="2" customFormat="1" ht="18.75" customHeight="1" x14ac:dyDescent="0.25">
      <c r="A178" s="8">
        <v>1</v>
      </c>
      <c r="B178" s="9" t="s">
        <v>186</v>
      </c>
      <c r="C178" s="10" t="s">
        <v>28</v>
      </c>
      <c r="D178" s="58">
        <v>57.29</v>
      </c>
      <c r="E178" s="11">
        <v>45</v>
      </c>
      <c r="F178" s="11">
        <f t="shared" ref="F178:F179" si="35">D178*E178</f>
        <v>2578.0500000000002</v>
      </c>
      <c r="G178" s="42" t="s">
        <v>45</v>
      </c>
      <c r="H178" s="43" t="s">
        <v>18</v>
      </c>
      <c r="I178" s="63">
        <v>1</v>
      </c>
      <c r="J178" s="46"/>
      <c r="K178" s="45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</row>
    <row r="179" spans="1:354" s="2" customFormat="1" ht="18.75" customHeight="1" x14ac:dyDescent="0.25">
      <c r="A179" s="8">
        <v>2</v>
      </c>
      <c r="B179" s="9" t="s">
        <v>187</v>
      </c>
      <c r="C179" s="10" t="s">
        <v>28</v>
      </c>
      <c r="D179" s="58">
        <f>D178</f>
        <v>57.29</v>
      </c>
      <c r="E179" s="11">
        <v>40</v>
      </c>
      <c r="F179" s="11">
        <f t="shared" si="35"/>
        <v>2291.6</v>
      </c>
      <c r="G179" s="42" t="s">
        <v>188</v>
      </c>
      <c r="H179" s="43" t="s">
        <v>28</v>
      </c>
      <c r="I179" s="63">
        <f>1.1*D179</f>
        <v>63.019000000000005</v>
      </c>
      <c r="J179" s="46"/>
      <c r="K179" s="91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</row>
    <row r="180" spans="1:354" s="2" customFormat="1" ht="18.75" customHeight="1" x14ac:dyDescent="0.25">
      <c r="A180" s="8">
        <v>3</v>
      </c>
      <c r="B180" s="9" t="s">
        <v>189</v>
      </c>
      <c r="C180" s="10" t="s">
        <v>5</v>
      </c>
      <c r="D180" s="58">
        <v>50</v>
      </c>
      <c r="E180" s="11">
        <v>65</v>
      </c>
      <c r="F180" s="11">
        <f t="shared" ref="F180" si="36">D180*E180</f>
        <v>3250</v>
      </c>
      <c r="G180" s="42" t="s">
        <v>190</v>
      </c>
      <c r="H180" s="43" t="s">
        <v>15</v>
      </c>
      <c r="I180" s="63">
        <f>0.2*D180</f>
        <v>10</v>
      </c>
      <c r="J180" s="46"/>
      <c r="K180" s="91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</row>
    <row r="181" spans="1:354" s="2" customFormat="1" ht="18.75" customHeight="1" x14ac:dyDescent="0.25">
      <c r="A181" s="8"/>
      <c r="B181" s="9"/>
      <c r="C181" s="10"/>
      <c r="D181" s="58"/>
      <c r="E181" s="11"/>
      <c r="F181" s="11"/>
      <c r="G181" s="42" t="s">
        <v>191</v>
      </c>
      <c r="H181" s="43" t="s">
        <v>14</v>
      </c>
      <c r="I181" s="63">
        <f>1.5*D180</f>
        <v>75</v>
      </c>
      <c r="J181" s="46"/>
      <c r="K181" s="91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</row>
    <row r="182" spans="1:354" s="2" customFormat="1" ht="18.75" customHeight="1" x14ac:dyDescent="0.25">
      <c r="A182" s="8"/>
      <c r="B182" s="9"/>
      <c r="C182" s="10"/>
      <c r="D182" s="58"/>
      <c r="E182" s="11"/>
      <c r="F182" s="11"/>
      <c r="G182" s="42"/>
      <c r="H182" s="43"/>
      <c r="I182" s="63"/>
      <c r="J182" s="46"/>
      <c r="K182" s="91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</row>
    <row r="183" spans="1:354" s="2" customFormat="1" ht="18.75" customHeight="1" x14ac:dyDescent="0.25">
      <c r="A183" s="8"/>
      <c r="B183" s="9"/>
      <c r="C183" s="10"/>
      <c r="D183" s="58"/>
      <c r="E183" s="11"/>
      <c r="F183" s="11"/>
      <c r="G183" s="42" t="s">
        <v>190</v>
      </c>
      <c r="H183" s="43" t="s">
        <v>15</v>
      </c>
      <c r="I183" s="63">
        <f>0.2*D183</f>
        <v>0</v>
      </c>
      <c r="J183" s="46"/>
      <c r="K183" s="91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</row>
    <row r="184" spans="1:354" s="2" customFormat="1" ht="18.75" customHeight="1" x14ac:dyDescent="0.25">
      <c r="A184" s="8">
        <v>6</v>
      </c>
      <c r="B184" s="9" t="s">
        <v>192</v>
      </c>
      <c r="C184" s="10" t="s">
        <v>5</v>
      </c>
      <c r="D184" s="58">
        <v>217.01</v>
      </c>
      <c r="E184" s="11">
        <v>80</v>
      </c>
      <c r="F184" s="11">
        <f t="shared" ref="F184" si="37">D184*E184</f>
        <v>17360.8</v>
      </c>
      <c r="G184" s="42" t="s">
        <v>193</v>
      </c>
      <c r="H184" s="43" t="s">
        <v>14</v>
      </c>
      <c r="I184" s="63">
        <f>1.7*10*D184</f>
        <v>3689.17</v>
      </c>
      <c r="J184" s="46"/>
      <c r="K184" s="91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</row>
    <row r="185" spans="1:354" s="2" customFormat="1" ht="18.75" customHeight="1" x14ac:dyDescent="0.25">
      <c r="A185" s="8"/>
      <c r="B185" s="9"/>
      <c r="C185" s="10"/>
      <c r="D185" s="58"/>
      <c r="E185" s="11"/>
      <c r="F185" s="11"/>
      <c r="G185" s="42" t="s">
        <v>190</v>
      </c>
      <c r="H185" s="43" t="s">
        <v>15</v>
      </c>
      <c r="I185" s="63">
        <f>0.2*D185</f>
        <v>0</v>
      </c>
      <c r="J185" s="46"/>
      <c r="K185" s="91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</row>
    <row r="186" spans="1:354" s="2" customFormat="1" ht="18.75" customHeight="1" x14ac:dyDescent="0.25">
      <c r="A186" s="8">
        <v>8</v>
      </c>
      <c r="B186" s="9" t="s">
        <v>194</v>
      </c>
      <c r="C186" s="10" t="s">
        <v>5</v>
      </c>
      <c r="D186" s="58">
        <v>6.3</v>
      </c>
      <c r="E186" s="11">
        <v>25</v>
      </c>
      <c r="F186" s="11">
        <f t="shared" ref="F186" si="38">D186*E186</f>
        <v>157.5</v>
      </c>
      <c r="G186" s="42" t="s">
        <v>195</v>
      </c>
      <c r="H186" s="43" t="s">
        <v>14</v>
      </c>
      <c r="I186" s="63">
        <f>4*D186</f>
        <v>25.2</v>
      </c>
      <c r="J186" s="46"/>
      <c r="K186" s="91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</row>
    <row r="187" spans="1:354" s="2" customFormat="1" ht="18.75" customHeight="1" x14ac:dyDescent="0.25">
      <c r="A187" s="8"/>
      <c r="B187" s="9"/>
      <c r="C187" s="10"/>
      <c r="D187" s="58"/>
      <c r="E187" s="11"/>
      <c r="F187" s="11"/>
      <c r="G187" s="42" t="s">
        <v>190</v>
      </c>
      <c r="H187" s="43" t="s">
        <v>15</v>
      </c>
      <c r="I187" s="63">
        <f>0.2*D187</f>
        <v>0</v>
      </c>
      <c r="J187" s="46"/>
      <c r="K187" s="91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</row>
    <row r="188" spans="1:354" s="2" customFormat="1" ht="18.75" customHeight="1" x14ac:dyDescent="0.25">
      <c r="A188" s="8">
        <v>10</v>
      </c>
      <c r="B188" s="9" t="s">
        <v>196</v>
      </c>
      <c r="C188" s="10" t="s">
        <v>5</v>
      </c>
      <c r="D188" s="58">
        <f>6.3+34.56</f>
        <v>40.86</v>
      </c>
      <c r="E188" s="11">
        <v>200</v>
      </c>
      <c r="F188" s="11">
        <f t="shared" ref="F188" si="39">D188*E188</f>
        <v>8172</v>
      </c>
      <c r="G188" s="42" t="s">
        <v>198</v>
      </c>
      <c r="H188" s="43" t="s">
        <v>5</v>
      </c>
      <c r="I188" s="63">
        <f>1.07*D188</f>
        <v>43.720199999999998</v>
      </c>
      <c r="J188" s="136"/>
      <c r="K188" s="91"/>
      <c r="L188" s="156" t="s">
        <v>29</v>
      </c>
      <c r="M188" s="157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</row>
    <row r="189" spans="1:354" s="2" customFormat="1" ht="18.75" customHeight="1" x14ac:dyDescent="0.25">
      <c r="A189" s="8"/>
      <c r="B189" s="9"/>
      <c r="C189" s="10"/>
      <c r="D189" s="58"/>
      <c r="E189" s="11"/>
      <c r="F189" s="11"/>
      <c r="G189" s="71" t="s">
        <v>39</v>
      </c>
      <c r="H189" s="94" t="s">
        <v>18</v>
      </c>
      <c r="I189" s="89">
        <f>7.8*D188/25</f>
        <v>12.74832</v>
      </c>
      <c r="J189" s="90"/>
      <c r="K189" s="91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</row>
    <row r="190" spans="1:354" s="2" customFormat="1" ht="18.75" customHeight="1" x14ac:dyDescent="0.25">
      <c r="A190" s="8"/>
      <c r="B190" s="9"/>
      <c r="C190" s="10"/>
      <c r="D190" s="58"/>
      <c r="E190" s="11"/>
      <c r="F190" s="11"/>
      <c r="G190" s="71" t="s">
        <v>40</v>
      </c>
      <c r="H190" s="94" t="s">
        <v>14</v>
      </c>
      <c r="I190" s="89">
        <f>0.45*D188</f>
        <v>18.387</v>
      </c>
      <c r="J190" s="90"/>
      <c r="K190" s="91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</row>
    <row r="191" spans="1:354" s="2" customFormat="1" ht="18.75" customHeight="1" x14ac:dyDescent="0.25">
      <c r="A191" s="8"/>
      <c r="B191" s="9"/>
      <c r="C191" s="10"/>
      <c r="D191" s="58"/>
      <c r="E191" s="11"/>
      <c r="F191" s="11"/>
      <c r="G191" s="71" t="s">
        <v>41</v>
      </c>
      <c r="H191" s="94" t="s">
        <v>27</v>
      </c>
      <c r="I191" s="89">
        <v>3</v>
      </c>
      <c r="J191" s="90"/>
      <c r="K191" s="91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</row>
    <row r="192" spans="1:354" s="2" customFormat="1" ht="18.75" customHeight="1" x14ac:dyDescent="0.25">
      <c r="A192" s="8"/>
      <c r="B192" s="9"/>
      <c r="C192" s="10"/>
      <c r="D192" s="58"/>
      <c r="E192" s="11"/>
      <c r="F192" s="11"/>
      <c r="G192" s="71" t="s">
        <v>42</v>
      </c>
      <c r="H192" s="94" t="s">
        <v>18</v>
      </c>
      <c r="I192" s="89">
        <v>2</v>
      </c>
      <c r="J192" s="90"/>
      <c r="K192" s="91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</row>
    <row r="193" spans="1:354" s="2" customFormat="1" ht="18.75" customHeight="1" x14ac:dyDescent="0.25">
      <c r="A193" s="8"/>
      <c r="B193" s="9"/>
      <c r="C193" s="10"/>
      <c r="D193" s="58"/>
      <c r="E193" s="11"/>
      <c r="F193" s="11"/>
      <c r="G193" s="42" t="s">
        <v>200</v>
      </c>
      <c r="H193" s="43" t="s">
        <v>18</v>
      </c>
      <c r="I193" s="63">
        <v>8</v>
      </c>
      <c r="J193" s="46"/>
      <c r="K193" s="45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</row>
    <row r="194" spans="1:354" s="2" customFormat="1" ht="18.75" customHeight="1" x14ac:dyDescent="0.25">
      <c r="A194" s="8">
        <v>11</v>
      </c>
      <c r="B194" s="9" t="s">
        <v>197</v>
      </c>
      <c r="C194" s="10" t="s">
        <v>18</v>
      </c>
      <c r="D194" s="58">
        <v>2</v>
      </c>
      <c r="E194" s="11">
        <v>200</v>
      </c>
      <c r="F194" s="11">
        <f>D194*E194</f>
        <v>400</v>
      </c>
      <c r="G194" s="42" t="s">
        <v>199</v>
      </c>
      <c r="H194" s="43" t="s">
        <v>18</v>
      </c>
      <c r="I194" s="63">
        <v>2</v>
      </c>
      <c r="J194" s="46"/>
      <c r="K194" s="91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</row>
    <row r="195" spans="1:354" s="2" customFormat="1" ht="18.75" customHeight="1" x14ac:dyDescent="0.25">
      <c r="A195" s="8">
        <v>12</v>
      </c>
      <c r="B195" s="9" t="s">
        <v>201</v>
      </c>
      <c r="C195" s="10" t="s">
        <v>5</v>
      </c>
      <c r="D195" s="58">
        <f>101.95+74.2</f>
        <v>176.15</v>
      </c>
      <c r="E195" s="11">
        <v>15</v>
      </c>
      <c r="F195" s="11">
        <f>D195*E195</f>
        <v>2642.25</v>
      </c>
      <c r="G195" s="42" t="s">
        <v>202</v>
      </c>
      <c r="H195" s="43" t="s">
        <v>18</v>
      </c>
      <c r="I195" s="63">
        <v>7</v>
      </c>
      <c r="J195" s="46"/>
      <c r="K195" s="91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</row>
    <row r="196" spans="1:354" s="2" customFormat="1" ht="18.75" customHeight="1" x14ac:dyDescent="0.25">
      <c r="A196" s="8"/>
      <c r="B196" s="9"/>
      <c r="C196" s="10"/>
      <c r="D196" s="58"/>
      <c r="E196" s="11"/>
      <c r="F196" s="11"/>
      <c r="G196" s="42" t="s">
        <v>190</v>
      </c>
      <c r="H196" s="43" t="s">
        <v>15</v>
      </c>
      <c r="I196" s="63">
        <f>0.2*D196</f>
        <v>0</v>
      </c>
      <c r="J196" s="46"/>
      <c r="K196" s="91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</row>
    <row r="197" spans="1:354" s="2" customFormat="1" ht="18.75" customHeight="1" x14ac:dyDescent="0.25">
      <c r="A197" s="8">
        <v>14</v>
      </c>
      <c r="B197" s="9" t="s">
        <v>203</v>
      </c>
      <c r="C197" s="10" t="s">
        <v>5</v>
      </c>
      <c r="D197" s="58">
        <f>101.95+74.2</f>
        <v>176.15</v>
      </c>
      <c r="E197" s="11">
        <v>180</v>
      </c>
      <c r="F197" s="11">
        <f>D197*E197</f>
        <v>31707</v>
      </c>
      <c r="G197" s="42" t="s">
        <v>204</v>
      </c>
      <c r="H197" s="43" t="s">
        <v>5</v>
      </c>
      <c r="I197" s="63">
        <f>1.05*D197</f>
        <v>184.95750000000001</v>
      </c>
      <c r="J197" s="46"/>
      <c r="K197" s="91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</row>
    <row r="198" spans="1:354" s="2" customFormat="1" ht="18.75" customHeight="1" x14ac:dyDescent="0.25">
      <c r="A198" s="8"/>
      <c r="B198" s="9"/>
      <c r="C198" s="10"/>
      <c r="D198" s="58"/>
      <c r="E198" s="11"/>
      <c r="F198" s="11"/>
      <c r="G198" s="42" t="s">
        <v>205</v>
      </c>
      <c r="H198" s="43" t="s">
        <v>5</v>
      </c>
      <c r="I198" s="63">
        <f>1.05*D197</f>
        <v>184.95750000000001</v>
      </c>
      <c r="J198" s="46"/>
      <c r="K198" s="91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</row>
    <row r="199" spans="1:354" s="2" customFormat="1" ht="18.75" customHeight="1" x14ac:dyDescent="0.25">
      <c r="A199" s="8"/>
      <c r="B199" s="9"/>
      <c r="C199" s="10"/>
      <c r="D199" s="58"/>
      <c r="E199" s="11"/>
      <c r="F199" s="11"/>
      <c r="G199" s="42" t="s">
        <v>206</v>
      </c>
      <c r="H199" s="43" t="s">
        <v>14</v>
      </c>
      <c r="I199" s="63">
        <f>0.35*D197</f>
        <v>61.652499999999996</v>
      </c>
      <c r="J199" s="46"/>
      <c r="K199" s="91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</row>
    <row r="200" spans="1:354" s="99" customFormat="1" ht="18.75" customHeight="1" x14ac:dyDescent="0.25">
      <c r="A200" s="153" t="s">
        <v>38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5"/>
    </row>
    <row r="201" spans="1:354" s="99" customFormat="1" ht="18.75" customHeight="1" x14ac:dyDescent="0.25">
      <c r="A201" s="100">
        <v>1</v>
      </c>
      <c r="B201" s="101" t="s">
        <v>91</v>
      </c>
      <c r="C201" s="102" t="s">
        <v>28</v>
      </c>
      <c r="D201" s="103">
        <v>70</v>
      </c>
      <c r="E201" s="11">
        <v>40</v>
      </c>
      <c r="F201" s="11">
        <f>D201*E201</f>
        <v>2800</v>
      </c>
      <c r="G201" s="104" t="s">
        <v>92</v>
      </c>
      <c r="H201" s="105" t="s">
        <v>28</v>
      </c>
      <c r="I201" s="106">
        <v>300</v>
      </c>
      <c r="J201" s="107"/>
      <c r="K201" s="45"/>
    </row>
    <row r="202" spans="1:354" s="99" customFormat="1" ht="18.75" customHeight="1" x14ac:dyDescent="0.25">
      <c r="A202" s="100">
        <v>2</v>
      </c>
      <c r="B202" s="101" t="s">
        <v>93</v>
      </c>
      <c r="C202" s="102" t="s">
        <v>28</v>
      </c>
      <c r="D202" s="103">
        <v>20</v>
      </c>
      <c r="E202" s="11">
        <v>60</v>
      </c>
      <c r="F202" s="11">
        <f t="shared" ref="F202:F216" si="40">D202*E202</f>
        <v>1200</v>
      </c>
      <c r="G202" s="104" t="s">
        <v>94</v>
      </c>
      <c r="H202" s="105" t="s">
        <v>95</v>
      </c>
      <c r="I202" s="106">
        <v>300</v>
      </c>
      <c r="J202" s="107"/>
      <c r="K202" s="45"/>
    </row>
    <row r="203" spans="1:354" s="99" customFormat="1" ht="18.75" customHeight="1" x14ac:dyDescent="0.25">
      <c r="A203" s="100">
        <v>3</v>
      </c>
      <c r="B203" s="101" t="s">
        <v>96</v>
      </c>
      <c r="C203" s="102" t="s">
        <v>28</v>
      </c>
      <c r="D203" s="103">
        <v>10000</v>
      </c>
      <c r="E203" s="11">
        <v>10</v>
      </c>
      <c r="F203" s="11">
        <f t="shared" si="40"/>
        <v>100000</v>
      </c>
      <c r="G203" s="104" t="s">
        <v>97</v>
      </c>
      <c r="H203" s="105" t="s">
        <v>28</v>
      </c>
      <c r="I203" s="106">
        <v>110</v>
      </c>
      <c r="J203" s="107"/>
      <c r="K203" s="45"/>
    </row>
    <row r="204" spans="1:354" s="99" customFormat="1" ht="18.75" customHeight="1" x14ac:dyDescent="0.25">
      <c r="A204" s="100">
        <v>4</v>
      </c>
      <c r="B204" s="101" t="s">
        <v>98</v>
      </c>
      <c r="C204" s="102" t="s">
        <v>28</v>
      </c>
      <c r="D204" s="103">
        <v>55</v>
      </c>
      <c r="E204" s="11">
        <v>10</v>
      </c>
      <c r="F204" s="11">
        <f t="shared" si="40"/>
        <v>550</v>
      </c>
      <c r="G204" s="104" t="s">
        <v>99</v>
      </c>
      <c r="H204" s="105" t="s">
        <v>95</v>
      </c>
      <c r="I204" s="106">
        <v>800</v>
      </c>
      <c r="J204" s="107"/>
      <c r="K204" s="45"/>
    </row>
    <row r="205" spans="1:354" s="99" customFormat="1" ht="18.75" customHeight="1" x14ac:dyDescent="0.25">
      <c r="A205" s="100">
        <v>5</v>
      </c>
      <c r="B205" s="101" t="s">
        <v>100</v>
      </c>
      <c r="C205" s="102" t="s">
        <v>28</v>
      </c>
      <c r="D205" s="103">
        <v>55</v>
      </c>
      <c r="E205" s="11">
        <v>14</v>
      </c>
      <c r="F205" s="11">
        <f t="shared" si="40"/>
        <v>770</v>
      </c>
      <c r="G205" s="104" t="s">
        <v>101</v>
      </c>
      <c r="H205" s="105" t="s">
        <v>95</v>
      </c>
      <c r="I205" s="106">
        <v>800</v>
      </c>
      <c r="J205" s="107"/>
      <c r="K205" s="45"/>
    </row>
    <row r="206" spans="1:354" s="99" customFormat="1" ht="18.75" customHeight="1" x14ac:dyDescent="0.25">
      <c r="A206" s="100">
        <v>6</v>
      </c>
      <c r="B206" s="101" t="s">
        <v>102</v>
      </c>
      <c r="C206" s="102" t="s">
        <v>28</v>
      </c>
      <c r="D206" s="103">
        <v>14</v>
      </c>
      <c r="E206" s="11">
        <v>25</v>
      </c>
      <c r="F206" s="11">
        <f t="shared" si="40"/>
        <v>350</v>
      </c>
      <c r="G206" s="104" t="s">
        <v>103</v>
      </c>
      <c r="H206" s="105" t="s">
        <v>95</v>
      </c>
      <c r="I206" s="106">
        <v>800</v>
      </c>
      <c r="J206" s="107"/>
      <c r="K206" s="45"/>
    </row>
    <row r="207" spans="1:354" s="99" customFormat="1" ht="18.75" customHeight="1" x14ac:dyDescent="0.25">
      <c r="A207" s="100">
        <v>7</v>
      </c>
      <c r="B207" s="101" t="s">
        <v>104</v>
      </c>
      <c r="C207" s="102" t="s">
        <v>95</v>
      </c>
      <c r="D207" s="103">
        <v>200</v>
      </c>
      <c r="E207" s="11">
        <v>30</v>
      </c>
      <c r="F207" s="11">
        <f t="shared" si="40"/>
        <v>6000</v>
      </c>
      <c r="G207" s="104" t="s">
        <v>105</v>
      </c>
      <c r="H207" s="105" t="s">
        <v>95</v>
      </c>
      <c r="I207" s="106">
        <v>800</v>
      </c>
      <c r="J207" s="107"/>
      <c r="K207" s="45"/>
    </row>
    <row r="208" spans="1:354" s="99" customFormat="1" ht="18.75" customHeight="1" x14ac:dyDescent="0.25">
      <c r="A208" s="100">
        <v>8</v>
      </c>
      <c r="B208" s="101" t="s">
        <v>106</v>
      </c>
      <c r="C208" s="102" t="s">
        <v>95</v>
      </c>
      <c r="D208" s="103">
        <v>70</v>
      </c>
      <c r="E208" s="11">
        <v>55</v>
      </c>
      <c r="F208" s="11">
        <f t="shared" si="40"/>
        <v>3850</v>
      </c>
      <c r="G208" s="104" t="s">
        <v>107</v>
      </c>
      <c r="H208" s="105" t="s">
        <v>95</v>
      </c>
      <c r="I208" s="106">
        <v>800</v>
      </c>
      <c r="J208" s="107"/>
      <c r="K208" s="45"/>
    </row>
    <row r="209" spans="1:11" s="99" customFormat="1" ht="18.75" customHeight="1" x14ac:dyDescent="0.25">
      <c r="A209" s="100">
        <v>9</v>
      </c>
      <c r="B209" s="101" t="s">
        <v>108</v>
      </c>
      <c r="C209" s="102" t="s">
        <v>28</v>
      </c>
      <c r="D209" s="103">
        <v>2430</v>
      </c>
      <c r="E209" s="11">
        <v>4</v>
      </c>
      <c r="F209" s="11">
        <f t="shared" si="40"/>
        <v>9720</v>
      </c>
      <c r="G209" s="104" t="s">
        <v>109</v>
      </c>
      <c r="H209" s="105" t="s">
        <v>95</v>
      </c>
      <c r="I209" s="106">
        <v>800</v>
      </c>
      <c r="J209" s="107"/>
      <c r="K209" s="45"/>
    </row>
    <row r="210" spans="1:11" s="99" customFormat="1" ht="18.75" customHeight="1" x14ac:dyDescent="0.25">
      <c r="A210" s="100">
        <v>10</v>
      </c>
      <c r="B210" s="101" t="s">
        <v>110</v>
      </c>
      <c r="C210" s="102" t="s">
        <v>28</v>
      </c>
      <c r="D210" s="103">
        <v>14</v>
      </c>
      <c r="E210" s="11">
        <v>4</v>
      </c>
      <c r="F210" s="11">
        <f t="shared" si="40"/>
        <v>56</v>
      </c>
      <c r="G210" s="104" t="s">
        <v>111</v>
      </c>
      <c r="H210" s="105" t="s">
        <v>95</v>
      </c>
      <c r="I210" s="106">
        <v>6</v>
      </c>
      <c r="J210" s="107"/>
      <c r="K210" s="45"/>
    </row>
    <row r="211" spans="1:11" s="99" customFormat="1" ht="18.75" customHeight="1" x14ac:dyDescent="0.25">
      <c r="A211" s="100">
        <v>11</v>
      </c>
      <c r="B211" s="101" t="s">
        <v>112</v>
      </c>
      <c r="C211" s="102" t="s">
        <v>113</v>
      </c>
      <c r="D211" s="103">
        <v>1</v>
      </c>
      <c r="E211" s="11">
        <v>1000</v>
      </c>
      <c r="F211" s="11">
        <f t="shared" si="40"/>
        <v>1000</v>
      </c>
      <c r="G211" s="104"/>
      <c r="H211" s="105"/>
      <c r="I211" s="106"/>
      <c r="J211" s="107"/>
      <c r="K211" s="45"/>
    </row>
    <row r="212" spans="1:11" s="99" customFormat="1" ht="18.75" customHeight="1" x14ac:dyDescent="0.25">
      <c r="A212" s="100">
        <v>12</v>
      </c>
      <c r="B212" s="101" t="s">
        <v>114</v>
      </c>
      <c r="C212" s="102" t="s">
        <v>113</v>
      </c>
      <c r="D212" s="103">
        <v>1</v>
      </c>
      <c r="E212" s="11">
        <v>1000</v>
      </c>
      <c r="F212" s="11">
        <f t="shared" si="40"/>
        <v>1000</v>
      </c>
      <c r="G212" s="104" t="s">
        <v>115</v>
      </c>
      <c r="H212" s="105" t="s">
        <v>28</v>
      </c>
      <c r="I212" s="106">
        <v>2100</v>
      </c>
      <c r="J212" s="107"/>
      <c r="K212" s="45"/>
    </row>
    <row r="213" spans="1:11" s="99" customFormat="1" ht="18.75" customHeight="1" x14ac:dyDescent="0.25">
      <c r="A213" s="100">
        <v>13</v>
      </c>
      <c r="B213" s="101" t="s">
        <v>116</v>
      </c>
      <c r="C213" s="102" t="s">
        <v>113</v>
      </c>
      <c r="D213" s="103">
        <v>1</v>
      </c>
      <c r="E213" s="11">
        <v>1000</v>
      </c>
      <c r="F213" s="11">
        <f t="shared" si="40"/>
        <v>1000</v>
      </c>
      <c r="G213" s="104" t="s">
        <v>117</v>
      </c>
      <c r="H213" s="105" t="s">
        <v>28</v>
      </c>
      <c r="I213" s="106">
        <v>1000</v>
      </c>
      <c r="J213" s="107"/>
      <c r="K213" s="45"/>
    </row>
    <row r="214" spans="1:11" s="99" customFormat="1" ht="18.75" customHeight="1" x14ac:dyDescent="0.25">
      <c r="A214" s="100">
        <v>14</v>
      </c>
      <c r="B214" s="101" t="s">
        <v>118</v>
      </c>
      <c r="C214" s="102" t="s">
        <v>28</v>
      </c>
      <c r="D214" s="103">
        <v>300</v>
      </c>
      <c r="E214" s="11">
        <v>45</v>
      </c>
      <c r="F214" s="11">
        <f t="shared" si="40"/>
        <v>13500</v>
      </c>
      <c r="G214" s="104" t="s">
        <v>119</v>
      </c>
      <c r="H214" s="105" t="s">
        <v>28</v>
      </c>
      <c r="I214" s="106">
        <v>110</v>
      </c>
      <c r="J214" s="107"/>
      <c r="K214" s="45"/>
    </row>
    <row r="215" spans="1:11" s="99" customFormat="1" ht="18.75" customHeight="1" x14ac:dyDescent="0.25">
      <c r="A215" s="100">
        <v>15</v>
      </c>
      <c r="B215" s="101" t="s">
        <v>120</v>
      </c>
      <c r="C215" s="102" t="s">
        <v>95</v>
      </c>
      <c r="D215" s="103">
        <v>15</v>
      </c>
      <c r="E215" s="11">
        <v>100</v>
      </c>
      <c r="F215" s="11">
        <f t="shared" si="40"/>
        <v>1500</v>
      </c>
      <c r="G215" s="104" t="s">
        <v>121</v>
      </c>
      <c r="H215" s="105" t="s">
        <v>28</v>
      </c>
      <c r="I215" s="106">
        <v>100</v>
      </c>
      <c r="J215" s="107"/>
      <c r="K215" s="45"/>
    </row>
    <row r="216" spans="1:11" s="99" customFormat="1" ht="18.75" customHeight="1" x14ac:dyDescent="0.25">
      <c r="A216" s="100">
        <v>16</v>
      </c>
      <c r="B216" s="101" t="s">
        <v>122</v>
      </c>
      <c r="C216" s="102" t="s">
        <v>95</v>
      </c>
      <c r="D216" s="103">
        <v>1</v>
      </c>
      <c r="E216" s="11">
        <v>150</v>
      </c>
      <c r="F216" s="11">
        <f t="shared" si="40"/>
        <v>150</v>
      </c>
      <c r="G216" s="104" t="s">
        <v>123</v>
      </c>
      <c r="H216" s="105" t="s">
        <v>28</v>
      </c>
      <c r="I216" s="106">
        <v>15</v>
      </c>
      <c r="J216" s="107"/>
      <c r="K216" s="45"/>
    </row>
    <row r="217" spans="1:11" s="99" customFormat="1" ht="18.75" customHeight="1" x14ac:dyDescent="0.25">
      <c r="A217" s="100"/>
      <c r="B217" s="101"/>
      <c r="C217" s="103"/>
      <c r="D217" s="103"/>
      <c r="E217" s="11"/>
      <c r="F217" s="11"/>
      <c r="G217" s="104" t="s">
        <v>124</v>
      </c>
      <c r="H217" s="105" t="s">
        <v>28</v>
      </c>
      <c r="I217" s="106">
        <v>15</v>
      </c>
      <c r="J217" s="107"/>
      <c r="K217" s="45"/>
    </row>
    <row r="218" spans="1:11" s="99" customFormat="1" ht="18.75" customHeight="1" x14ac:dyDescent="0.25">
      <c r="A218" s="100"/>
      <c r="B218" s="101"/>
      <c r="C218" s="102"/>
      <c r="D218" s="103"/>
      <c r="E218" s="11"/>
      <c r="F218" s="11"/>
      <c r="G218" s="104" t="s">
        <v>125</v>
      </c>
      <c r="H218" s="105" t="s">
        <v>28</v>
      </c>
      <c r="I218" s="106">
        <v>120</v>
      </c>
      <c r="J218" s="107"/>
      <c r="K218" s="45"/>
    </row>
    <row r="219" spans="1:11" s="99" customFormat="1" ht="18.75" customHeight="1" x14ac:dyDescent="0.25">
      <c r="A219" s="100"/>
      <c r="B219" s="101"/>
      <c r="C219" s="102"/>
      <c r="D219" s="103"/>
      <c r="E219" s="11"/>
      <c r="F219" s="11"/>
      <c r="G219" s="104" t="s">
        <v>126</v>
      </c>
      <c r="H219" s="105" t="s">
        <v>28</v>
      </c>
      <c r="I219" s="106">
        <v>200</v>
      </c>
      <c r="J219" s="107"/>
      <c r="K219" s="45"/>
    </row>
    <row r="220" spans="1:11" s="99" customFormat="1" ht="18.75" customHeight="1" x14ac:dyDescent="0.25">
      <c r="A220" s="100"/>
      <c r="B220" s="101"/>
      <c r="C220" s="102"/>
      <c r="D220" s="103"/>
      <c r="E220" s="11"/>
      <c r="F220" s="11"/>
      <c r="G220" s="104" t="s">
        <v>127</v>
      </c>
      <c r="H220" s="105" t="s">
        <v>28</v>
      </c>
      <c r="I220" s="106">
        <v>30</v>
      </c>
      <c r="J220" s="107"/>
      <c r="K220" s="45"/>
    </row>
    <row r="221" spans="1:11" s="99" customFormat="1" ht="18.75" customHeight="1" x14ac:dyDescent="0.25">
      <c r="A221" s="100"/>
      <c r="B221" s="101"/>
      <c r="C221" s="102"/>
      <c r="D221" s="103"/>
      <c r="E221" s="11"/>
      <c r="F221" s="11"/>
      <c r="G221" s="104" t="s">
        <v>128</v>
      </c>
      <c r="H221" s="105" t="s">
        <v>28</v>
      </c>
      <c r="I221" s="106">
        <v>55</v>
      </c>
      <c r="J221" s="107"/>
      <c r="K221" s="45"/>
    </row>
    <row r="222" spans="1:11" s="99" customFormat="1" ht="18.75" customHeight="1" x14ac:dyDescent="0.25">
      <c r="A222" s="100"/>
      <c r="B222" s="101"/>
      <c r="C222" s="102"/>
      <c r="D222" s="103"/>
      <c r="E222" s="11"/>
      <c r="F222" s="11"/>
      <c r="G222" s="104" t="s">
        <v>129</v>
      </c>
      <c r="H222" s="105" t="s">
        <v>28</v>
      </c>
      <c r="I222" s="106">
        <v>55</v>
      </c>
      <c r="J222" s="107"/>
      <c r="K222" s="45"/>
    </row>
    <row r="223" spans="1:11" s="99" customFormat="1" ht="18.75" customHeight="1" x14ac:dyDescent="0.25">
      <c r="A223" s="100"/>
      <c r="B223" s="101"/>
      <c r="C223" s="102"/>
      <c r="D223" s="103"/>
      <c r="E223" s="11"/>
      <c r="F223" s="11"/>
      <c r="G223" s="104" t="s">
        <v>130</v>
      </c>
      <c r="H223" s="105" t="s">
        <v>28</v>
      </c>
      <c r="I223" s="106">
        <v>15</v>
      </c>
      <c r="J223" s="107"/>
      <c r="K223" s="45"/>
    </row>
    <row r="224" spans="1:11" s="99" customFormat="1" ht="18.75" customHeight="1" x14ac:dyDescent="0.25">
      <c r="A224" s="100"/>
      <c r="B224" s="101"/>
      <c r="C224" s="102"/>
      <c r="D224" s="103"/>
      <c r="E224" s="11"/>
      <c r="F224" s="11"/>
      <c r="G224" s="104" t="s">
        <v>131</v>
      </c>
      <c r="H224" s="105" t="s">
        <v>95</v>
      </c>
      <c r="I224" s="106">
        <v>1</v>
      </c>
      <c r="J224" s="107"/>
      <c r="K224" s="45"/>
    </row>
    <row r="225" spans="1:11" s="99" customFormat="1" ht="18.75" customHeight="1" x14ac:dyDescent="0.25">
      <c r="A225" s="100"/>
      <c r="B225" s="101"/>
      <c r="C225" s="102"/>
      <c r="D225" s="103"/>
      <c r="E225" s="11"/>
      <c r="F225" s="11"/>
      <c r="G225" s="104" t="s">
        <v>132</v>
      </c>
      <c r="H225" s="105" t="s">
        <v>28</v>
      </c>
      <c r="I225" s="106">
        <v>3500</v>
      </c>
      <c r="J225" s="107"/>
      <c r="K225" s="45"/>
    </row>
    <row r="226" spans="1:11" s="99" customFormat="1" ht="18.75" customHeight="1" x14ac:dyDescent="0.25">
      <c r="A226" s="100"/>
      <c r="B226" s="101"/>
      <c r="C226" s="102"/>
      <c r="D226" s="103"/>
      <c r="E226" s="11"/>
      <c r="F226" s="11"/>
      <c r="G226" s="104" t="s">
        <v>133</v>
      </c>
      <c r="H226" s="105" t="s">
        <v>28</v>
      </c>
      <c r="I226" s="106">
        <v>1500</v>
      </c>
      <c r="J226" s="107"/>
      <c r="K226" s="45"/>
    </row>
    <row r="227" spans="1:11" s="99" customFormat="1" ht="18.75" customHeight="1" x14ac:dyDescent="0.25">
      <c r="A227" s="100"/>
      <c r="B227" s="101"/>
      <c r="C227" s="102"/>
      <c r="D227" s="103"/>
      <c r="E227" s="11"/>
      <c r="F227" s="11"/>
      <c r="G227" s="104" t="s">
        <v>134</v>
      </c>
      <c r="H227" s="105" t="s">
        <v>28</v>
      </c>
      <c r="I227" s="106">
        <v>1500</v>
      </c>
      <c r="J227" s="107"/>
      <c r="K227" s="45"/>
    </row>
    <row r="228" spans="1:11" s="99" customFormat="1" ht="18.75" customHeight="1" x14ac:dyDescent="0.25">
      <c r="A228" s="100"/>
      <c r="B228" s="101"/>
      <c r="C228" s="102"/>
      <c r="D228" s="103"/>
      <c r="E228" s="11"/>
      <c r="F228" s="11"/>
      <c r="G228" s="104" t="s">
        <v>135</v>
      </c>
      <c r="H228" s="105" t="s">
        <v>28</v>
      </c>
      <c r="I228" s="106">
        <v>1000</v>
      </c>
      <c r="J228" s="107"/>
      <c r="K228" s="45"/>
    </row>
    <row r="229" spans="1:11" s="99" customFormat="1" ht="18.75" customHeight="1" x14ac:dyDescent="0.25">
      <c r="A229" s="100"/>
      <c r="B229" s="101"/>
      <c r="C229" s="102"/>
      <c r="D229" s="103"/>
      <c r="E229" s="11"/>
      <c r="F229" s="11"/>
      <c r="G229" s="104" t="s">
        <v>136</v>
      </c>
      <c r="H229" s="105" t="s">
        <v>28</v>
      </c>
      <c r="I229" s="106">
        <v>1000</v>
      </c>
      <c r="J229" s="107"/>
      <c r="K229" s="45"/>
    </row>
    <row r="230" spans="1:11" s="99" customFormat="1" ht="18.75" customHeight="1" x14ac:dyDescent="0.25">
      <c r="A230" s="100"/>
      <c r="B230" s="101"/>
      <c r="C230" s="102"/>
      <c r="D230" s="103"/>
      <c r="E230" s="11"/>
      <c r="F230" s="11"/>
      <c r="G230" s="104" t="s">
        <v>137</v>
      </c>
      <c r="H230" s="105" t="s">
        <v>28</v>
      </c>
      <c r="I230" s="106">
        <v>200</v>
      </c>
      <c r="J230" s="107"/>
      <c r="K230" s="45"/>
    </row>
    <row r="231" spans="1:11" s="99" customFormat="1" ht="18.75" customHeight="1" x14ac:dyDescent="0.25">
      <c r="A231" s="100"/>
      <c r="B231" s="101"/>
      <c r="C231" s="102"/>
      <c r="D231" s="103"/>
      <c r="E231" s="11"/>
      <c r="F231" s="11"/>
      <c r="G231" s="104" t="s">
        <v>138</v>
      </c>
      <c r="H231" s="105" t="s">
        <v>28</v>
      </c>
      <c r="I231" s="106">
        <v>100</v>
      </c>
      <c r="J231" s="107"/>
      <c r="K231" s="45"/>
    </row>
    <row r="232" spans="1:11" s="99" customFormat="1" ht="18.75" customHeight="1" x14ac:dyDescent="0.25">
      <c r="A232" s="100"/>
      <c r="B232" s="101"/>
      <c r="C232" s="102"/>
      <c r="D232" s="103"/>
      <c r="E232" s="11"/>
      <c r="F232" s="11"/>
      <c r="G232" s="104" t="s">
        <v>139</v>
      </c>
      <c r="H232" s="105" t="s">
        <v>28</v>
      </c>
      <c r="I232" s="106">
        <v>70</v>
      </c>
      <c r="J232" s="107"/>
      <c r="K232" s="45"/>
    </row>
    <row r="233" spans="1:11" s="99" customFormat="1" ht="18.75" customHeight="1" x14ac:dyDescent="0.25">
      <c r="A233" s="100"/>
      <c r="B233" s="101"/>
      <c r="C233" s="102"/>
      <c r="D233" s="103"/>
      <c r="E233" s="11"/>
      <c r="F233" s="11"/>
      <c r="G233" s="104" t="s">
        <v>140</v>
      </c>
      <c r="H233" s="105" t="s">
        <v>28</v>
      </c>
      <c r="I233" s="106">
        <v>60</v>
      </c>
      <c r="J233" s="107"/>
      <c r="K233" s="45"/>
    </row>
    <row r="234" spans="1:11" s="99" customFormat="1" ht="18.75" customHeight="1" x14ac:dyDescent="0.25">
      <c r="A234" s="100"/>
      <c r="B234" s="101"/>
      <c r="C234" s="102"/>
      <c r="D234" s="103"/>
      <c r="E234" s="11"/>
      <c r="F234" s="11"/>
      <c r="G234" s="108" t="s">
        <v>141</v>
      </c>
      <c r="H234" s="109" t="s">
        <v>95</v>
      </c>
      <c r="I234" s="110">
        <v>1</v>
      </c>
      <c r="J234" s="111"/>
      <c r="K234" s="112"/>
    </row>
    <row r="235" spans="1:11" s="99" customFormat="1" ht="18.75" customHeight="1" x14ac:dyDescent="0.25">
      <c r="A235" s="100"/>
      <c r="B235" s="101"/>
      <c r="C235" s="102"/>
      <c r="D235" s="103"/>
      <c r="E235" s="11"/>
      <c r="F235" s="11"/>
      <c r="G235" s="108" t="s">
        <v>142</v>
      </c>
      <c r="H235" s="109" t="s">
        <v>95</v>
      </c>
      <c r="I235" s="110">
        <v>1</v>
      </c>
      <c r="J235" s="111"/>
      <c r="K235" s="112"/>
    </row>
    <row r="236" spans="1:11" s="99" customFormat="1" ht="18.75" customHeight="1" x14ac:dyDescent="0.25">
      <c r="A236" s="100"/>
      <c r="B236" s="101"/>
      <c r="C236" s="102"/>
      <c r="D236" s="103"/>
      <c r="E236" s="11"/>
      <c r="F236" s="11"/>
      <c r="G236" s="108" t="s">
        <v>143</v>
      </c>
      <c r="H236" s="109" t="s">
        <v>95</v>
      </c>
      <c r="I236" s="110">
        <v>1</v>
      </c>
      <c r="J236" s="111"/>
      <c r="K236" s="112"/>
    </row>
    <row r="237" spans="1:11" s="99" customFormat="1" ht="18.75" customHeight="1" x14ac:dyDescent="0.25">
      <c r="A237" s="100"/>
      <c r="B237" s="101"/>
      <c r="C237" s="102"/>
      <c r="D237" s="103"/>
      <c r="E237" s="11"/>
      <c r="F237" s="11"/>
      <c r="G237" s="104" t="s">
        <v>144</v>
      </c>
      <c r="H237" s="105" t="s">
        <v>95</v>
      </c>
      <c r="I237" s="106">
        <v>70</v>
      </c>
      <c r="J237" s="107"/>
      <c r="K237" s="45"/>
    </row>
    <row r="238" spans="1:11" s="99" customFormat="1" ht="18.75" customHeight="1" x14ac:dyDescent="0.25">
      <c r="A238" s="100"/>
      <c r="B238" s="101"/>
      <c r="C238" s="102"/>
      <c r="D238" s="103"/>
      <c r="E238" s="11"/>
      <c r="F238" s="11"/>
      <c r="G238" s="104" t="s">
        <v>145</v>
      </c>
      <c r="H238" s="105" t="s">
        <v>95</v>
      </c>
      <c r="I238" s="106">
        <v>200</v>
      </c>
      <c r="J238" s="107"/>
      <c r="K238" s="45"/>
    </row>
    <row r="239" spans="1:11" s="99" customFormat="1" ht="18.75" customHeight="1" x14ac:dyDescent="0.25">
      <c r="A239" s="100"/>
      <c r="B239" s="101"/>
      <c r="C239" s="102"/>
      <c r="D239" s="103"/>
      <c r="E239" s="11"/>
      <c r="F239" s="11"/>
      <c r="G239" s="104" t="s">
        <v>146</v>
      </c>
      <c r="H239" s="105" t="s">
        <v>95</v>
      </c>
      <c r="I239" s="106">
        <v>110</v>
      </c>
      <c r="J239" s="107"/>
      <c r="K239" s="45"/>
    </row>
    <row r="240" spans="1:11" s="99" customFormat="1" ht="18.75" customHeight="1" x14ac:dyDescent="0.25">
      <c r="A240" s="100"/>
      <c r="B240" s="101"/>
      <c r="C240" s="102"/>
      <c r="D240" s="103"/>
      <c r="E240" s="11"/>
      <c r="F240" s="11"/>
      <c r="G240" s="104" t="s">
        <v>147</v>
      </c>
      <c r="H240" s="105" t="s">
        <v>95</v>
      </c>
      <c r="I240" s="106">
        <v>5</v>
      </c>
      <c r="J240" s="107"/>
      <c r="K240" s="45"/>
    </row>
    <row r="241" spans="1:11" s="99" customFormat="1" ht="18.75" customHeight="1" x14ac:dyDescent="0.25">
      <c r="A241" s="100">
        <v>17</v>
      </c>
      <c r="B241" s="101" t="s">
        <v>233</v>
      </c>
      <c r="C241" s="102" t="s">
        <v>18</v>
      </c>
      <c r="D241" s="103">
        <v>58</v>
      </c>
      <c r="E241" s="11">
        <v>60</v>
      </c>
      <c r="F241" s="11">
        <f t="shared" ref="F241:F261" si="41">D241*E241</f>
        <v>3480</v>
      </c>
      <c r="G241" s="101" t="s">
        <v>232</v>
      </c>
      <c r="H241" s="105" t="s">
        <v>18</v>
      </c>
      <c r="I241" s="106">
        <v>58</v>
      </c>
      <c r="J241" s="107"/>
      <c r="K241" s="45"/>
    </row>
    <row r="242" spans="1:11" s="99" customFormat="1" ht="18.75" customHeight="1" x14ac:dyDescent="0.25">
      <c r="A242" s="100">
        <v>18</v>
      </c>
      <c r="B242" s="101" t="s">
        <v>148</v>
      </c>
      <c r="C242" s="102" t="s">
        <v>149</v>
      </c>
      <c r="D242" s="103">
        <f>195.773+57.29</f>
        <v>253.06299999999999</v>
      </c>
      <c r="E242" s="11">
        <v>140</v>
      </c>
      <c r="F242" s="11">
        <f t="shared" si="41"/>
        <v>35428.82</v>
      </c>
      <c r="G242" s="104" t="s">
        <v>150</v>
      </c>
      <c r="H242" s="105" t="s">
        <v>149</v>
      </c>
      <c r="I242" s="106">
        <f>D242</f>
        <v>253.06299999999999</v>
      </c>
      <c r="J242" s="107"/>
      <c r="K242" s="45"/>
    </row>
    <row r="243" spans="1:11" s="99" customFormat="1" ht="18.75" customHeight="1" x14ac:dyDescent="0.25">
      <c r="A243" s="100">
        <v>19</v>
      </c>
      <c r="B243" s="101" t="s">
        <v>151</v>
      </c>
      <c r="C243" s="102" t="s">
        <v>18</v>
      </c>
      <c r="D243" s="103">
        <v>109</v>
      </c>
      <c r="E243" s="11">
        <v>60</v>
      </c>
      <c r="F243" s="11">
        <f t="shared" si="41"/>
        <v>6540</v>
      </c>
      <c r="G243" s="104" t="s">
        <v>152</v>
      </c>
      <c r="H243" s="105" t="s">
        <v>18</v>
      </c>
      <c r="I243" s="106">
        <f>D243</f>
        <v>109</v>
      </c>
      <c r="J243" s="107"/>
      <c r="K243" s="45"/>
    </row>
    <row r="244" spans="1:11" s="99" customFormat="1" ht="18.75" customHeight="1" x14ac:dyDescent="0.25">
      <c r="A244" s="153" t="s">
        <v>43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5"/>
    </row>
    <row r="245" spans="1:11" s="99" customFormat="1" ht="18.75" customHeight="1" x14ac:dyDescent="0.25">
      <c r="A245" s="100">
        <v>1</v>
      </c>
      <c r="B245" s="101" t="s">
        <v>153</v>
      </c>
      <c r="C245" s="102" t="s">
        <v>28</v>
      </c>
      <c r="D245" s="103">
        <v>30</v>
      </c>
      <c r="E245" s="11">
        <v>60</v>
      </c>
      <c r="F245" s="11">
        <f t="shared" si="41"/>
        <v>1800</v>
      </c>
      <c r="G245" s="104" t="s">
        <v>154</v>
      </c>
      <c r="H245" s="105" t="s">
        <v>155</v>
      </c>
      <c r="I245" s="106">
        <v>1</v>
      </c>
      <c r="J245" s="107"/>
      <c r="K245" s="45"/>
    </row>
    <row r="246" spans="1:11" s="99" customFormat="1" ht="18.75" customHeight="1" x14ac:dyDescent="0.25">
      <c r="A246" s="100">
        <v>2</v>
      </c>
      <c r="B246" s="101" t="s">
        <v>156</v>
      </c>
      <c r="C246" s="102" t="s">
        <v>28</v>
      </c>
      <c r="D246" s="103">
        <v>18</v>
      </c>
      <c r="E246" s="11">
        <v>45</v>
      </c>
      <c r="F246" s="11">
        <f t="shared" si="41"/>
        <v>810</v>
      </c>
      <c r="G246" s="104" t="s">
        <v>157</v>
      </c>
      <c r="H246" s="105" t="s">
        <v>158</v>
      </c>
      <c r="I246" s="106">
        <v>8</v>
      </c>
      <c r="J246" s="107"/>
      <c r="K246" s="45"/>
    </row>
    <row r="247" spans="1:11" s="99" customFormat="1" ht="18.75" customHeight="1" x14ac:dyDescent="0.25">
      <c r="A247" s="100">
        <v>3</v>
      </c>
      <c r="B247" s="101" t="s">
        <v>159</v>
      </c>
      <c r="C247" s="102" t="s">
        <v>28</v>
      </c>
      <c r="D247" s="103">
        <v>12</v>
      </c>
      <c r="E247" s="11">
        <v>70</v>
      </c>
      <c r="F247" s="11">
        <f t="shared" si="41"/>
        <v>840</v>
      </c>
      <c r="G247" s="104" t="s">
        <v>160</v>
      </c>
      <c r="H247" s="105" t="s">
        <v>18</v>
      </c>
      <c r="I247" s="106">
        <v>2</v>
      </c>
      <c r="J247" s="107"/>
      <c r="K247" s="45"/>
    </row>
    <row r="248" spans="1:11" s="99" customFormat="1" ht="18.75" customHeight="1" x14ac:dyDescent="0.25">
      <c r="A248" s="100">
        <v>4</v>
      </c>
      <c r="B248" s="101" t="s">
        <v>161</v>
      </c>
      <c r="C248" s="102" t="s">
        <v>28</v>
      </c>
      <c r="D248" s="103">
        <v>30</v>
      </c>
      <c r="E248" s="11">
        <v>20</v>
      </c>
      <c r="F248" s="11">
        <f t="shared" si="41"/>
        <v>600</v>
      </c>
      <c r="G248" s="104" t="s">
        <v>162</v>
      </c>
      <c r="H248" s="105" t="s">
        <v>18</v>
      </c>
      <c r="I248" s="106">
        <v>2</v>
      </c>
      <c r="J248" s="107"/>
      <c r="K248" s="45"/>
    </row>
    <row r="249" spans="1:11" s="99" customFormat="1" ht="18.75" customHeight="1" x14ac:dyDescent="0.25">
      <c r="A249" s="100">
        <v>5</v>
      </c>
      <c r="B249" s="101" t="s">
        <v>163</v>
      </c>
      <c r="C249" s="102" t="s">
        <v>18</v>
      </c>
      <c r="D249" s="103">
        <v>2</v>
      </c>
      <c r="E249" s="11">
        <v>900</v>
      </c>
      <c r="F249" s="11">
        <f t="shared" si="41"/>
        <v>1800</v>
      </c>
      <c r="G249" s="104"/>
      <c r="H249" s="105"/>
      <c r="I249" s="106"/>
      <c r="J249" s="107"/>
      <c r="K249" s="45"/>
    </row>
    <row r="250" spans="1:11" s="99" customFormat="1" ht="18.75" customHeight="1" x14ac:dyDescent="0.25">
      <c r="A250" s="100">
        <v>6</v>
      </c>
      <c r="B250" s="101" t="s">
        <v>164</v>
      </c>
      <c r="C250" s="102" t="s">
        <v>165</v>
      </c>
      <c r="D250" s="103">
        <v>1</v>
      </c>
      <c r="E250" s="11">
        <v>350</v>
      </c>
      <c r="F250" s="11">
        <f t="shared" si="41"/>
        <v>350</v>
      </c>
      <c r="G250" s="104"/>
      <c r="H250" s="105"/>
      <c r="I250" s="106"/>
      <c r="J250" s="107"/>
      <c r="K250" s="45"/>
    </row>
    <row r="251" spans="1:11" s="99" customFormat="1" ht="18.75" customHeight="1" x14ac:dyDescent="0.25">
      <c r="A251" s="100">
        <v>7</v>
      </c>
      <c r="B251" s="101" t="s">
        <v>166</v>
      </c>
      <c r="C251" s="102" t="s">
        <v>167</v>
      </c>
      <c r="D251" s="103">
        <v>2</v>
      </c>
      <c r="E251" s="11">
        <v>200</v>
      </c>
      <c r="F251" s="11">
        <f t="shared" si="41"/>
        <v>400</v>
      </c>
      <c r="G251" s="104"/>
      <c r="H251" s="105"/>
      <c r="I251" s="106"/>
      <c r="J251" s="107"/>
      <c r="K251" s="45"/>
    </row>
    <row r="252" spans="1:11" s="99" customFormat="1" ht="18.75" customHeight="1" x14ac:dyDescent="0.25">
      <c r="A252" s="100">
        <v>8</v>
      </c>
      <c r="B252" s="101" t="s">
        <v>168</v>
      </c>
      <c r="C252" s="102" t="s">
        <v>167</v>
      </c>
      <c r="D252" s="103">
        <v>2</v>
      </c>
      <c r="E252" s="11">
        <v>200</v>
      </c>
      <c r="F252" s="11">
        <f t="shared" si="41"/>
        <v>400</v>
      </c>
      <c r="G252" s="104"/>
      <c r="H252" s="105"/>
      <c r="I252" s="106"/>
      <c r="J252" s="107"/>
      <c r="K252" s="45"/>
    </row>
    <row r="253" spans="1:11" s="99" customFormat="1" ht="18.75" customHeight="1" x14ac:dyDescent="0.25">
      <c r="A253" s="100">
        <v>10</v>
      </c>
      <c r="B253" s="101" t="s">
        <v>169</v>
      </c>
      <c r="C253" s="102" t="s">
        <v>18</v>
      </c>
      <c r="D253" s="103">
        <v>1</v>
      </c>
      <c r="E253" s="11">
        <v>800</v>
      </c>
      <c r="F253" s="11">
        <f t="shared" si="41"/>
        <v>800</v>
      </c>
      <c r="G253" s="104" t="s">
        <v>241</v>
      </c>
      <c r="H253" s="105" t="s">
        <v>18</v>
      </c>
      <c r="I253" s="106">
        <v>1</v>
      </c>
      <c r="J253" s="107"/>
      <c r="K253" s="45"/>
    </row>
    <row r="254" spans="1:11" s="99" customFormat="1" ht="18.75" customHeight="1" x14ac:dyDescent="0.25">
      <c r="A254" s="100">
        <v>11</v>
      </c>
      <c r="B254" s="101" t="s">
        <v>170</v>
      </c>
      <c r="C254" s="102" t="s">
        <v>18</v>
      </c>
      <c r="D254" s="103">
        <v>10</v>
      </c>
      <c r="E254" s="11">
        <v>70</v>
      </c>
      <c r="F254" s="11">
        <f t="shared" si="41"/>
        <v>700</v>
      </c>
      <c r="G254" s="104"/>
      <c r="H254" s="105"/>
      <c r="I254" s="106"/>
      <c r="J254" s="107"/>
      <c r="K254" s="45"/>
    </row>
    <row r="255" spans="1:11" s="99" customFormat="1" ht="18.75" customHeight="1" x14ac:dyDescent="0.25">
      <c r="A255" s="100">
        <v>12</v>
      </c>
      <c r="B255" s="101" t="s">
        <v>171</v>
      </c>
      <c r="C255" s="102" t="s">
        <v>18</v>
      </c>
      <c r="D255" s="103">
        <v>2</v>
      </c>
      <c r="E255" s="11">
        <v>450</v>
      </c>
      <c r="F255" s="11">
        <f t="shared" si="41"/>
        <v>900</v>
      </c>
      <c r="G255" s="104" t="s">
        <v>236</v>
      </c>
      <c r="H255" s="105" t="s">
        <v>18</v>
      </c>
      <c r="I255" s="106">
        <v>2</v>
      </c>
      <c r="J255" s="107"/>
      <c r="K255" s="45"/>
    </row>
    <row r="256" spans="1:11" s="99" customFormat="1" ht="18.75" customHeight="1" x14ac:dyDescent="0.25">
      <c r="A256" s="100">
        <v>13</v>
      </c>
      <c r="B256" s="101" t="s">
        <v>172</v>
      </c>
      <c r="C256" s="102" t="s">
        <v>18</v>
      </c>
      <c r="D256" s="103">
        <v>2</v>
      </c>
      <c r="E256" s="11">
        <v>350</v>
      </c>
      <c r="F256" s="11">
        <f t="shared" si="41"/>
        <v>700</v>
      </c>
      <c r="G256" s="104" t="s">
        <v>237</v>
      </c>
      <c r="H256" s="105" t="s">
        <v>18</v>
      </c>
      <c r="I256" s="106">
        <v>2</v>
      </c>
      <c r="J256" s="107"/>
      <c r="K256" s="45"/>
    </row>
    <row r="257" spans="1:354" s="99" customFormat="1" ht="18.75" customHeight="1" x14ac:dyDescent="0.25">
      <c r="A257" s="100">
        <v>14</v>
      </c>
      <c r="B257" s="101" t="s">
        <v>173</v>
      </c>
      <c r="C257" s="102" t="s">
        <v>18</v>
      </c>
      <c r="D257" s="103">
        <v>2</v>
      </c>
      <c r="E257" s="11">
        <v>400</v>
      </c>
      <c r="F257" s="11">
        <f t="shared" si="41"/>
        <v>800</v>
      </c>
      <c r="G257" s="104" t="s">
        <v>166</v>
      </c>
      <c r="H257" s="105" t="s">
        <v>18</v>
      </c>
      <c r="I257" s="106">
        <v>2</v>
      </c>
      <c r="J257" s="107"/>
      <c r="K257" s="45"/>
    </row>
    <row r="258" spans="1:354" s="99" customFormat="1" ht="18.75" customHeight="1" x14ac:dyDescent="0.25">
      <c r="A258" s="100">
        <v>15</v>
      </c>
      <c r="B258" s="101" t="s">
        <v>174</v>
      </c>
      <c r="C258" s="102" t="s">
        <v>18</v>
      </c>
      <c r="D258" s="103">
        <v>2</v>
      </c>
      <c r="E258" s="11">
        <v>50</v>
      </c>
      <c r="F258" s="11">
        <f t="shared" si="41"/>
        <v>100</v>
      </c>
      <c r="G258" s="104"/>
      <c r="H258" s="105"/>
      <c r="I258" s="106"/>
      <c r="J258" s="107"/>
      <c r="K258" s="45"/>
    </row>
    <row r="259" spans="1:354" s="99" customFormat="1" ht="18.75" customHeight="1" x14ac:dyDescent="0.25">
      <c r="A259" s="100">
        <v>16</v>
      </c>
      <c r="B259" s="101" t="s">
        <v>175</v>
      </c>
      <c r="C259" s="102" t="s">
        <v>18</v>
      </c>
      <c r="D259" s="103">
        <v>22</v>
      </c>
      <c r="E259" s="11">
        <v>90</v>
      </c>
      <c r="F259" s="11">
        <f t="shared" si="41"/>
        <v>1980</v>
      </c>
      <c r="G259" s="104" t="s">
        <v>238</v>
      </c>
      <c r="H259" s="105" t="s">
        <v>18</v>
      </c>
      <c r="I259" s="106">
        <v>22</v>
      </c>
      <c r="J259" s="107"/>
      <c r="K259" s="45"/>
    </row>
    <row r="260" spans="1:354" s="99" customFormat="1" ht="18.75" customHeight="1" x14ac:dyDescent="0.25">
      <c r="A260" s="100">
        <v>17</v>
      </c>
      <c r="B260" s="101" t="s">
        <v>176</v>
      </c>
      <c r="C260" s="102" t="s">
        <v>18</v>
      </c>
      <c r="D260" s="103">
        <v>2</v>
      </c>
      <c r="E260" s="11">
        <v>90</v>
      </c>
      <c r="F260" s="11">
        <f t="shared" si="41"/>
        <v>180</v>
      </c>
      <c r="G260" s="104" t="s">
        <v>239</v>
      </c>
      <c r="H260" s="105" t="s">
        <v>18</v>
      </c>
      <c r="I260" s="106">
        <v>2</v>
      </c>
      <c r="J260" s="107"/>
      <c r="K260" s="45"/>
    </row>
    <row r="261" spans="1:354" s="99" customFormat="1" ht="18.75" customHeight="1" x14ac:dyDescent="0.25">
      <c r="A261" s="100">
        <v>18</v>
      </c>
      <c r="B261" s="101" t="s">
        <v>177</v>
      </c>
      <c r="C261" s="102" t="s">
        <v>18</v>
      </c>
      <c r="D261" s="103">
        <v>2</v>
      </c>
      <c r="E261" s="11">
        <v>180</v>
      </c>
      <c r="F261" s="11">
        <f t="shared" si="41"/>
        <v>360</v>
      </c>
      <c r="G261" s="104" t="s">
        <v>240</v>
      </c>
      <c r="H261" s="105" t="s">
        <v>18</v>
      </c>
      <c r="I261" s="106">
        <v>2</v>
      </c>
      <c r="J261" s="107"/>
      <c r="K261" s="45"/>
    </row>
    <row r="262" spans="1:354" s="2" customFormat="1" ht="18.75" customHeight="1" x14ac:dyDescent="0.25">
      <c r="A262" s="153" t="s">
        <v>33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5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</row>
    <row r="263" spans="1:354" s="2" customFormat="1" ht="56.25" customHeight="1" x14ac:dyDescent="0.25">
      <c r="A263" s="8">
        <v>1</v>
      </c>
      <c r="B263" s="52" t="s">
        <v>207</v>
      </c>
      <c r="C263" s="10" t="s">
        <v>208</v>
      </c>
      <c r="D263" s="58">
        <v>1</v>
      </c>
      <c r="E263" s="128"/>
      <c r="F263" s="128"/>
      <c r="G263" s="13"/>
      <c r="H263" s="10"/>
      <c r="I263" s="58"/>
      <c r="J263" s="11"/>
      <c r="K263" s="12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  <c r="MO263" s="3"/>
      <c r="MP263" s="3"/>
    </row>
    <row r="264" spans="1:354" s="2" customFormat="1" ht="18.75" customHeight="1" x14ac:dyDescent="0.25">
      <c r="A264" s="153" t="s">
        <v>33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5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</row>
    <row r="265" spans="1:354" s="2" customFormat="1" ht="18.75" customHeight="1" x14ac:dyDescent="0.25">
      <c r="A265" s="8"/>
      <c r="B265" s="52"/>
      <c r="C265" s="10"/>
      <c r="D265" s="58"/>
      <c r="E265" s="11"/>
      <c r="F265" s="11"/>
      <c r="G265" s="13" t="s">
        <v>36</v>
      </c>
      <c r="H265" s="10" t="s">
        <v>5</v>
      </c>
      <c r="I265" s="58">
        <f>1.1*D265</f>
        <v>0</v>
      </c>
      <c r="J265" s="11"/>
      <c r="K265" s="12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</row>
    <row r="266" spans="1:354" s="2" customFormat="1" ht="18.75" customHeight="1" x14ac:dyDescent="0.25">
      <c r="A266" s="8"/>
      <c r="B266" s="52"/>
      <c r="C266" s="10"/>
      <c r="D266" s="58"/>
      <c r="E266" s="11"/>
      <c r="F266" s="11"/>
      <c r="G266" s="13"/>
      <c r="H266" s="10"/>
      <c r="I266" s="58"/>
      <c r="J266" s="11"/>
      <c r="K266" s="12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</row>
    <row r="267" spans="1:354" s="2" customFormat="1" ht="18.75" customHeight="1" x14ac:dyDescent="0.25">
      <c r="A267" s="8">
        <v>3</v>
      </c>
      <c r="B267" s="52" t="s">
        <v>34</v>
      </c>
      <c r="C267" s="10" t="s">
        <v>35</v>
      </c>
      <c r="D267" s="135">
        <v>60</v>
      </c>
      <c r="E267" s="11">
        <v>550</v>
      </c>
      <c r="F267" s="11">
        <f t="shared" ref="F267" si="42">D267*E267</f>
        <v>33000</v>
      </c>
      <c r="G267" s="13"/>
      <c r="H267" s="10"/>
      <c r="I267" s="58"/>
      <c r="J267" s="11"/>
      <c r="K267" s="12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</row>
    <row r="268" spans="1:354" s="2" customFormat="1" ht="18.75" customHeight="1" x14ac:dyDescent="0.25">
      <c r="A268" s="8"/>
      <c r="B268" s="52"/>
      <c r="C268" s="10"/>
      <c r="D268" s="58"/>
      <c r="E268" s="11"/>
      <c r="F268" s="11"/>
      <c r="G268" s="13" t="s">
        <v>37</v>
      </c>
      <c r="H268" s="10" t="s">
        <v>18</v>
      </c>
      <c r="I268" s="58">
        <f>D268*5000/25</f>
        <v>0</v>
      </c>
      <c r="J268" s="11"/>
      <c r="K268" s="12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</row>
    <row r="269" spans="1:354" s="2" customFormat="1" ht="18.75" customHeight="1" x14ac:dyDescent="0.3">
      <c r="A269" s="14"/>
      <c r="B269" s="15" t="s">
        <v>6</v>
      </c>
      <c r="C269" s="74"/>
      <c r="D269" s="59"/>
      <c r="E269" s="59"/>
      <c r="F269" s="59">
        <f>SUM(F10:F268)</f>
        <v>629705.42049999989</v>
      </c>
      <c r="G269" s="16" t="s">
        <v>7</v>
      </c>
      <c r="H269" s="95"/>
      <c r="I269" s="59"/>
      <c r="J269" s="59"/>
      <c r="K269" s="59">
        <f>SUM(K9:K268)</f>
        <v>0</v>
      </c>
      <c r="M269" s="144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3"/>
      <c r="JS269" s="3"/>
      <c r="JT269" s="3"/>
      <c r="JU269" s="3"/>
      <c r="JV269" s="3"/>
      <c r="JW269" s="3"/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/>
      <c r="MD269" s="3"/>
      <c r="ME269" s="3"/>
      <c r="MF269" s="3"/>
      <c r="MG269" s="3"/>
      <c r="MH269" s="3"/>
      <c r="MI269" s="3"/>
      <c r="MJ269" s="3"/>
      <c r="MK269" s="3"/>
      <c r="ML269" s="3"/>
      <c r="MM269" s="3"/>
      <c r="MN269" s="3"/>
      <c r="MO269" s="3"/>
      <c r="MP269" s="3"/>
    </row>
    <row r="270" spans="1:354" ht="18.75" customHeight="1" x14ac:dyDescent="0.35">
      <c r="A270" s="14"/>
      <c r="B270" s="17"/>
      <c r="C270" s="18"/>
      <c r="D270" s="19"/>
      <c r="E270" s="20"/>
      <c r="F270" s="113"/>
      <c r="G270" s="22"/>
      <c r="H270" s="53"/>
      <c r="I270" s="19"/>
      <c r="J270" s="20"/>
      <c r="K270" s="114"/>
      <c r="M270" s="145"/>
    </row>
    <row r="271" spans="1:354" ht="18.75" customHeight="1" thickBot="1" x14ac:dyDescent="0.3">
      <c r="A271" s="33"/>
      <c r="B271" s="34"/>
      <c r="C271" s="35"/>
      <c r="D271" s="36"/>
      <c r="E271" s="37"/>
      <c r="F271" s="21"/>
      <c r="G271" s="38"/>
      <c r="H271" s="54"/>
      <c r="I271" s="36"/>
      <c r="J271" s="37"/>
      <c r="K271" s="115"/>
    </row>
    <row r="272" spans="1:354" ht="18.75" customHeight="1" x14ac:dyDescent="0.25">
      <c r="A272" s="39"/>
      <c r="B272" s="40"/>
      <c r="C272" s="75"/>
      <c r="D272" s="60"/>
      <c r="E272" s="60"/>
      <c r="F272" s="41"/>
      <c r="G272" s="64"/>
      <c r="H272" s="96"/>
      <c r="I272" s="64"/>
      <c r="J272" s="64"/>
      <c r="K272" s="66"/>
    </row>
    <row r="273" spans="1:354" ht="18.75" customHeight="1" thickBot="1" x14ac:dyDescent="0.3">
      <c r="A273" s="82"/>
      <c r="B273" s="83"/>
      <c r="C273" s="84"/>
      <c r="D273" s="85"/>
      <c r="E273" s="85"/>
      <c r="F273" s="86"/>
      <c r="G273" s="87"/>
      <c r="H273" s="97"/>
      <c r="I273" s="87"/>
      <c r="J273" s="87"/>
      <c r="K273" s="88"/>
    </row>
    <row r="274" spans="1:354" ht="18.75" customHeight="1" thickBot="1" x14ac:dyDescent="0.3">
      <c r="B274" s="77"/>
      <c r="C274" s="76"/>
      <c r="D274" s="61"/>
      <c r="E274" s="61"/>
      <c r="F274" s="61"/>
      <c r="G274" s="72"/>
      <c r="H274" s="76"/>
      <c r="I274" s="61"/>
      <c r="J274" s="61"/>
      <c r="K274" s="61"/>
    </row>
    <row r="275" spans="1:354" ht="18.75" customHeigh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1"/>
    </row>
    <row r="276" spans="1:354" ht="18.75" customHeight="1" thickBot="1" x14ac:dyDescent="0.3">
      <c r="B276" s="79"/>
      <c r="C276" s="80"/>
      <c r="D276" s="80"/>
      <c r="E276" s="80"/>
      <c r="F276" s="80"/>
      <c r="G276" s="80"/>
      <c r="H276" s="80"/>
      <c r="I276" s="80"/>
      <c r="J276" s="80"/>
      <c r="K276" s="81"/>
    </row>
    <row r="277" spans="1:354" ht="18.75" customHeight="1" x14ac:dyDescent="0.25">
      <c r="B277" s="78"/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1:354" s="2" customFormat="1" ht="18.75" customHeight="1" x14ac:dyDescent="0.25">
      <c r="A278" s="23"/>
      <c r="B278" s="24" t="s">
        <v>8</v>
      </c>
      <c r="C278" s="25"/>
      <c r="D278" s="26"/>
      <c r="E278" s="27"/>
      <c r="F278" s="28"/>
      <c r="G278" s="24" t="s">
        <v>9</v>
      </c>
      <c r="H278" s="29"/>
      <c r="I278" s="30"/>
      <c r="J278" s="61"/>
      <c r="K278" s="67">
        <f>F272/230/27</f>
        <v>0</v>
      </c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</row>
    <row r="279" spans="1:354" s="2" customFormat="1" ht="18.75" customHeight="1" x14ac:dyDescent="0.25">
      <c r="A279" s="23"/>
      <c r="B279" s="31" t="s">
        <v>10</v>
      </c>
      <c r="C279" s="25"/>
      <c r="D279" s="26"/>
      <c r="E279" s="27"/>
      <c r="F279" s="28"/>
      <c r="G279" s="24"/>
      <c r="H279" s="29"/>
      <c r="I279" s="30"/>
      <c r="J279" s="68"/>
      <c r="K279" s="68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</row>
    <row r="280" spans="1:354" s="2" customFormat="1" ht="18.75" customHeight="1" x14ac:dyDescent="0.25">
      <c r="A280" s="23"/>
      <c r="B280" s="24"/>
      <c r="C280" s="25"/>
      <c r="D280" s="26"/>
      <c r="E280" s="27"/>
      <c r="F280" s="28"/>
      <c r="G280" s="24"/>
      <c r="H280" s="29"/>
      <c r="I280" s="30"/>
      <c r="J280" s="61" t="s">
        <v>11</v>
      </c>
      <c r="K280" s="61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</row>
    <row r="281" spans="1:354" s="2" customFormat="1" ht="18.75" customHeight="1" x14ac:dyDescent="0.3">
      <c r="A281" s="23"/>
      <c r="B281" s="152" t="s">
        <v>12</v>
      </c>
      <c r="C281" s="152"/>
      <c r="D281" s="152"/>
      <c r="E281" s="152"/>
      <c r="F281" s="56"/>
      <c r="G281" s="73" t="s">
        <v>13</v>
      </c>
      <c r="H281" s="29"/>
      <c r="I281" s="30"/>
      <c r="J281" s="61"/>
      <c r="K281" s="61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</row>
    <row r="282" spans="1:354" s="2" customFormat="1" ht="18.75" customHeight="1" x14ac:dyDescent="0.25">
      <c r="A282" s="23"/>
      <c r="B282" s="24"/>
      <c r="C282" s="25"/>
      <c r="D282" s="26"/>
      <c r="E282" s="27"/>
      <c r="F282" s="28"/>
      <c r="G282" s="24"/>
      <c r="H282" s="23"/>
      <c r="I282" s="32"/>
      <c r="J282" s="69"/>
      <c r="K282" s="69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</row>
    <row r="283" spans="1:354" ht="18.75" customHeight="1" x14ac:dyDescent="0.25"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</row>
    <row r="284" spans="1:354" ht="18.75" customHeight="1" x14ac:dyDescent="0.25"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</row>
    <row r="285" spans="1:354" ht="18.75" customHeight="1" x14ac:dyDescent="0.25"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</row>
  </sheetData>
  <autoFilter ref="A8:K273" xr:uid="{00000000-0009-0000-0000-000000000000}"/>
  <mergeCells count="16">
    <mergeCell ref="L188:M188"/>
    <mergeCell ref="B283:K283"/>
    <mergeCell ref="B284:K284"/>
    <mergeCell ref="B285:K285"/>
    <mergeCell ref="B275:K275"/>
    <mergeCell ref="C4:J5"/>
    <mergeCell ref="C6:D6"/>
    <mergeCell ref="A9:K9"/>
    <mergeCell ref="B281:E281"/>
    <mergeCell ref="A22:K22"/>
    <mergeCell ref="A93:K93"/>
    <mergeCell ref="A177:K177"/>
    <mergeCell ref="A264:K264"/>
    <mergeCell ref="A200:K200"/>
    <mergeCell ref="A244:K244"/>
    <mergeCell ref="A262:K262"/>
  </mergeCells>
  <conditionalFormatting sqref="F28">
    <cfRule type="cellIs" dxfId="9" priority="16" operator="equal">
      <formula>0</formula>
    </cfRule>
  </conditionalFormatting>
  <conditionalFormatting sqref="F37">
    <cfRule type="cellIs" dxfId="8" priority="15" operator="equal">
      <formula>0</formula>
    </cfRule>
  </conditionalFormatting>
  <conditionalFormatting sqref="F95">
    <cfRule type="cellIs" dxfId="7" priority="14" operator="equal">
      <formula>0</formula>
    </cfRule>
  </conditionalFormatting>
  <conditionalFormatting sqref="F104">
    <cfRule type="cellIs" dxfId="6" priority="12" operator="equal">
      <formula>0</formula>
    </cfRule>
  </conditionalFormatting>
  <conditionalFormatting sqref="F113">
    <cfRule type="cellIs" dxfId="5" priority="11" operator="equal">
      <formula>0</formula>
    </cfRule>
  </conditionalFormatting>
  <conditionalFormatting sqref="F122">
    <cfRule type="cellIs" dxfId="4" priority="10" operator="equal">
      <formula>0</formula>
    </cfRule>
  </conditionalFormatting>
  <conditionalFormatting sqref="F123">
    <cfRule type="cellIs" dxfId="3" priority="9" operator="equal">
      <formula>0</formula>
    </cfRule>
  </conditionalFormatting>
  <conditionalFormatting sqref="F24">
    <cfRule type="cellIs" dxfId="2" priority="5" operator="equal">
      <formula>0</formula>
    </cfRule>
  </conditionalFormatting>
  <conditionalFormatting sqref="F10:F12">
    <cfRule type="cellIs" dxfId="1" priority="3" operator="equal">
      <formula>0</formula>
    </cfRule>
  </conditionalFormatting>
  <conditionalFormatting sqref="F21">
    <cfRule type="cellIs" dxfId="0" priority="1" operator="equal">
      <formula>0</formula>
    </cfRule>
  </conditionalFormatting>
  <printOptions horizontalCentered="1"/>
  <pageMargins left="0.31496062992125984" right="0.19685039370078741" top="0.31496062992125984" bottom="0.19685039370078741" header="0.11811023622047245" footer="0.15748031496062992"/>
  <pageSetup paperSize="9" scale="45" fitToHeight="0" orientation="landscape" r:id="rId1"/>
  <headerFooter alignWithMargins="0">
    <oddHeader>&amp;R&amp;P</oddHeader>
  </headerFooter>
  <rowBreaks count="6" manualBreakCount="6">
    <brk id="32" max="18" man="1"/>
    <brk id="75" max="18" man="1"/>
    <brk id="119" max="18" man="1"/>
    <brk id="158" max="18" man="1"/>
    <brk id="201" max="18" man="1"/>
    <brk id="24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ASUS</cp:lastModifiedBy>
  <cp:lastPrinted>2021-09-06T07:18:45Z</cp:lastPrinted>
  <dcterms:created xsi:type="dcterms:W3CDTF">2019-10-29T09:00:52Z</dcterms:created>
  <dcterms:modified xsi:type="dcterms:W3CDTF">2021-11-08T09:14:20Z</dcterms:modified>
</cp:coreProperties>
</file>